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4240" windowHeight="12840" activeTab="1"/>
  </bookViews>
  <sheets>
    <sheet name="Лист1" sheetId="6" r:id="rId1"/>
    <sheet name="1.6 Журнал внутр" sheetId="5" r:id="rId2"/>
  </sheets>
  <externalReferences>
    <externalReference r:id="rId3"/>
    <externalReference r:id="rId4"/>
  </externalReferences>
  <definedNames>
    <definedName name="solver_adj" localSheetId="1" hidden="1">'1.6 Журнал внутр'!#REF!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'1.6 Журнал внутр'!#REF!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'1.6 Журнал внутр'!#REF!</definedName>
    <definedName name="solver_pre" localSheetId="1" hidden="1">0.000001</definedName>
    <definedName name="solver_rel1" localSheetId="1" hidden="1">1</definedName>
    <definedName name="solver_rhs1" localSheetId="1" hidden="1">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вввв">#REF!</definedName>
    <definedName name="вытьвыьы">#REF!</definedName>
    <definedName name="домовладения_№_">#REF!</definedName>
    <definedName name="_xlnm.Print_Titles" localSheetId="1">'1.6 Журнал внутр'!$1:$2</definedName>
    <definedName name="_xlnm.Print_Area" localSheetId="1">'1.6 Журнал внутр'!$B$1:$O$122</definedName>
    <definedName name="стр.спр.НОВ2">#REF!</definedName>
    <definedName name="стр.спра.НОВ1">#REF!</definedName>
    <definedName name="ТП2">#REF!</definedName>
  </definedNames>
  <calcPr calcId="145621" fullCalcOnLoad="1"/>
  <pivotCaches>
    <pivotCache cacheId="96" r:id="rId5"/>
  </pivotCaches>
</workbook>
</file>

<file path=xl/calcChain.xml><?xml version="1.0" encoding="utf-8"?>
<calcChain xmlns="http://schemas.openxmlformats.org/spreadsheetml/2006/main">
  <c r="L122" i="5" l="1"/>
  <c r="K122" i="5"/>
  <c r="J122" i="5"/>
  <c r="I122" i="5"/>
  <c r="H122" i="5"/>
  <c r="L112" i="5"/>
  <c r="K112" i="5"/>
  <c r="J112" i="5"/>
  <c r="I112" i="5"/>
  <c r="H112" i="5"/>
  <c r="L102" i="5"/>
  <c r="K102" i="5"/>
  <c r="J102" i="5"/>
  <c r="I102" i="5"/>
  <c r="H102" i="5"/>
  <c r="L95" i="5"/>
  <c r="K95" i="5"/>
  <c r="J95" i="5"/>
  <c r="I95" i="5"/>
  <c r="H95" i="5"/>
  <c r="L88" i="5"/>
  <c r="K88" i="5"/>
  <c r="J88" i="5"/>
  <c r="I88" i="5"/>
  <c r="H88" i="5"/>
  <c r="L81" i="5"/>
  <c r="K81" i="5"/>
  <c r="J81" i="5"/>
  <c r="I81" i="5"/>
  <c r="H81" i="5"/>
  <c r="L71" i="5"/>
  <c r="K71" i="5"/>
  <c r="J71" i="5"/>
  <c r="I71" i="5"/>
  <c r="H71" i="5"/>
  <c r="L62" i="5"/>
  <c r="K62" i="5"/>
  <c r="J62" i="5"/>
  <c r="I62" i="5"/>
  <c r="H62" i="5"/>
  <c r="L53" i="5"/>
  <c r="K53" i="5"/>
  <c r="J53" i="5"/>
  <c r="I53" i="5"/>
  <c r="H53" i="5"/>
  <c r="L43" i="5"/>
  <c r="K43" i="5"/>
  <c r="J43" i="5"/>
  <c r="I43" i="5"/>
  <c r="H43" i="5"/>
  <c r="L36" i="5"/>
  <c r="K36" i="5"/>
  <c r="J36" i="5"/>
  <c r="I36" i="5"/>
  <c r="H36" i="5"/>
  <c r="L29" i="5"/>
  <c r="K29" i="5"/>
  <c r="J29" i="5"/>
  <c r="I29" i="5"/>
  <c r="H29" i="5"/>
  <c r="L22" i="5"/>
  <c r="K22" i="5"/>
  <c r="J22" i="5"/>
  <c r="I22" i="5"/>
  <c r="H22" i="5"/>
  <c r="I12" i="5"/>
  <c r="J12" i="5"/>
  <c r="K12" i="5"/>
  <c r="L12" i="5"/>
  <c r="H12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M81" i="5"/>
  <c r="N81" i="5"/>
  <c r="O81" i="5"/>
  <c r="O122" i="5"/>
  <c r="N122" i="5"/>
  <c r="M122" i="5"/>
  <c r="H121" i="5"/>
  <c r="L121" i="5" s="1"/>
  <c r="H120" i="5"/>
  <c r="L120" i="5" s="1"/>
  <c r="R119" i="5"/>
  <c r="H119" i="5" s="1"/>
  <c r="K119" i="5" s="1"/>
  <c r="R118" i="5"/>
  <c r="H118" i="5" s="1"/>
  <c r="K118" i="5" s="1"/>
  <c r="R117" i="5"/>
  <c r="H117" i="5" s="1"/>
  <c r="K117" i="5" s="1"/>
  <c r="R116" i="5"/>
  <c r="H116" i="5" s="1"/>
  <c r="R115" i="5"/>
  <c r="H115" i="5" s="1"/>
  <c r="J115" i="5" s="1"/>
  <c r="R114" i="5"/>
  <c r="H114" i="5" s="1"/>
  <c r="K114" i="5" s="1"/>
  <c r="R113" i="5"/>
  <c r="H113" i="5" s="1"/>
  <c r="K113" i="5" s="1"/>
  <c r="O112" i="5"/>
  <c r="N112" i="5"/>
  <c r="M112" i="5"/>
  <c r="H111" i="5"/>
  <c r="L111" i="5" s="1"/>
  <c r="R110" i="5"/>
  <c r="H110" i="5" s="1"/>
  <c r="L110" i="5" s="1"/>
  <c r="R109" i="5"/>
  <c r="H109" i="5" s="1"/>
  <c r="J109" i="5" s="1"/>
  <c r="R108" i="5"/>
  <c r="H108" i="5" s="1"/>
  <c r="R107" i="5"/>
  <c r="H107" i="5" s="1"/>
  <c r="K107" i="5" s="1"/>
  <c r="R106" i="5"/>
  <c r="H106" i="5" s="1"/>
  <c r="K106" i="5" s="1"/>
  <c r="R105" i="5"/>
  <c r="H105" i="5" s="1"/>
  <c r="K105" i="5" s="1"/>
  <c r="R104" i="5"/>
  <c r="H104" i="5" s="1"/>
  <c r="K104" i="5" s="1"/>
  <c r="R103" i="5"/>
  <c r="H103" i="5" s="1"/>
  <c r="K103" i="5" s="1"/>
  <c r="O102" i="5"/>
  <c r="N102" i="5"/>
  <c r="M102" i="5"/>
  <c r="R101" i="5"/>
  <c r="H101" i="5" s="1"/>
  <c r="L101" i="5" s="1"/>
  <c r="R100" i="5"/>
  <c r="H100" i="5" s="1"/>
  <c r="J100" i="5" s="1"/>
  <c r="R99" i="5"/>
  <c r="H99" i="5" s="1"/>
  <c r="K99" i="5" s="1"/>
  <c r="R98" i="5"/>
  <c r="H98" i="5" s="1"/>
  <c r="R97" i="5"/>
  <c r="H97" i="5" s="1"/>
  <c r="K97" i="5" s="1"/>
  <c r="R96" i="5"/>
  <c r="H96" i="5" s="1"/>
  <c r="K96" i="5" s="1"/>
  <c r="O95" i="5"/>
  <c r="N95" i="5"/>
  <c r="M95" i="5"/>
  <c r="R94" i="5"/>
  <c r="H94" i="5" s="1"/>
  <c r="L94" i="5" s="1"/>
  <c r="R93" i="5"/>
  <c r="H93" i="5" s="1"/>
  <c r="J93" i="5" s="1"/>
  <c r="R92" i="5"/>
  <c r="H92" i="5" s="1"/>
  <c r="R91" i="5"/>
  <c r="H91" i="5" s="1"/>
  <c r="K91" i="5" s="1"/>
  <c r="R90" i="5"/>
  <c r="H90" i="5" s="1"/>
  <c r="K90" i="5" s="1"/>
  <c r="R89" i="5"/>
  <c r="H89" i="5" s="1"/>
  <c r="K89" i="5" s="1"/>
  <c r="O88" i="5"/>
  <c r="N88" i="5"/>
  <c r="M88" i="5"/>
  <c r="H87" i="5"/>
  <c r="L87" i="5" s="1"/>
  <c r="R86" i="5"/>
  <c r="H86" i="5" s="1"/>
  <c r="K86" i="5" s="1"/>
  <c r="R85" i="5"/>
  <c r="H85" i="5" s="1"/>
  <c r="R84" i="5"/>
  <c r="H84" i="5" s="1"/>
  <c r="J84" i="5" s="1"/>
  <c r="H83" i="5"/>
  <c r="K83" i="5" s="1"/>
  <c r="R82" i="5"/>
  <c r="H82" i="5" s="1"/>
  <c r="K82" i="5" s="1"/>
  <c r="O71" i="5"/>
  <c r="N71" i="5"/>
  <c r="M71" i="5"/>
  <c r="R70" i="5"/>
  <c r="H70" i="5" s="1"/>
  <c r="L70" i="5" s="1"/>
  <c r="R69" i="5"/>
  <c r="H69" i="5" s="1"/>
  <c r="R68" i="5"/>
  <c r="H68" i="5" s="1"/>
  <c r="K68" i="5" s="1"/>
  <c r="R67" i="5"/>
  <c r="H67" i="5" s="1"/>
  <c r="J67" i="5" s="1"/>
  <c r="R66" i="5"/>
  <c r="H66" i="5" s="1"/>
  <c r="J66" i="5" s="1"/>
  <c r="H65" i="5"/>
  <c r="J65" i="5" s="1"/>
  <c r="H64" i="5"/>
  <c r="K64" i="5" s="1"/>
  <c r="H63" i="5"/>
  <c r="K63" i="5" s="1"/>
  <c r="O62" i="5"/>
  <c r="N62" i="5"/>
  <c r="M62" i="5"/>
  <c r="R61" i="5"/>
  <c r="H61" i="5" s="1"/>
  <c r="L61" i="5" s="1"/>
  <c r="H60" i="5"/>
  <c r="K60" i="5" s="1"/>
  <c r="R59" i="5"/>
  <c r="H59" i="5" s="1"/>
  <c r="J59" i="5" s="1"/>
  <c r="R58" i="5"/>
  <c r="H58" i="5" s="1"/>
  <c r="R57" i="5"/>
  <c r="H57" i="5" s="1"/>
  <c r="J57" i="5" s="1"/>
  <c r="R56" i="5"/>
  <c r="H56" i="5" s="1"/>
  <c r="K56" i="5" s="1"/>
  <c r="R55" i="5"/>
  <c r="H55" i="5" s="1"/>
  <c r="K55" i="5" s="1"/>
  <c r="H54" i="5"/>
  <c r="O53" i="5"/>
  <c r="N53" i="5"/>
  <c r="M53" i="5"/>
  <c r="R52" i="5"/>
  <c r="H52" i="5" s="1"/>
  <c r="R51" i="5"/>
  <c r="H51" i="5" s="1"/>
  <c r="K51" i="5" s="1"/>
  <c r="R50" i="5"/>
  <c r="H50" i="5" s="1"/>
  <c r="J50" i="5" s="1"/>
  <c r="R49" i="5"/>
  <c r="H49" i="5" s="1"/>
  <c r="J49" i="5" s="1"/>
  <c r="R48" i="5"/>
  <c r="H48" i="5" s="1"/>
  <c r="J48" i="5" s="1"/>
  <c r="H47" i="5"/>
  <c r="L47" i="5" s="1"/>
  <c r="R46" i="5"/>
  <c r="H46" i="5" s="1"/>
  <c r="K46" i="5" s="1"/>
  <c r="H45" i="5"/>
  <c r="K45" i="5" s="1"/>
  <c r="R44" i="5"/>
  <c r="H44" i="5" s="1"/>
  <c r="K44" i="5" s="1"/>
  <c r="O43" i="5"/>
  <c r="N43" i="5"/>
  <c r="M43" i="5"/>
  <c r="H42" i="5"/>
  <c r="L42" i="5" s="1"/>
  <c r="R41" i="5"/>
  <c r="H41" i="5" s="1"/>
  <c r="K41" i="5" s="1"/>
  <c r="R40" i="5"/>
  <c r="H40" i="5" s="1"/>
  <c r="J40" i="5" s="1"/>
  <c r="R39" i="5"/>
  <c r="H39" i="5" s="1"/>
  <c r="R38" i="5"/>
  <c r="H38" i="5" s="1"/>
  <c r="K38" i="5" s="1"/>
  <c r="R37" i="5"/>
  <c r="H37" i="5" s="1"/>
  <c r="K37" i="5" s="1"/>
  <c r="O36" i="5"/>
  <c r="N36" i="5"/>
  <c r="M36" i="5"/>
  <c r="R35" i="5"/>
  <c r="H35" i="5" s="1"/>
  <c r="L35" i="5" s="1"/>
  <c r="R34" i="5"/>
  <c r="H34" i="5" s="1"/>
  <c r="R33" i="5"/>
  <c r="H33" i="5" s="1"/>
  <c r="K33" i="5" s="1"/>
  <c r="R32" i="5"/>
  <c r="H32" i="5" s="1"/>
  <c r="K32" i="5" s="1"/>
  <c r="R31" i="5"/>
  <c r="H31" i="5" s="1"/>
  <c r="J31" i="5" s="1"/>
  <c r="R30" i="5"/>
  <c r="H30" i="5" s="1"/>
  <c r="K30" i="5" s="1"/>
  <c r="O29" i="5"/>
  <c r="N29" i="5"/>
  <c r="M29" i="5"/>
  <c r="R28" i="5"/>
  <c r="H28" i="5" s="1"/>
  <c r="L28" i="5" s="1"/>
  <c r="R27" i="5"/>
  <c r="H27" i="5" s="1"/>
  <c r="K27" i="5" s="1"/>
  <c r="R26" i="5"/>
  <c r="H26" i="5" s="1"/>
  <c r="R25" i="5"/>
  <c r="H25" i="5" s="1"/>
  <c r="K25" i="5" s="1"/>
  <c r="R24" i="5"/>
  <c r="H24" i="5" s="1"/>
  <c r="J24" i="5" s="1"/>
  <c r="R23" i="5"/>
  <c r="H23" i="5" s="1"/>
  <c r="K23" i="5" s="1"/>
  <c r="O22" i="5"/>
  <c r="N22" i="5"/>
  <c r="M22" i="5"/>
  <c r="H21" i="5"/>
  <c r="L21" i="5" s="1"/>
  <c r="H20" i="5"/>
  <c r="L20" i="5" s="1"/>
  <c r="H19" i="5"/>
  <c r="K19" i="5" s="1"/>
  <c r="H18" i="5"/>
  <c r="K18" i="5" s="1"/>
  <c r="H17" i="5"/>
  <c r="K17" i="5" s="1"/>
  <c r="H16" i="5"/>
  <c r="K16" i="5" s="1"/>
  <c r="H15" i="5"/>
  <c r="J15" i="5" s="1"/>
  <c r="H14" i="5"/>
  <c r="J14" i="5" s="1"/>
  <c r="H13" i="5"/>
  <c r="K13" i="5" s="1"/>
  <c r="D13" i="5"/>
  <c r="C13" i="5"/>
  <c r="U12" i="5"/>
  <c r="O12" i="5"/>
  <c r="N12" i="5"/>
  <c r="M12" i="5"/>
  <c r="G12" i="5"/>
  <c r="H11" i="5"/>
  <c r="L11" i="5" s="1"/>
  <c r="R10" i="5"/>
  <c r="H10" i="5" s="1"/>
  <c r="L10" i="5" s="1"/>
  <c r="R9" i="5"/>
  <c r="H9" i="5" s="1"/>
  <c r="K9" i="5" s="1"/>
  <c r="R8" i="5"/>
  <c r="H8" i="5" s="1"/>
  <c r="K8" i="5" s="1"/>
  <c r="R7" i="5"/>
  <c r="H7" i="5" s="1"/>
  <c r="J7" i="5" s="1"/>
  <c r="R6" i="5"/>
  <c r="H6" i="5" s="1"/>
  <c r="J6" i="5" s="1"/>
  <c r="R5" i="5"/>
  <c r="H5" i="5" s="1"/>
  <c r="K5" i="5" s="1"/>
  <c r="R4" i="5"/>
  <c r="H4" i="5" s="1"/>
  <c r="K4" i="5" s="1"/>
  <c r="R3" i="5"/>
  <c r="H3" i="5" s="1"/>
  <c r="B3" i="5"/>
  <c r="B13" i="5" s="1"/>
  <c r="B23" i="5" s="1"/>
  <c r="B30" i="5" s="1"/>
  <c r="B37" i="5" s="1"/>
  <c r="B44" i="5" s="1"/>
  <c r="B54" i="5" s="1"/>
  <c r="B63" i="5" s="1"/>
  <c r="K54" i="5"/>
  <c r="C23" i="5" l="1"/>
  <c r="C14" i="5"/>
  <c r="C15" i="5" s="1"/>
  <c r="C16" i="5" s="1"/>
  <c r="C17" i="5" s="1"/>
  <c r="C18" i="5" s="1"/>
  <c r="C19" i="5" s="1"/>
  <c r="C20" i="5" s="1"/>
  <c r="C21" i="5" s="1"/>
  <c r="C22" i="5" s="1"/>
  <c r="D23" i="5"/>
  <c r="D14" i="5"/>
  <c r="D15" i="5" s="1"/>
  <c r="D16" i="5" s="1"/>
  <c r="D17" i="5" s="1"/>
  <c r="D18" i="5" s="1"/>
  <c r="D19" i="5" s="1"/>
  <c r="D20" i="5" s="1"/>
  <c r="D21" i="5" s="1"/>
  <c r="D22" i="5" s="1"/>
  <c r="U22" i="5"/>
  <c r="G22" i="5"/>
  <c r="U29" i="5"/>
  <c r="D30" i="5"/>
  <c r="B72" i="5"/>
  <c r="B82" i="5" s="1"/>
  <c r="B89" i="5" s="1"/>
  <c r="B96" i="5" s="1"/>
  <c r="B103" i="5" s="1"/>
  <c r="B113" i="5" s="1"/>
  <c r="K34" i="5"/>
  <c r="J116" i="5"/>
  <c r="J58" i="5"/>
  <c r="K98" i="5"/>
  <c r="K39" i="5"/>
  <c r="L52" i="5"/>
  <c r="K92" i="5"/>
  <c r="K3" i="5"/>
  <c r="K26" i="5"/>
  <c r="K69" i="5"/>
  <c r="K85" i="5"/>
  <c r="J108" i="5"/>
  <c r="G36" i="5" l="1"/>
  <c r="D31" i="5"/>
  <c r="D32" i="5" s="1"/>
  <c r="D33" i="5" s="1"/>
  <c r="D34" i="5" s="1"/>
  <c r="D35" i="5" s="1"/>
  <c r="D36" i="5" s="1"/>
  <c r="G29" i="5"/>
  <c r="D24" i="5"/>
  <c r="D25" i="5" s="1"/>
  <c r="D26" i="5" s="1"/>
  <c r="D27" i="5" s="1"/>
  <c r="D28" i="5" s="1"/>
  <c r="D29" i="5" s="1"/>
  <c r="C30" i="5"/>
  <c r="C24" i="5"/>
  <c r="C25" i="5" s="1"/>
  <c r="C26" i="5" s="1"/>
  <c r="C27" i="5" s="1"/>
  <c r="C28" i="5" s="1"/>
  <c r="C29" i="5" s="1"/>
  <c r="D37" i="5"/>
  <c r="U36" i="5"/>
  <c r="C37" i="5" l="1"/>
  <c r="C31" i="5"/>
  <c r="C32" i="5" s="1"/>
  <c r="C33" i="5" s="1"/>
  <c r="C34" i="5" s="1"/>
  <c r="C35" i="5" s="1"/>
  <c r="C36" i="5" s="1"/>
  <c r="G43" i="5"/>
  <c r="D38" i="5"/>
  <c r="D39" i="5" s="1"/>
  <c r="D40" i="5" s="1"/>
  <c r="D41" i="5" s="1"/>
  <c r="D42" i="5" s="1"/>
  <c r="D43" i="5" s="1"/>
  <c r="U43" i="5"/>
  <c r="D44" i="5"/>
  <c r="C44" i="5" l="1"/>
  <c r="C38" i="5"/>
  <c r="C39" i="5" s="1"/>
  <c r="C40" i="5" s="1"/>
  <c r="C41" i="5" s="1"/>
  <c r="C42" i="5" s="1"/>
  <c r="C43" i="5" s="1"/>
  <c r="G53" i="5"/>
  <c r="D45" i="5"/>
  <c r="D46" i="5" s="1"/>
  <c r="D47" i="5" s="1"/>
  <c r="D48" i="5" s="1"/>
  <c r="D49" i="5" s="1"/>
  <c r="D50" i="5" s="1"/>
  <c r="D51" i="5" s="1"/>
  <c r="D52" i="5" s="1"/>
  <c r="D53" i="5" s="1"/>
  <c r="D54" i="5"/>
  <c r="D55" i="5" s="1"/>
  <c r="D56" i="5" s="1"/>
  <c r="D57" i="5" s="1"/>
  <c r="D58" i="5" s="1"/>
  <c r="D59" i="5" s="1"/>
  <c r="D60" i="5" s="1"/>
  <c r="D61" i="5" s="1"/>
  <c r="D62" i="5" s="1"/>
  <c r="U53" i="5"/>
  <c r="C54" i="5" l="1"/>
  <c r="C45" i="5"/>
  <c r="C46" i="5" s="1"/>
  <c r="C47" i="5" s="1"/>
  <c r="C48" i="5" s="1"/>
  <c r="C49" i="5" s="1"/>
  <c r="C50" i="5" s="1"/>
  <c r="C51" i="5" s="1"/>
  <c r="C52" i="5" s="1"/>
  <c r="C53" i="5" s="1"/>
  <c r="U62" i="5"/>
  <c r="D63" i="5"/>
  <c r="D64" i="5" s="1"/>
  <c r="D65" i="5" s="1"/>
  <c r="D66" i="5" s="1"/>
  <c r="D67" i="5" s="1"/>
  <c r="D68" i="5" s="1"/>
  <c r="D69" i="5" s="1"/>
  <c r="D70" i="5" s="1"/>
  <c r="D71" i="5" s="1"/>
  <c r="G62" i="5"/>
  <c r="C63" i="5" l="1"/>
  <c r="C55" i="5"/>
  <c r="C56" i="5" s="1"/>
  <c r="C57" i="5" s="1"/>
  <c r="C58" i="5" s="1"/>
  <c r="C59" i="5" s="1"/>
  <c r="C60" i="5" s="1"/>
  <c r="C61" i="5" s="1"/>
  <c r="C62" i="5" s="1"/>
  <c r="D72" i="5"/>
  <c r="D73" i="5" s="1"/>
  <c r="D74" i="5" s="1"/>
  <c r="D75" i="5" s="1"/>
  <c r="D76" i="5" s="1"/>
  <c r="D77" i="5" s="1"/>
  <c r="D78" i="5" s="1"/>
  <c r="D79" i="5" s="1"/>
  <c r="D80" i="5" s="1"/>
  <c r="D81" i="5" s="1"/>
  <c r="G71" i="5"/>
  <c r="U71" i="5"/>
  <c r="C64" i="5" l="1"/>
  <c r="C65" i="5" s="1"/>
  <c r="C66" i="5" s="1"/>
  <c r="C67" i="5" s="1"/>
  <c r="C68" i="5" s="1"/>
  <c r="C69" i="5" s="1"/>
  <c r="C70" i="5" s="1"/>
  <c r="C71" i="5" s="1"/>
  <c r="C72" i="5"/>
  <c r="G81" i="5"/>
  <c r="U81" i="5"/>
  <c r="D82" i="5"/>
  <c r="D83" i="5" s="1"/>
  <c r="D84" i="5" s="1"/>
  <c r="D85" i="5" s="1"/>
  <c r="D86" i="5" s="1"/>
  <c r="D87" i="5" s="1"/>
  <c r="D88" i="5" s="1"/>
  <c r="C82" i="5" l="1"/>
  <c r="C73" i="5"/>
  <c r="C74" i="5" s="1"/>
  <c r="C75" i="5" s="1"/>
  <c r="C76" i="5" s="1"/>
  <c r="C77" i="5" s="1"/>
  <c r="C78" i="5" s="1"/>
  <c r="C79" i="5" s="1"/>
  <c r="C80" i="5" s="1"/>
  <c r="C81" i="5" s="1"/>
  <c r="D89" i="5"/>
  <c r="D90" i="5" s="1"/>
  <c r="D91" i="5" s="1"/>
  <c r="D92" i="5" s="1"/>
  <c r="D93" i="5" s="1"/>
  <c r="D94" i="5" s="1"/>
  <c r="D95" i="5" s="1"/>
  <c r="G88" i="5"/>
  <c r="U88" i="5"/>
  <c r="C89" i="5" l="1"/>
  <c r="C83" i="5"/>
  <c r="C84" i="5" s="1"/>
  <c r="C85" i="5" s="1"/>
  <c r="C86" i="5" s="1"/>
  <c r="C87" i="5" s="1"/>
  <c r="C88" i="5" s="1"/>
  <c r="G95" i="5"/>
  <c r="D96" i="5"/>
  <c r="D97" i="5" s="1"/>
  <c r="D98" i="5" s="1"/>
  <c r="D99" i="5" s="1"/>
  <c r="D100" i="5" s="1"/>
  <c r="D101" i="5" s="1"/>
  <c r="D102" i="5" s="1"/>
  <c r="U95" i="5"/>
  <c r="C96" i="5" l="1"/>
  <c r="C90" i="5"/>
  <c r="C91" i="5" s="1"/>
  <c r="C92" i="5" s="1"/>
  <c r="C93" i="5" s="1"/>
  <c r="C94" i="5" s="1"/>
  <c r="C95" i="5" s="1"/>
  <c r="D103" i="5"/>
  <c r="D104" i="5" s="1"/>
  <c r="D105" i="5" s="1"/>
  <c r="D106" i="5" s="1"/>
  <c r="D107" i="5" s="1"/>
  <c r="D108" i="5" s="1"/>
  <c r="D109" i="5" s="1"/>
  <c r="D110" i="5" s="1"/>
  <c r="D111" i="5" s="1"/>
  <c r="D112" i="5" s="1"/>
  <c r="U102" i="5"/>
  <c r="G102" i="5"/>
  <c r="C103" i="5" l="1"/>
  <c r="C97" i="5"/>
  <c r="C98" i="5" s="1"/>
  <c r="C99" i="5" s="1"/>
  <c r="C100" i="5" s="1"/>
  <c r="C101" i="5" s="1"/>
  <c r="C102" i="5" s="1"/>
  <c r="D113" i="5"/>
  <c r="D114" i="5" s="1"/>
  <c r="D115" i="5" s="1"/>
  <c r="D116" i="5" s="1"/>
  <c r="D117" i="5" s="1"/>
  <c r="D118" i="5" s="1"/>
  <c r="D119" i="5" s="1"/>
  <c r="D120" i="5" s="1"/>
  <c r="D121" i="5" s="1"/>
  <c r="D122" i="5" s="1"/>
  <c r="G112" i="5"/>
  <c r="U112" i="5"/>
  <c r="C113" i="5" l="1"/>
  <c r="C114" i="5" s="1"/>
  <c r="C115" i="5" s="1"/>
  <c r="C116" i="5" s="1"/>
  <c r="C117" i="5" s="1"/>
  <c r="C118" i="5" s="1"/>
  <c r="C119" i="5" s="1"/>
  <c r="C120" i="5" s="1"/>
  <c r="C121" i="5" s="1"/>
  <c r="C122" i="5" s="1"/>
  <c r="C104" i="5"/>
  <c r="C105" i="5" s="1"/>
  <c r="C106" i="5" s="1"/>
  <c r="C107" i="5" s="1"/>
  <c r="C108" i="5" s="1"/>
  <c r="C109" i="5" s="1"/>
  <c r="C110" i="5" s="1"/>
  <c r="C111" i="5" s="1"/>
  <c r="C112" i="5" s="1"/>
  <c r="G122" i="5"/>
  <c r="U122" i="5"/>
</calcChain>
</file>

<file path=xl/sharedStrings.xml><?xml version="1.0" encoding="utf-8"?>
<sst xmlns="http://schemas.openxmlformats.org/spreadsheetml/2006/main" count="257" uniqueCount="119">
  <si>
    <t>Літер</t>
  </si>
  <si>
    <t>Поверхи</t>
  </si>
  <si>
    <t>Номери квартир</t>
  </si>
  <si>
    <t>Номери приміщень</t>
  </si>
  <si>
    <t>Призначення приміщень</t>
  </si>
  <si>
    <t>Розрахунок площ приміщень за внутрішнім обміром</t>
  </si>
  <si>
    <t>Загальна площа приміщень (підрахована за формулами гр.6 ) (кв.м)</t>
  </si>
  <si>
    <t>Площа житлових квартир (кв.м)</t>
  </si>
  <si>
    <t>Площа літніх приміщень (кв.м.)</t>
  </si>
  <si>
    <t>Площа приміщень загального користування (кв.м.)</t>
  </si>
  <si>
    <t>Самочинно збудована, переобладнана площа приміщень (кв.м.)</t>
  </si>
  <si>
    <t>Примітки</t>
  </si>
  <si>
    <t>загальна                          (сума гр. 9 та 10)</t>
  </si>
  <si>
    <t>житлова / основна</t>
  </si>
  <si>
    <t>допоміжна</t>
  </si>
  <si>
    <t>II</t>
  </si>
  <si>
    <t>Передпокій</t>
  </si>
  <si>
    <t>(1,92*0,95)+(0,12*1,22)-(0,10*0,33)</t>
  </si>
  <si>
    <t>Вбиральня</t>
  </si>
  <si>
    <t>(1,00*2,53)-(0,46*0,29)-(0,15*0,24)-(1,34*0,10)</t>
  </si>
  <si>
    <t>Кухня</t>
  </si>
  <si>
    <t>(3,12*3,06)+((1,10*1,56)/2)+((0,39*1,84)/2)-(0,21*0,21)</t>
  </si>
  <si>
    <t>Жітлова кімната</t>
  </si>
  <si>
    <t>((3,45+3,42)/2)*((6,21+6,19)/2)-(0,56*0,52)-(0,72*0,10)</t>
  </si>
  <si>
    <t>((5,09+5,10)/2)*((3,30+3,30)/2)-(0,08*0,71)</t>
  </si>
  <si>
    <t>(3,05*2,79)+(0,12*1,22)-(0,10*0,10)+(2,19*0,10)</t>
  </si>
  <si>
    <t>Сан. вузол</t>
  </si>
  <si>
    <t>(3,41*1,60)-(0,37*0,24)-(0,44*0,10)-(2,14*0,10)</t>
  </si>
  <si>
    <t>балкон</t>
  </si>
  <si>
    <t>(електр. підрахунок)*0,3</t>
  </si>
  <si>
    <t>*0,3</t>
  </si>
  <si>
    <t>(3,30*5,17)+(1,15*0,10)-(0,60*0,11)-(0,10*0,16)-(2,19*(0,46+1,55))-(1,25*1,55)</t>
  </si>
  <si>
    <t>(((5,21+5,20)/2)*3,54)+(1,23*0,10)-(0,10*0,76)</t>
  </si>
  <si>
    <t>((4,50+4,50)/2)*((2,72+2,80)/2)-(0,10*0,76)</t>
  </si>
  <si>
    <t>Кухня-їдальня</t>
  </si>
  <si>
    <t>(((6,58+6,53)/2)*4,45)-(1,02*4,61)-(0,53*0,51)+((1,11*1,81)/2)-(0,43*0,09)-(0,22*0,28)-(0,83*(0,11+0,22))</t>
  </si>
  <si>
    <t>(1,70*2,00)+(1,15*0,10)-(0,46*0,27)-(0,10-0,15)</t>
  </si>
  <si>
    <t>(2,14*1,85)</t>
  </si>
  <si>
    <t>(1,42*1,14)-(0,36*0,28)</t>
  </si>
  <si>
    <t>((2,58+0,23)*3,92)-(((0,10+0,10)/2)*2,66)-(2,21*0,41)-(0,23*0,55)</t>
  </si>
  <si>
    <t>((3,32+3,33)/2)*((6,30+6,29)/2)-(0,22*0,10)-(0,10*0,53)</t>
  </si>
  <si>
    <t>(((2,77+2,79)/2)*6,29)-(0,53*0,10)-(0,27*0,24)-((0,27+0,08)*0,90)-(0,25*0,23)</t>
  </si>
  <si>
    <t>Вана</t>
  </si>
  <si>
    <t>(1,70*2,27)-(0,10*0,31)</t>
  </si>
  <si>
    <t>(1,30*1,17)-(0,36*0,24)</t>
  </si>
  <si>
    <t>(((1,75+1,72)/2)*((6,00+5,96)/2)+(2/3*5,96*0,40))*0,3</t>
  </si>
  <si>
    <t>(5,26*4,72)+(0,11*2,52)-(((0,22+0,11)/2)*2,66)-(0,10*0,07)-(1,21*(1,90+1,82+0,10))-(1,83*(1,82+0,10))-(1,30*0,10)</t>
  </si>
  <si>
    <t>(((3,42+3,40)/2)*6,23)+((1,13*1,70)/2)+((0,06*1,95)/2)</t>
  </si>
  <si>
    <t>((3,12+3,11)/2)*((6,20+6,21)/2)-(0,54*0,52)-(0,43*1,32)-(0,26*0,25)-(0,76*0,10)</t>
  </si>
  <si>
    <t>(1,78*1,49)-(0,10*0,74)-(0,39*(0,57+0,26))-(0,36*0,26)</t>
  </si>
  <si>
    <t>(3,00*1,79)-(1,19*0,40)</t>
  </si>
  <si>
    <t>(4,72*3,41)-(2,00*1,93)-(1,97*0,31)-(0,10*0,21)</t>
  </si>
  <si>
    <t>(2,19*1,86)-(0,41*0,70)</t>
  </si>
  <si>
    <t>(1,45*1,91)-(0,34*0,34)-(0,41*(0,63+0,34))-(0,73*0,10)</t>
  </si>
  <si>
    <t>((3,62+3,60)/2)*((6,19+6,20)/2)-(0,09*0,74)-(0,51*0,56)</t>
  </si>
  <si>
    <t>(((2,88+2,91)/2)*5,89)+((1,43*1,09)/2)+((1,66*0,37)/2)</t>
  </si>
  <si>
    <t>(4,66*6,07)-(3,52*3,22)+(((2,55+0,85)/2)*1,64)+((0,46*2,19)/2)</t>
  </si>
  <si>
    <t>(електр. підрахунок)</t>
  </si>
  <si>
    <t>(0,52*1,90)+(((3,51+1,90+0,23)/2)*2,28)+(((3,51+3,57)/2)*0,89)-((0,41*0,83)/2)+(((3,57+2,97)/2)*0,40)+((0,85+0,42+0,31)*2,97)</t>
  </si>
  <si>
    <t>Лоджія</t>
  </si>
  <si>
    <t>*0,5</t>
  </si>
  <si>
    <t>((3,82+3,79)/2)*((7,26+7,27)/2)-(0,56*0,42)</t>
  </si>
  <si>
    <t>((3,80+3,78)/2)*((8,24+8,24)/2)-(0,56*0,42)-(0,72*0,54)-(0,48*(0,71+0,54))</t>
  </si>
  <si>
    <t>((2,82+2,70)/2)*((6,19+6,20)/2)-(0,52*0,81)-(0,07*0,11)</t>
  </si>
  <si>
    <t>(3,35*1,86)-(0,09*0,24)-(0,11*0,39)-(0,36*0,26)-(0,86*0,34)</t>
  </si>
  <si>
    <t>(2/3*1,83*0,23)*0,3</t>
  </si>
  <si>
    <t>(((1,26+1,15)/2)*(1,43+0,29+0,21))+((1,61*1,07)/2)-(((0,16+0,16)/2)*0,29)</t>
  </si>
  <si>
    <t>(2,58*1,93)-(0,11*0,31)-(0,10*1,57)</t>
  </si>
  <si>
    <t>((2,54+2,71)/2)*((6,22+6,21)/2)-(0,12*0,14)-(0,80*0,48)</t>
  </si>
  <si>
    <t>(((3,09+3,16)/2)*6,22)-(0,55*1,10)-(0,16*0,11)</t>
  </si>
  <si>
    <t>(((4,88+3,13)/2)*2,69)+(2/3*0,23*3,21)-((0,97*0,23)/2)</t>
  </si>
  <si>
    <t>(((3,16+3,14)/2)*6,18)-(0,11*0,16)-(0,71*0,54)</t>
  </si>
  <si>
    <t>(((2,69+2,65)/2)*6,19)-(0,51*0,88)-(0,14*0,14)</t>
  </si>
  <si>
    <t>(2,79*1,81)-(0,10*1,50)-(0,21*1,55)</t>
  </si>
  <si>
    <t>(((1,37+1,21)/2)*1,85)+((1,08*1,55)/2)-(0,30*0,30)</t>
  </si>
  <si>
    <t>(4,68*3,37)-(0,24*0,15)-(0,26*2,02)-(1,89*2,01)</t>
  </si>
  <si>
    <t>((3,52+3,51)/2)*((6,19+6,20)/2)-(0,53*0,51)-(0,73*0,09)</t>
  </si>
  <si>
    <t>(1,82*1,35)-(0,10*0,62)-(0,34*(0,53+0,32))-(0,34*0,32)</t>
  </si>
  <si>
    <t>(1,93*2,09)-(1,17*0,32)</t>
  </si>
  <si>
    <t>(5,23*4,79)+(0,11*1,28)-(0,09*0,69)-(1,79*(1,78+0,09))-(1,19*(1,92+1,78+0,09))-(0,08*0,26)-(((0,11+0,11)/2)*2,69)</t>
  </si>
  <si>
    <t>(1,82*2,94)-(0,34*1,16)</t>
  </si>
  <si>
    <t>(1,46*1,74)-(0,50*0,29)-(0,33*(0,35+0,50))-(0,74*0,03)</t>
  </si>
  <si>
    <t>((3,09+3,09)/2)*((6,22+6,19)/2)-(0,09*0,77)-(0,27*0,33)-(0,90*0,34)-(0,44*0,53)</t>
  </si>
  <si>
    <t>(((3,32+3,29)/2)*6,26)+((1,14*1,57)/2)+((1,93*0,09)/2)-(0,52*0,10)-(0,12*0,14)</t>
  </si>
  <si>
    <t>((2,49+2,51)/2)*((3,92+3,92)/2)-(0,31*0,60)-(0,22*2,13)-(0,10*3,16)</t>
  </si>
  <si>
    <t>(1,19*1,50)-(0,36*0,33)</t>
  </si>
  <si>
    <t>(2,24*1,71)-(1,90*0,04)</t>
  </si>
  <si>
    <t>(((2,80+2,96)/2)*6,33)-(0,22*1,89)-(0,29*0,27)-(0,90*0,34)-(0,10*0,52)</t>
  </si>
  <si>
    <t>((3,33+3,15)/2)*((6,31+6,32)/2)-(0,51*0,10)-(0,10*0,19)</t>
  </si>
  <si>
    <t>(((1,73+1,74)/2)*((6,00+6,00)/2)+(2/3*6,00*0,37))*0,3</t>
  </si>
  <si>
    <t>(5,14*3,54)+(0,11*1,30)-(1,63*1,26)-(2,29*(0,45+1,63))-(0,10*0,16)</t>
  </si>
  <si>
    <t>(1,15*1,40)-(0,39*0,36)</t>
  </si>
  <si>
    <t>(2,10*1,86)</t>
  </si>
  <si>
    <t>(((1,57+1,57)/2)*3,40)+(0,11*1,30)-(0,28*0,50)-(0,10*0,12)</t>
  </si>
  <si>
    <t>Кухня - їдальня</t>
  </si>
  <si>
    <t>(3,41*4,54)+((1,07*1,67)/2)+((1,97*0,10)/2)-(0,89*0,06)-(0,33*0,29)-(0,11*0,50)</t>
  </si>
  <si>
    <t>((3,12+3,12)/2)*((6,23+6,23)/2)-(0,53*0,51)-(0,75*0,10)</t>
  </si>
  <si>
    <t>((3,50+3,48)/2)*((5,10+5,09)/2)-(0,10*0,74)</t>
  </si>
  <si>
    <t>(1,97*0,84)+(1,27*0,11)-(0,32*0,10)</t>
  </si>
  <si>
    <t>(1,63*3,55)-(0,10*2,08)-(0,38*0,26)</t>
  </si>
  <si>
    <t>((3,31+3,29)/2)*((4,99+4,98)/2)-(0,77*0,10)</t>
  </si>
  <si>
    <t>((3,36+3,37)/2)*((6,19+6,20)/2)-(0,10*0,77)-(0,54*0,53)</t>
  </si>
  <si>
    <t>(((3,18+3,17)/2)*3,41)+((1,12*1,61)/2)+(((2,07+0,09)/2)*0,31)-(0,21*0,19)</t>
  </si>
  <si>
    <t>(1,00*2,65)-(0,12*1,63)-(0,34*0,12)-(0,17*0,74)</t>
  </si>
  <si>
    <t>((2,37+2,37)/2)*((3,15+3,16)/2)+(0,10*1,27)+(2,11*0,12)-(0,10*0,11)</t>
  </si>
  <si>
    <t>количесво комнат</t>
  </si>
  <si>
    <t>№ кв</t>
  </si>
  <si>
    <t>Усього</t>
  </si>
  <si>
    <t>Общий итог</t>
  </si>
  <si>
    <t>(пусто)</t>
  </si>
  <si>
    <t>II Итог</t>
  </si>
  <si>
    <t>Сумма по полю Загальна площа приміщень (підрахована за формулами гр.6 ) (кв.м)</t>
  </si>
  <si>
    <t>Данные</t>
  </si>
  <si>
    <t>Сумма по полю загальна                          (сума гр. 9 та 10)</t>
  </si>
  <si>
    <t>Сумма по полю житлова / основна</t>
  </si>
  <si>
    <t>Сумма по полю допоміжна</t>
  </si>
  <si>
    <t>Сумма по полю Площа літніх приміщень (кв.м.)</t>
  </si>
  <si>
    <t>Сумма по полю Самочинно збудована, переобладнана площа приміщень (кв.м.)</t>
  </si>
  <si>
    <t>Сумма по полю Площа приміщень загального користування (кв.м.)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</si>
</sst>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0\ [$руб.-419];[Red]\-#,##0.00\ [$руб.-419]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Utsaah"/>
      <family val="2"/>
    </font>
    <font>
      <sz val="8"/>
      <name val="Utsaah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2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20"/>
      <color rgb="FFFF0000"/>
      <name val="Utsaah"/>
      <family val="2"/>
    </font>
    <font>
      <sz val="2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Utsaah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4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3" fontId="3" fillId="0" borderId="0"/>
    <xf numFmtId="0" fontId="4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6" fillId="0" borderId="0" xfId="7" applyFont="1"/>
    <xf numFmtId="0" fontId="16" fillId="0" borderId="0" xfId="7" applyFont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applyFont="1" applyAlignment="1">
      <alignment horizontal="left"/>
    </xf>
    <xf numFmtId="0" fontId="7" fillId="0" borderId="2" xfId="7" applyFont="1" applyBorder="1" applyAlignment="1">
      <alignment horizontal="center" vertical="center" textRotation="90" wrapText="1"/>
    </xf>
    <xf numFmtId="0" fontId="6" fillId="0" borderId="0" xfId="7" applyFont="1" applyAlignment="1">
      <alignment vertical="top"/>
    </xf>
    <xf numFmtId="0" fontId="8" fillId="0" borderId="1" xfId="7" applyFont="1" applyBorder="1" applyAlignment="1">
      <alignment horizontal="center" vertical="center"/>
    </xf>
    <xf numFmtId="0" fontId="8" fillId="0" borderId="1" xfId="7" applyNumberFormat="1" applyFont="1" applyBorder="1" applyAlignment="1">
      <alignment horizontal="center" vertical="center"/>
    </xf>
    <xf numFmtId="0" fontId="8" fillId="0" borderId="1" xfId="7" applyFont="1" applyBorder="1" applyAlignment="1">
      <alignment vertical="center" wrapText="1"/>
    </xf>
    <xf numFmtId="0" fontId="8" fillId="0" borderId="1" xfId="7" applyFont="1" applyBorder="1" applyAlignment="1">
      <alignment horizontal="left" vertical="center" wrapText="1"/>
    </xf>
    <xf numFmtId="172" fontId="8" fillId="0" borderId="1" xfId="7" applyNumberFormat="1" applyFont="1" applyBorder="1" applyAlignment="1">
      <alignment horizontal="center" vertical="center"/>
    </xf>
    <xf numFmtId="0" fontId="9" fillId="0" borderId="0" xfId="7" applyFont="1"/>
    <xf numFmtId="0" fontId="17" fillId="0" borderId="0" xfId="7" applyFont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left" vertical="center" wrapText="1"/>
    </xf>
    <xf numFmtId="0" fontId="18" fillId="0" borderId="1" xfId="7" applyFont="1" applyBorder="1" applyAlignment="1">
      <alignment horizontal="center" vertical="center"/>
    </xf>
    <xf numFmtId="0" fontId="18" fillId="0" borderId="1" xfId="7" applyNumberFormat="1" applyFont="1" applyBorder="1" applyAlignment="1">
      <alignment horizontal="center" vertical="center"/>
    </xf>
    <xf numFmtId="0" fontId="18" fillId="0" borderId="1" xfId="7" applyFont="1" applyBorder="1" applyAlignment="1">
      <alignment vertical="center" wrapText="1"/>
    </xf>
    <xf numFmtId="0" fontId="19" fillId="0" borderId="1" xfId="7" applyFont="1" applyBorder="1" applyAlignment="1">
      <alignment horizontal="left" vertical="center" wrapText="1"/>
    </xf>
    <xf numFmtId="172" fontId="18" fillId="0" borderId="1" xfId="7" applyNumberFormat="1" applyFont="1" applyBorder="1" applyAlignment="1">
      <alignment horizontal="center" vertical="center"/>
    </xf>
    <xf numFmtId="49" fontId="20" fillId="0" borderId="1" xfId="7" applyNumberFormat="1" applyFont="1" applyBorder="1" applyAlignment="1">
      <alignment horizontal="center" vertical="center"/>
    </xf>
    <xf numFmtId="0" fontId="21" fillId="0" borderId="0" xfId="7" applyFont="1"/>
    <xf numFmtId="0" fontId="12" fillId="0" borderId="1" xfId="7" applyFont="1" applyBorder="1" applyAlignment="1">
      <alignment horizontal="center" vertical="center" wrapText="1"/>
    </xf>
    <xf numFmtId="172" fontId="12" fillId="0" borderId="1" xfId="7" applyNumberFormat="1" applyFont="1" applyBorder="1" applyAlignment="1">
      <alignment horizontal="center" vertical="center"/>
    </xf>
    <xf numFmtId="0" fontId="18" fillId="0" borderId="1" xfId="7" applyFont="1" applyBorder="1" applyAlignment="1">
      <alignment horizontal="left" vertical="center" wrapText="1"/>
    </xf>
    <xf numFmtId="0" fontId="13" fillId="0" borderId="0" xfId="7" applyFont="1" applyAlignment="1">
      <alignment horizontal="center" vertical="center"/>
    </xf>
    <xf numFmtId="0" fontId="22" fillId="0" borderId="0" xfId="7" applyFont="1" applyAlignment="1">
      <alignment horizontal="center" vertical="center" wrapText="1"/>
    </xf>
    <xf numFmtId="0" fontId="7" fillId="0" borderId="4" xfId="7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 wrapText="1"/>
    </xf>
    <xf numFmtId="0" fontId="7" fillId="0" borderId="3" xfId="7" applyFont="1" applyBorder="1" applyAlignment="1">
      <alignment vertical="center" textRotation="90" wrapText="1"/>
    </xf>
    <xf numFmtId="0" fontId="7" fillId="0" borderId="3" xfId="7" applyNumberFormat="1" applyFont="1" applyBorder="1" applyAlignment="1">
      <alignment vertical="center" textRotation="90" wrapText="1"/>
    </xf>
    <xf numFmtId="0" fontId="7" fillId="0" borderId="3" xfId="7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pivotButton="1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2" xfId="0" pivotButton="1" applyBorder="1"/>
    <xf numFmtId="0" fontId="0" fillId="0" borderId="2" xfId="0" applyBorder="1"/>
    <xf numFmtId="0" fontId="0" fillId="0" borderId="7" xfId="0" applyNumberFormat="1" applyBorder="1"/>
    <xf numFmtId="0" fontId="0" fillId="0" borderId="13" xfId="0" applyNumberFormat="1" applyBorder="1"/>
    <xf numFmtId="0" fontId="0" fillId="0" borderId="11" xfId="0" applyNumberFormat="1" applyBorder="1"/>
    <xf numFmtId="0" fontId="0" fillId="0" borderId="14" xfId="0" applyNumberFormat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15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pivotButton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</cellXfs>
  <cellStyles count="14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  <cellStyle name="Обычный 2 2" xfId="6"/>
    <cellStyle name="Обычный 3" xfId="7"/>
    <cellStyle name="Обычный 3 2" xfId="8"/>
    <cellStyle name="Обычный 4" xfId="9"/>
    <cellStyle name="Обычный 5" xfId="10"/>
    <cellStyle name="Обычный 6" xfId="11"/>
    <cellStyle name="Обычный 7" xfId="12"/>
    <cellStyle name="Обычный 8" xfId="13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52;&#1055;/Desktop/&#1058;&#1055;%20&#1095;&#1072;&#1089;&#1090;&#1085;%2004.07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52;&#1055;/Desktop/&#1057;&#1090;&#1088;&#1086;&#1080;&#1090;&#1077;&#1083;&#1100;&#1085;&#1099;&#1077;%20&#1089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П1 "/>
      <sheetName val="ТП2"/>
      <sheetName val="пл ТП"/>
      <sheetName val="Эксп ТП"/>
      <sheetName val="ТитулА4"/>
      <sheetName val="оц А4"/>
      <sheetName val="СхПлА4"/>
      <sheetName val="плНа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  <sheetName val="Лист2 (4)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27.40962233796" createdVersion="1" refreshedVersion="4" recordCount="120" upgradeOnRefresh="1">
  <cacheSource type="worksheet">
    <worksheetSource ref="B2:P122" sheet="1.6 Журнал внутр"/>
  </cacheSource>
  <cacheFields count="15">
    <cacheField name="Літер" numFmtId="0">
      <sharedItems containsBlank="1"/>
    </cacheField>
    <cacheField name="Поверхи" numFmtId="0">
      <sharedItems count="1">
        <s v="II"/>
      </sharedItems>
    </cacheField>
    <cacheField name="Номери квартир" numFmtId="0">
      <sharedItems containsSemiMixedTypes="0" containsString="0" containsNumber="1" containsInteger="1" minValue="1" maxValue="77" count="14">
        <n v="1"/>
        <n v="2"/>
        <n v="3"/>
        <n v="4"/>
        <n v="5"/>
        <n v="41"/>
        <n v="42"/>
        <n v="43"/>
        <n v="44"/>
        <n v="73"/>
        <n v="74"/>
        <n v="75"/>
        <n v="76"/>
        <n v="77"/>
      </sharedItems>
    </cacheField>
    <cacheField name="Номери приміщень" numFmtId="0">
      <sharedItems containsString="0" containsBlank="1" containsNumber="1" containsInteger="1" minValue="1" maxValue="8"/>
    </cacheField>
    <cacheField name="Призначення приміщень" numFmtId="0">
      <sharedItems containsBlank="1" count="12">
        <s v="Передпокій"/>
        <s v="Вбиральня"/>
        <s v="Кухня"/>
        <s v="Жітлова кімната"/>
        <s v="Сан. вузол"/>
        <s v="балкон"/>
        <s v="Усього"/>
        <s v="Кухня-їдальня"/>
        <s v="Вана"/>
        <s v="Лоджія"/>
        <m/>
        <s v="Кухня - їдальня"/>
      </sharedItems>
    </cacheField>
    <cacheField name="Розрахунок площ приміщень за внутрішнім обміром" numFmtId="0">
      <sharedItems containsBlank="1" count="92">
        <s v="(1,92*0,95)+(0,12*1,22)-(0,10*0,33)"/>
        <s v="(1,00*2,53)-(0,46*0,29)-(0,15*0,24)-(1,34*0,10)"/>
        <s v="(3,12*3,06)+((1,10*1,56)/2)+((0,39*1,84)/2)-(0,21*0,21)"/>
        <s v="((3,45+3,42)/2)*((6,21+6,19)/2)-(0,56*0,52)-(0,72*0,10)"/>
        <s v="((5,09+5,10)/2)*((3,30+3,30)/2)-(0,08*0,71)"/>
        <s v="(3,05*2,79)+(0,12*1,22)-(0,10*0,10)+(2,19*0,10)"/>
        <s v="(3,41*1,60)-(0,37*0,24)-(0,44*0,10)-(2,14*0,10)"/>
        <s v="(електр. підрахунок)*0,3"/>
        <s v="Усього по кв. №1:"/>
        <s v="(3,30*5,17)+(1,15*0,10)-(0,60*0,11)-(0,10*0,16)-(2,19*(0,46+1,55))-(1,25*1,55)"/>
        <s v="(((5,21+5,20)/2)*3,54)+(1,23*0,10)-(0,10*0,76)"/>
        <s v="((4,50+4,50)/2)*((2,72+2,80)/2)-(0,10*0,76)"/>
        <s v="(((6,58+6,53)/2)*4,45)-(1,02*4,61)-(0,53*0,51)+((1,11*1,81)/2)-(0,43*0,09)-(0,22*0,28)-(0,83*(0,11+0,22))"/>
        <s v="(1,70*2,00)+(1,15*0,10)-(0,46*0,27)-(0,10-0,15)"/>
        <s v="(2,14*1,85)"/>
        <s v="(1,42*1,14)-(0,36*0,28)"/>
        <s v="Усього по кв. №2:"/>
        <s v="((2,58+0,23)*3,92)-(((0,10+0,10)/2)*2,66)-(2,21*0,41)-(0,23*0,55)"/>
        <s v="((3,32+3,33)/2)*((6,30+6,29)/2)-(0,22*0,10)-(0,10*0,53)"/>
        <s v="(((2,77+2,79)/2)*6,29)-(0,53*0,10)-(0,27*0,24)-((0,27+0,08)*0,90)-(0,25*0,23)"/>
        <s v="(1,70*2,27)-(0,10*0,31)"/>
        <s v="(1,30*1,17)-(0,36*0,24)"/>
        <s v="(((1,75+1,72)/2)*((6,00+5,96)/2)+(2/3*5,96*0,40))*0,3"/>
        <s v="Усього по кв. №3:"/>
        <s v="(5,26*4,72)+(0,11*2,52)-(((0,22+0,11)/2)*2,66)-(0,10*0,07)-(1,21*(1,90+1,82+0,10))-(1,83*(1,82+0,10))-(1,30*0,10)"/>
        <s v="(((3,42+3,40)/2)*6,23)+((1,13*1,70)/2)+((0,06*1,95)/2)"/>
        <s v="((3,12+3,11)/2)*((6,20+6,21)/2)-(0,54*0,52)-(0,43*1,32)-(0,26*0,25)-(0,76*0,10)"/>
        <s v="(1,78*1,49)-(0,10*0,74)-(0,39*(0,57+0,26))-(0,36*0,26)"/>
        <s v="(3,00*1,79)-(1,19*0,40)"/>
        <s v="Усього по кв. №4:"/>
        <s v="(4,72*3,41)-(2,00*1,93)-(1,97*0,31)-(0,10*0,21)"/>
        <s v="(2,19*1,86)-(0,41*0,70)"/>
        <s v="(1,45*1,91)-(0,34*0,34)-(0,41*(0,63+0,34))-(0,73*0,10)"/>
        <s v="((3,62+3,60)/2)*((6,19+6,20)/2)-(0,09*0,74)-(0,51*0,56)"/>
        <s v="(((2,88+2,91)/2)*5,89)+((1,43*1,09)/2)+((1,66*0,37)/2)"/>
        <s v="Усього по кв. №5:"/>
        <s v="(4,66*6,07)-(3,52*3,22)+(((2,55+0,85)/2)*1,64)+((0,46*2,19)/2)"/>
        <s v="(електр. підрахунок)"/>
        <s v="(0,52*1,90)+(((3,51+1,90+0,23)/2)*2,28)+(((3,51+3,57)/2)*0,89)-((0,41*0,83)/2)+(((3,57+2,97)/2)*0,40)+((0,85+0,42+0,31)*2,97)"/>
        <m/>
        <s v="((3,82+3,79)/2)*((7,26+7,27)/2)-(0,56*0,42)"/>
        <s v="((3,80+3,78)/2)*((8,24+8,24)/2)-(0,56*0,42)-(0,72*0,54)-(0,48*(0,71+0,54))"/>
        <s v="((2,82+2,70)/2)*((6,19+6,20)/2)-(0,52*0,81)-(0,07*0,11)"/>
        <s v="(3,35*1,86)-(0,09*0,24)-(0,11*0,39)-(0,36*0,26)-(0,86*0,34)"/>
        <s v="(2/3*1,83*0,23)*0,3"/>
        <s v="Усього по кв. №41:"/>
        <s v="(((1,26+1,15)/2)*(1,43+0,29+0,21))+((1,61*1,07)/2)-(((0,16+0,16)/2)*0,29)"/>
        <s v="(2,58*1,93)-(0,11*0,31)-(0,10*1,57)"/>
        <s v="((2,54+2,71)/2)*((6,22+6,21)/2)-(0,12*0,14)-(0,80*0,48)"/>
        <s v="(((3,09+3,16)/2)*6,22)-(0,55*1,10)-(0,16*0,11)"/>
        <s v="(((4,88+3,13)/2)*2,69)+(2/3*0,23*3,21)-((0,97*0,23)/2)"/>
        <s v="Усього по кв. №42:"/>
        <s v="(((3,16+3,14)/2)*6,18)-(0,11*0,16)-(0,71*0,54)"/>
        <s v="(((2,69+2,65)/2)*6,19)-(0,51*0,88)-(0,14*0,14)"/>
        <s v="(2,79*1,81)-(0,10*1,50)-(0,21*1,55)"/>
        <s v="(((1,37+1,21)/2)*1,85)+((1,08*1,55)/2)-(0,30*0,30)"/>
        <s v="Усього по кв. №43:"/>
        <s v="Усього по кв. №44:"/>
        <s v="(4,68*3,37)-(0,24*0,15)-(0,26*2,02)-(1,89*2,01)"/>
        <s v="((3,52+3,51)/2)*((6,19+6,20)/2)-(0,53*0,51)-(0,73*0,09)"/>
        <s v="(1,82*1,35)-(0,10*0,62)-(0,34*(0,53+0,32))-(0,34*0,32)"/>
        <s v="(1,93*2,09)-(1,17*0,32)"/>
        <s v="Усього по кв. №73:"/>
        <s v="(5,23*4,79)+(0,11*1,28)-(0,09*0,69)-(1,79*(1,78+0,09))-(1,19*(1,92+1,78+0,09))-(0,08*0,26)-(((0,11+0,11)/2)*2,69)"/>
        <s v="(1,82*2,94)-(0,34*1,16)"/>
        <s v="(1,46*1,74)-(0,50*0,29)-(0,33*(0,35+0,50))-(0,74*0,03)"/>
        <s v="((3,09+3,09)/2)*((6,22+6,19)/2)-(0,09*0,77)-(0,27*0,33)-(0,90*0,34)-(0,44*0,53)"/>
        <s v="(((3,32+3,29)/2)*6,26)+((1,14*1,57)/2)+((1,93*0,09)/2)-(0,52*0,10)-(0,12*0,14)"/>
        <s v="Усього по кв. №74:"/>
        <s v="((2,49+2,51)/2)*((3,92+3,92)/2)-(0,31*0,60)-(0,22*2,13)-(0,10*3,16)"/>
        <s v="(1,19*1,50)-(0,36*0,33)"/>
        <s v="(2,24*1,71)-(1,90*0,04)"/>
        <s v="(((2,80+2,96)/2)*6,33)-(0,22*1,89)-(0,29*0,27)-(0,90*0,34)-(0,10*0,52)"/>
        <s v="((3,33+3,15)/2)*((6,31+6,32)/2)-(0,51*0,10)-(0,10*0,19)"/>
        <s v="(((1,73+1,74)/2)*((6,00+6,00)/2)+(2/3*6,00*0,37))*0,3"/>
        <s v="Усього по кв. №75:"/>
        <s v="(5,14*3,54)+(0,11*1,30)-(1,63*1,26)-(2,29*(0,45+1,63))-(0,10*0,16)"/>
        <s v="(1,15*1,40)-(0,39*0,36)"/>
        <s v="(2,10*1,86)"/>
        <s v="(((1,57+1,57)/2)*3,40)+(0,11*1,30)-(0,28*0,50)-(0,10*0,12)"/>
        <s v="(3,41*4,54)+((1,07*1,67)/2)+((1,97*0,10)/2)-(0,89*0,06)-(0,33*0,29)-(0,11*0,50)"/>
        <s v="((3,12+3,12)/2)*((6,23+6,23)/2)-(0,53*0,51)-(0,75*0,10)"/>
        <s v="((3,50+3,48)/2)*((5,10+5,09)/2)-(0,10*0,74)"/>
        <s v="Усього по кв. №76:"/>
        <s v="(1,97*0,84)+(1,27*0,11)-(0,32*0,10)"/>
        <s v="(1,63*3,55)-(0,10*2,08)-(0,38*0,26)"/>
        <s v="((3,31+3,29)/2)*((4,99+4,98)/2)-(0,77*0,10)"/>
        <s v="((3,36+3,37)/2)*((6,19+6,20)/2)-(0,10*0,77)-(0,54*0,53)"/>
        <s v="(((3,18+3,17)/2)*3,41)+((1,12*1,61)/2)+(((2,07+0,09)/2)*0,31)-(0,21*0,19)"/>
        <s v="(1,00*2,65)-(0,12*1,63)-(0,34*0,12)-(0,17*0,74)"/>
        <s v="((2,37+2,37)/2)*((3,15+3,16)/2)+(0,10*1,27)+(2,11*0,12)-(0,10*0,11)"/>
        <s v="Усього по кв. №77:"/>
      </sharedItems>
    </cacheField>
    <cacheField name="Загальна площа приміщень (підрахована за формулами гр.6 ) (кв.м)" numFmtId="172">
      <sharedItems containsString="0" containsBlank="1" containsNumber="1" minValue="0" maxValue="118.69999999999999" count="78">
        <n v="1.9"/>
        <n v="2.2000000000000002"/>
        <n v="10.7"/>
        <n v="20.9"/>
        <n v="16.8"/>
        <n v="8.9"/>
        <n v="5.0999999999999996"/>
        <n v="1.5"/>
        <n v="0"/>
        <n v="68"/>
        <n v="9.6999999999999993"/>
        <n v="17"/>
        <n v="3.8"/>
        <n v="1.4"/>
        <n v="3.6"/>
        <n v="56.399999999999991"/>
        <n v="16.399999999999999"/>
        <n v="22.3"/>
        <n v="18.3"/>
        <n v="4.9000000000000004"/>
        <n v="0.7"/>
        <n v="64.800000000000011"/>
        <n v="11.6"/>
        <n v="22"/>
        <n v="18.100000000000001"/>
        <n v="57.699999999999996"/>
        <n v="20.2"/>
        <n v="2.1"/>
        <n v="27.4"/>
        <n v="30"/>
        <n v="16.7"/>
        <n v="5.8"/>
        <n v="0.1"/>
        <n v="118.69999999999999"/>
        <n v="28.6"/>
        <n v="3.1"/>
        <n v="4.8"/>
        <n v="15.9"/>
        <n v="18.8"/>
        <n v="11.2"/>
        <n v="14.6"/>
        <n v="1.8"/>
        <n v="98.8"/>
        <n v="29.9"/>
        <n v="13.3"/>
        <n v="11.8"/>
        <n v="19.100000000000001"/>
        <n v="16.100000000000001"/>
        <n v="4.5999999999999996"/>
        <n v="1.7"/>
        <n v="99.59999999999998"/>
        <m/>
        <n v="11.4"/>
        <n v="21.4"/>
        <n v="2"/>
        <n v="3.7"/>
        <n v="38.5"/>
        <n v="5"/>
        <n v="18.5"/>
        <n v="21.6"/>
        <n v="0.6"/>
        <n v="64.8"/>
        <n v="8.8000000000000007"/>
        <n v="17.399999999999999"/>
        <n v="20.399999999999999"/>
        <n v="55.699999999999996"/>
        <n v="11.5"/>
        <n v="3.9"/>
        <n v="5.3"/>
        <n v="16.3"/>
        <n v="17.7"/>
        <n v="75.899999999999991"/>
        <n v="5.5"/>
        <n v="20.5"/>
        <n v="12"/>
        <n v="2.2999999999999998"/>
        <n v="7.8"/>
        <n v="66.3"/>
      </sharedItems>
    </cacheField>
    <cacheField name="загальна                          (сума гр. 9 та 10)" numFmtId="172">
      <sharedItems containsString="0" containsBlank="1" containsNumber="1" minValue="0" maxValue="118.6" count="14">
        <m/>
        <n v="66.5"/>
        <n v="0"/>
        <n v="52.8"/>
        <n v="64.100000000000009"/>
        <n v="57.7"/>
        <n v="118.6"/>
        <n v="97"/>
        <n v="97.9"/>
        <n v="38.5"/>
        <n v="64.2"/>
        <n v="52.099999999999994"/>
        <n v="75.3"/>
        <n v="66.3"/>
      </sharedItems>
    </cacheField>
    <cacheField name="житлова / основна" numFmtId="172">
      <sharedItems containsString="0" containsBlank="1" containsNumber="1" minValue="0" maxValue="74.099999999999994" count="27">
        <m/>
        <n v="20.9"/>
        <n v="16.8"/>
        <n v="37.700000000000003"/>
        <n v="0"/>
        <n v="22.3"/>
        <n v="22"/>
        <n v="27.4"/>
        <n v="30"/>
        <n v="16.7"/>
        <n v="74.099999999999994"/>
        <n v="15.9"/>
        <n v="18.8"/>
        <n v="11.2"/>
        <n v="45.900000000000006"/>
        <n v="11.8"/>
        <n v="19.100000000000001"/>
        <n v="16.100000000000001"/>
        <n v="47"/>
        <n v="21.4"/>
        <n v="21.6"/>
        <n v="20.399999999999999"/>
        <n v="17.7"/>
        <n v="36.799999999999997"/>
        <n v="16.399999999999999"/>
        <n v="20.5"/>
        <n v="36.9"/>
      </sharedItems>
    </cacheField>
    <cacheField name="допоміжна" numFmtId="172">
      <sharedItems containsString="0" containsBlank="1" containsNumber="1" minValue="0" maxValue="51.1"/>
    </cacheField>
    <cacheField name="Площа літніх приміщень (кв.м.)" numFmtId="172">
      <sharedItems containsString="0" containsBlank="1" containsNumber="1" minValue="0" maxValue="3.6"/>
    </cacheField>
    <cacheField name="Площа приміщень загального користування (кв.м.)" numFmtId="172">
      <sharedItems containsString="0" containsBlank="1" containsNumber="1" containsInteger="1" minValue="0" maxValue="0"/>
    </cacheField>
    <cacheField name="Самочинно збудована, переобладнана площа приміщень (кв.м.)" numFmtId="172">
      <sharedItems containsString="0" containsBlank="1" containsNumber="1" containsInteger="1" minValue="0" maxValue="0"/>
    </cacheField>
    <cacheField name="Примітки" numFmtId="0">
      <sharedItems containsBlank="1" containsMixedTypes="1" containsNumber="1" containsInteger="1" minValue="0" maxValue="0"/>
    </cacheField>
    <cacheField name="количесво комнат" numFmtId="0">
      <sharedItems containsString="0" containsBlank="1" containsNumber="1" containsInteger="1" minValue="1" maxValue="3" count="4">
        <m/>
        <n v="2"/>
        <n v="1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e v="#REF!"/>
    <x v="0"/>
    <x v="0"/>
    <n v="1"/>
    <x v="0"/>
    <x v="0"/>
    <x v="0"/>
    <x v="0"/>
    <x v="0"/>
    <n v="1.9"/>
    <m/>
    <m/>
    <m/>
    <m/>
    <x v="0"/>
  </r>
  <r>
    <m/>
    <x v="0"/>
    <x v="0"/>
    <n v="2"/>
    <x v="1"/>
    <x v="1"/>
    <x v="1"/>
    <x v="0"/>
    <x v="0"/>
    <n v="2.2000000000000002"/>
    <m/>
    <m/>
    <m/>
    <m/>
    <x v="0"/>
  </r>
  <r>
    <m/>
    <x v="0"/>
    <x v="0"/>
    <n v="3"/>
    <x v="2"/>
    <x v="2"/>
    <x v="2"/>
    <x v="0"/>
    <x v="0"/>
    <n v="10.7"/>
    <m/>
    <m/>
    <m/>
    <m/>
    <x v="0"/>
  </r>
  <r>
    <m/>
    <x v="0"/>
    <x v="0"/>
    <n v="4"/>
    <x v="3"/>
    <x v="3"/>
    <x v="3"/>
    <x v="0"/>
    <x v="1"/>
    <m/>
    <m/>
    <m/>
    <m/>
    <m/>
    <x v="0"/>
  </r>
  <r>
    <m/>
    <x v="0"/>
    <x v="0"/>
    <n v="5"/>
    <x v="3"/>
    <x v="4"/>
    <x v="4"/>
    <x v="0"/>
    <x v="2"/>
    <m/>
    <m/>
    <m/>
    <m/>
    <m/>
    <x v="0"/>
  </r>
  <r>
    <m/>
    <x v="0"/>
    <x v="0"/>
    <n v="6"/>
    <x v="0"/>
    <x v="5"/>
    <x v="5"/>
    <x v="0"/>
    <x v="0"/>
    <n v="8.9"/>
    <m/>
    <m/>
    <m/>
    <m/>
    <x v="0"/>
  </r>
  <r>
    <m/>
    <x v="0"/>
    <x v="0"/>
    <n v="7"/>
    <x v="4"/>
    <x v="6"/>
    <x v="6"/>
    <x v="0"/>
    <x v="0"/>
    <n v="5.0999999999999996"/>
    <m/>
    <m/>
    <m/>
    <m/>
    <x v="0"/>
  </r>
  <r>
    <m/>
    <x v="0"/>
    <x v="0"/>
    <m/>
    <x v="5"/>
    <x v="7"/>
    <x v="7"/>
    <x v="0"/>
    <x v="0"/>
    <m/>
    <n v="1.5"/>
    <m/>
    <m/>
    <s v="*0,3"/>
    <x v="0"/>
  </r>
  <r>
    <m/>
    <x v="0"/>
    <x v="0"/>
    <m/>
    <x v="5"/>
    <x v="7"/>
    <x v="8"/>
    <x v="0"/>
    <x v="0"/>
    <m/>
    <n v="0"/>
    <m/>
    <m/>
    <s v="*0,3"/>
    <x v="0"/>
  </r>
  <r>
    <m/>
    <x v="0"/>
    <x v="0"/>
    <m/>
    <x v="6"/>
    <x v="8"/>
    <x v="9"/>
    <x v="1"/>
    <x v="3"/>
    <n v="28.799999999999997"/>
    <n v="1.5"/>
    <n v="0"/>
    <n v="0"/>
    <n v="0"/>
    <x v="1"/>
  </r>
  <r>
    <e v="#REF!"/>
    <x v="0"/>
    <x v="1"/>
    <n v="1"/>
    <x v="0"/>
    <x v="9"/>
    <x v="8"/>
    <x v="0"/>
    <x v="0"/>
    <n v="0"/>
    <m/>
    <m/>
    <m/>
    <m/>
    <x v="0"/>
  </r>
  <r>
    <m/>
    <x v="0"/>
    <x v="1"/>
    <n v="2"/>
    <x v="3"/>
    <x v="10"/>
    <x v="8"/>
    <x v="0"/>
    <x v="4"/>
    <m/>
    <m/>
    <m/>
    <m/>
    <m/>
    <x v="0"/>
  </r>
  <r>
    <m/>
    <x v="0"/>
    <x v="1"/>
    <n v="3"/>
    <x v="3"/>
    <x v="11"/>
    <x v="8"/>
    <x v="0"/>
    <x v="4"/>
    <m/>
    <m/>
    <m/>
    <m/>
    <m/>
    <x v="0"/>
  </r>
  <r>
    <m/>
    <x v="0"/>
    <x v="1"/>
    <n v="4"/>
    <x v="7"/>
    <x v="12"/>
    <x v="8"/>
    <x v="0"/>
    <x v="0"/>
    <n v="0"/>
    <m/>
    <m/>
    <m/>
    <m/>
    <x v="0"/>
  </r>
  <r>
    <m/>
    <x v="0"/>
    <x v="1"/>
    <n v="5"/>
    <x v="0"/>
    <x v="13"/>
    <x v="8"/>
    <x v="0"/>
    <x v="0"/>
    <n v="0"/>
    <m/>
    <m/>
    <m/>
    <m/>
    <x v="0"/>
  </r>
  <r>
    <m/>
    <x v="0"/>
    <x v="1"/>
    <n v="6"/>
    <x v="4"/>
    <x v="14"/>
    <x v="8"/>
    <x v="0"/>
    <x v="0"/>
    <n v="0"/>
    <m/>
    <m/>
    <m/>
    <m/>
    <x v="0"/>
  </r>
  <r>
    <m/>
    <x v="0"/>
    <x v="1"/>
    <n v="7"/>
    <x v="1"/>
    <x v="15"/>
    <x v="8"/>
    <x v="0"/>
    <x v="0"/>
    <n v="0"/>
    <m/>
    <m/>
    <m/>
    <m/>
    <x v="0"/>
  </r>
  <r>
    <m/>
    <x v="0"/>
    <x v="1"/>
    <m/>
    <x v="5"/>
    <x v="7"/>
    <x v="8"/>
    <x v="0"/>
    <x v="0"/>
    <m/>
    <n v="0"/>
    <m/>
    <m/>
    <s v="*0,3"/>
    <x v="0"/>
  </r>
  <r>
    <m/>
    <x v="0"/>
    <x v="1"/>
    <m/>
    <x v="5"/>
    <x v="7"/>
    <x v="8"/>
    <x v="0"/>
    <x v="0"/>
    <m/>
    <n v="0"/>
    <m/>
    <m/>
    <s v="*0,3"/>
    <x v="0"/>
  </r>
  <r>
    <m/>
    <x v="0"/>
    <x v="1"/>
    <m/>
    <x v="6"/>
    <x v="16"/>
    <x v="8"/>
    <x v="2"/>
    <x v="4"/>
    <n v="0"/>
    <n v="0"/>
    <n v="0"/>
    <n v="0"/>
    <n v="0"/>
    <x v="1"/>
  </r>
  <r>
    <e v="#REF!"/>
    <x v="0"/>
    <x v="2"/>
    <n v="1"/>
    <x v="0"/>
    <x v="17"/>
    <x v="10"/>
    <x v="0"/>
    <x v="0"/>
    <n v="9.6999999999999993"/>
    <m/>
    <m/>
    <m/>
    <m/>
    <x v="0"/>
  </r>
  <r>
    <m/>
    <x v="0"/>
    <x v="2"/>
    <n v="2"/>
    <x v="3"/>
    <x v="18"/>
    <x v="3"/>
    <x v="0"/>
    <x v="1"/>
    <m/>
    <m/>
    <m/>
    <m/>
    <m/>
    <x v="0"/>
  </r>
  <r>
    <m/>
    <x v="0"/>
    <x v="2"/>
    <n v="3"/>
    <x v="2"/>
    <x v="19"/>
    <x v="11"/>
    <x v="0"/>
    <x v="0"/>
    <n v="17"/>
    <m/>
    <m/>
    <m/>
    <m/>
    <x v="0"/>
  </r>
  <r>
    <m/>
    <x v="0"/>
    <x v="2"/>
    <n v="4"/>
    <x v="8"/>
    <x v="20"/>
    <x v="12"/>
    <x v="0"/>
    <x v="0"/>
    <n v="3.8"/>
    <m/>
    <m/>
    <m/>
    <m/>
    <x v="0"/>
  </r>
  <r>
    <m/>
    <x v="0"/>
    <x v="2"/>
    <n v="5"/>
    <x v="1"/>
    <x v="21"/>
    <x v="13"/>
    <x v="0"/>
    <x v="0"/>
    <n v="1.4"/>
    <m/>
    <m/>
    <m/>
    <m/>
    <x v="0"/>
  </r>
  <r>
    <m/>
    <x v="0"/>
    <x v="2"/>
    <m/>
    <x v="5"/>
    <x v="22"/>
    <x v="14"/>
    <x v="0"/>
    <x v="0"/>
    <m/>
    <n v="3.6"/>
    <m/>
    <m/>
    <s v="*0,3"/>
    <x v="0"/>
  </r>
  <r>
    <m/>
    <x v="0"/>
    <x v="2"/>
    <m/>
    <x v="6"/>
    <x v="23"/>
    <x v="15"/>
    <x v="3"/>
    <x v="1"/>
    <n v="31.9"/>
    <n v="3.6"/>
    <n v="0"/>
    <n v="0"/>
    <n v="0"/>
    <x v="2"/>
  </r>
  <r>
    <e v="#REF!"/>
    <x v="0"/>
    <x v="3"/>
    <n v="1"/>
    <x v="0"/>
    <x v="24"/>
    <x v="16"/>
    <x v="0"/>
    <x v="0"/>
    <n v="16.399999999999999"/>
    <m/>
    <m/>
    <m/>
    <m/>
    <x v="0"/>
  </r>
  <r>
    <m/>
    <x v="0"/>
    <x v="3"/>
    <n v="2"/>
    <x v="3"/>
    <x v="25"/>
    <x v="17"/>
    <x v="0"/>
    <x v="5"/>
    <m/>
    <m/>
    <m/>
    <m/>
    <m/>
    <x v="0"/>
  </r>
  <r>
    <m/>
    <x v="0"/>
    <x v="3"/>
    <n v="3"/>
    <x v="2"/>
    <x v="26"/>
    <x v="18"/>
    <x v="0"/>
    <x v="0"/>
    <n v="18.3"/>
    <m/>
    <m/>
    <m/>
    <m/>
    <x v="0"/>
  </r>
  <r>
    <m/>
    <x v="0"/>
    <x v="3"/>
    <n v="4"/>
    <x v="1"/>
    <x v="27"/>
    <x v="1"/>
    <x v="0"/>
    <x v="0"/>
    <n v="2.2000000000000002"/>
    <m/>
    <m/>
    <m/>
    <m/>
    <x v="0"/>
  </r>
  <r>
    <m/>
    <x v="0"/>
    <x v="3"/>
    <n v="5"/>
    <x v="8"/>
    <x v="28"/>
    <x v="19"/>
    <x v="0"/>
    <x v="0"/>
    <n v="4.9000000000000004"/>
    <m/>
    <m/>
    <m/>
    <m/>
    <x v="0"/>
  </r>
  <r>
    <m/>
    <x v="0"/>
    <x v="3"/>
    <m/>
    <x v="5"/>
    <x v="7"/>
    <x v="20"/>
    <x v="0"/>
    <x v="0"/>
    <m/>
    <n v="0.7"/>
    <m/>
    <m/>
    <s v="*0,3"/>
    <x v="0"/>
  </r>
  <r>
    <m/>
    <x v="0"/>
    <x v="3"/>
    <m/>
    <x v="6"/>
    <x v="29"/>
    <x v="21"/>
    <x v="4"/>
    <x v="5"/>
    <n v="41.800000000000004"/>
    <n v="0.7"/>
    <n v="0"/>
    <n v="0"/>
    <n v="0"/>
    <x v="2"/>
  </r>
  <r>
    <e v="#REF!"/>
    <x v="0"/>
    <x v="4"/>
    <n v="1"/>
    <x v="0"/>
    <x v="30"/>
    <x v="22"/>
    <x v="0"/>
    <x v="0"/>
    <n v="11.6"/>
    <m/>
    <m/>
    <m/>
    <m/>
    <x v="0"/>
  </r>
  <r>
    <m/>
    <x v="0"/>
    <x v="4"/>
    <n v="2"/>
    <x v="8"/>
    <x v="31"/>
    <x v="12"/>
    <x v="0"/>
    <x v="0"/>
    <n v="3.8"/>
    <m/>
    <m/>
    <m/>
    <m/>
    <x v="0"/>
  </r>
  <r>
    <m/>
    <x v="0"/>
    <x v="4"/>
    <n v="3"/>
    <x v="1"/>
    <x v="32"/>
    <x v="1"/>
    <x v="0"/>
    <x v="0"/>
    <n v="2.2000000000000002"/>
    <m/>
    <m/>
    <m/>
    <m/>
    <x v="0"/>
  </r>
  <r>
    <m/>
    <x v="0"/>
    <x v="4"/>
    <n v="4"/>
    <x v="3"/>
    <x v="33"/>
    <x v="23"/>
    <x v="0"/>
    <x v="6"/>
    <m/>
    <m/>
    <m/>
    <m/>
    <m/>
    <x v="0"/>
  </r>
  <r>
    <m/>
    <x v="0"/>
    <x v="4"/>
    <n v="5"/>
    <x v="2"/>
    <x v="34"/>
    <x v="24"/>
    <x v="0"/>
    <x v="0"/>
    <n v="18.100000000000001"/>
    <m/>
    <m/>
    <m/>
    <m/>
    <x v="0"/>
  </r>
  <r>
    <m/>
    <x v="0"/>
    <x v="4"/>
    <m/>
    <x v="5"/>
    <x v="7"/>
    <x v="8"/>
    <x v="0"/>
    <x v="0"/>
    <m/>
    <n v="0"/>
    <m/>
    <m/>
    <s v="*0,3"/>
    <x v="0"/>
  </r>
  <r>
    <m/>
    <x v="0"/>
    <x v="4"/>
    <m/>
    <x v="6"/>
    <x v="35"/>
    <x v="25"/>
    <x v="5"/>
    <x v="6"/>
    <n v="35.700000000000003"/>
    <n v="0"/>
    <n v="0"/>
    <n v="0"/>
    <n v="0"/>
    <x v="2"/>
  </r>
  <r>
    <e v="#REF!"/>
    <x v="0"/>
    <x v="5"/>
    <n v="1"/>
    <x v="0"/>
    <x v="36"/>
    <x v="26"/>
    <x v="0"/>
    <x v="0"/>
    <n v="20.2"/>
    <m/>
    <m/>
    <m/>
    <m/>
    <x v="0"/>
  </r>
  <r>
    <m/>
    <x v="0"/>
    <x v="5"/>
    <n v="2"/>
    <x v="1"/>
    <x v="37"/>
    <x v="27"/>
    <x v="0"/>
    <x v="0"/>
    <n v="2.1"/>
    <m/>
    <m/>
    <m/>
    <m/>
    <x v="0"/>
  </r>
  <r>
    <m/>
    <x v="0"/>
    <x v="5"/>
    <n v="3"/>
    <x v="2"/>
    <x v="38"/>
    <x v="16"/>
    <x v="0"/>
    <x v="0"/>
    <n v="16.399999999999999"/>
    <m/>
    <m/>
    <m/>
    <m/>
    <x v="0"/>
  </r>
  <r>
    <m/>
    <x v="0"/>
    <x v="5"/>
    <n v="4"/>
    <x v="9"/>
    <x v="39"/>
    <x v="8"/>
    <x v="0"/>
    <x v="0"/>
    <m/>
    <n v="0"/>
    <m/>
    <m/>
    <s v="*0,5"/>
    <x v="0"/>
  </r>
  <r>
    <m/>
    <x v="0"/>
    <x v="5"/>
    <n v="5"/>
    <x v="3"/>
    <x v="40"/>
    <x v="28"/>
    <x v="0"/>
    <x v="7"/>
    <m/>
    <m/>
    <m/>
    <m/>
    <m/>
    <x v="0"/>
  </r>
  <r>
    <m/>
    <x v="0"/>
    <x v="5"/>
    <n v="6"/>
    <x v="3"/>
    <x v="41"/>
    <x v="29"/>
    <x v="0"/>
    <x v="8"/>
    <m/>
    <m/>
    <m/>
    <m/>
    <m/>
    <x v="0"/>
  </r>
  <r>
    <m/>
    <x v="0"/>
    <x v="5"/>
    <n v="7"/>
    <x v="3"/>
    <x v="42"/>
    <x v="30"/>
    <x v="0"/>
    <x v="9"/>
    <m/>
    <m/>
    <m/>
    <m/>
    <m/>
    <x v="0"/>
  </r>
  <r>
    <m/>
    <x v="0"/>
    <x v="5"/>
    <n v="8"/>
    <x v="4"/>
    <x v="43"/>
    <x v="31"/>
    <x v="0"/>
    <x v="0"/>
    <n v="5.8"/>
    <m/>
    <m/>
    <m/>
    <m/>
    <x v="0"/>
  </r>
  <r>
    <m/>
    <x v="0"/>
    <x v="5"/>
    <m/>
    <x v="5"/>
    <x v="44"/>
    <x v="32"/>
    <x v="0"/>
    <x v="0"/>
    <m/>
    <n v="0.1"/>
    <m/>
    <m/>
    <s v="*0,3"/>
    <x v="0"/>
  </r>
  <r>
    <m/>
    <x v="0"/>
    <x v="5"/>
    <m/>
    <x v="6"/>
    <x v="45"/>
    <x v="33"/>
    <x v="6"/>
    <x v="10"/>
    <n v="44.5"/>
    <n v="0.1"/>
    <n v="0"/>
    <n v="0"/>
    <n v="0"/>
    <x v="3"/>
  </r>
  <r>
    <e v="#REF!"/>
    <x v="0"/>
    <x v="6"/>
    <n v="1"/>
    <x v="0"/>
    <x v="37"/>
    <x v="34"/>
    <x v="0"/>
    <x v="0"/>
    <n v="28.6"/>
    <m/>
    <m/>
    <m/>
    <m/>
    <x v="0"/>
  </r>
  <r>
    <m/>
    <x v="0"/>
    <x v="6"/>
    <n v="2"/>
    <x v="1"/>
    <x v="46"/>
    <x v="35"/>
    <x v="0"/>
    <x v="0"/>
    <n v="3.1"/>
    <m/>
    <m/>
    <m/>
    <m/>
    <x v="0"/>
  </r>
  <r>
    <m/>
    <x v="0"/>
    <x v="6"/>
    <n v="3"/>
    <x v="4"/>
    <x v="47"/>
    <x v="36"/>
    <x v="0"/>
    <x v="0"/>
    <n v="4.8"/>
    <m/>
    <m/>
    <m/>
    <m/>
    <x v="0"/>
  </r>
  <r>
    <m/>
    <x v="0"/>
    <x v="6"/>
    <n v="4"/>
    <x v="3"/>
    <x v="48"/>
    <x v="37"/>
    <x v="0"/>
    <x v="11"/>
    <m/>
    <m/>
    <m/>
    <m/>
    <m/>
    <x v="0"/>
  </r>
  <r>
    <m/>
    <x v="0"/>
    <x v="6"/>
    <n v="5"/>
    <x v="3"/>
    <x v="49"/>
    <x v="38"/>
    <x v="0"/>
    <x v="12"/>
    <m/>
    <m/>
    <m/>
    <m/>
    <m/>
    <x v="0"/>
  </r>
  <r>
    <m/>
    <x v="0"/>
    <x v="6"/>
    <n v="6"/>
    <x v="3"/>
    <x v="50"/>
    <x v="39"/>
    <x v="0"/>
    <x v="13"/>
    <m/>
    <m/>
    <m/>
    <m/>
    <m/>
    <x v="0"/>
  </r>
  <r>
    <m/>
    <x v="0"/>
    <x v="6"/>
    <n v="7"/>
    <x v="2"/>
    <x v="37"/>
    <x v="40"/>
    <x v="0"/>
    <x v="0"/>
    <n v="14.6"/>
    <m/>
    <m/>
    <m/>
    <m/>
    <x v="0"/>
  </r>
  <r>
    <m/>
    <x v="0"/>
    <x v="6"/>
    <m/>
    <x v="5"/>
    <x v="7"/>
    <x v="41"/>
    <x v="0"/>
    <x v="0"/>
    <m/>
    <n v="1.8"/>
    <m/>
    <m/>
    <s v="*0,3"/>
    <x v="0"/>
  </r>
  <r>
    <m/>
    <x v="0"/>
    <x v="6"/>
    <m/>
    <x v="6"/>
    <x v="51"/>
    <x v="42"/>
    <x v="7"/>
    <x v="14"/>
    <n v="51.1"/>
    <n v="1.8"/>
    <n v="0"/>
    <n v="0"/>
    <n v="0"/>
    <x v="3"/>
  </r>
  <r>
    <e v="#REF!"/>
    <x v="0"/>
    <x v="7"/>
    <n v="1"/>
    <x v="0"/>
    <x v="37"/>
    <x v="43"/>
    <x v="0"/>
    <x v="0"/>
    <n v="29.9"/>
    <m/>
    <m/>
    <m/>
    <m/>
    <x v="0"/>
  </r>
  <r>
    <m/>
    <x v="0"/>
    <x v="7"/>
    <n v="2"/>
    <x v="2"/>
    <x v="37"/>
    <x v="44"/>
    <x v="0"/>
    <x v="0"/>
    <n v="13.3"/>
    <m/>
    <m/>
    <m/>
    <m/>
    <x v="0"/>
  </r>
  <r>
    <m/>
    <x v="0"/>
    <x v="7"/>
    <n v="3"/>
    <x v="3"/>
    <x v="37"/>
    <x v="45"/>
    <x v="0"/>
    <x v="15"/>
    <m/>
    <m/>
    <m/>
    <m/>
    <m/>
    <x v="0"/>
  </r>
  <r>
    <m/>
    <x v="0"/>
    <x v="7"/>
    <n v="4"/>
    <x v="3"/>
    <x v="52"/>
    <x v="46"/>
    <x v="0"/>
    <x v="16"/>
    <m/>
    <m/>
    <m/>
    <m/>
    <m/>
    <x v="0"/>
  </r>
  <r>
    <m/>
    <x v="0"/>
    <x v="7"/>
    <n v="5"/>
    <x v="3"/>
    <x v="53"/>
    <x v="47"/>
    <x v="0"/>
    <x v="17"/>
    <m/>
    <m/>
    <m/>
    <m/>
    <m/>
    <x v="0"/>
  </r>
  <r>
    <m/>
    <x v="0"/>
    <x v="7"/>
    <n v="6"/>
    <x v="4"/>
    <x v="54"/>
    <x v="48"/>
    <x v="0"/>
    <x v="0"/>
    <n v="4.5999999999999996"/>
    <m/>
    <m/>
    <m/>
    <m/>
    <x v="0"/>
  </r>
  <r>
    <m/>
    <x v="0"/>
    <x v="7"/>
    <n v="7"/>
    <x v="1"/>
    <x v="55"/>
    <x v="35"/>
    <x v="0"/>
    <x v="0"/>
    <n v="3.1"/>
    <m/>
    <m/>
    <m/>
    <m/>
    <x v="0"/>
  </r>
  <r>
    <m/>
    <x v="0"/>
    <x v="7"/>
    <m/>
    <x v="5"/>
    <x v="7"/>
    <x v="49"/>
    <x v="0"/>
    <x v="0"/>
    <m/>
    <n v="1.7"/>
    <m/>
    <m/>
    <s v="*0,3"/>
    <x v="0"/>
  </r>
  <r>
    <m/>
    <x v="0"/>
    <x v="7"/>
    <m/>
    <x v="6"/>
    <x v="56"/>
    <x v="50"/>
    <x v="8"/>
    <x v="18"/>
    <n v="50.900000000000006"/>
    <n v="1.7"/>
    <n v="0"/>
    <n v="0"/>
    <n v="0"/>
    <x v="3"/>
  </r>
  <r>
    <e v="#REF!"/>
    <x v="0"/>
    <x v="8"/>
    <n v="1"/>
    <x v="10"/>
    <x v="39"/>
    <x v="51"/>
    <x v="0"/>
    <x v="0"/>
    <m/>
    <m/>
    <m/>
    <m/>
    <m/>
    <x v="0"/>
  </r>
  <r>
    <m/>
    <x v="0"/>
    <x v="8"/>
    <n v="2"/>
    <x v="10"/>
    <x v="39"/>
    <x v="51"/>
    <x v="0"/>
    <x v="0"/>
    <m/>
    <m/>
    <m/>
    <m/>
    <m/>
    <x v="0"/>
  </r>
  <r>
    <m/>
    <x v="0"/>
    <x v="8"/>
    <n v="3"/>
    <x v="10"/>
    <x v="39"/>
    <x v="51"/>
    <x v="0"/>
    <x v="0"/>
    <m/>
    <m/>
    <m/>
    <m/>
    <m/>
    <x v="0"/>
  </r>
  <r>
    <m/>
    <x v="0"/>
    <x v="8"/>
    <n v="4"/>
    <x v="10"/>
    <x v="39"/>
    <x v="51"/>
    <x v="0"/>
    <x v="0"/>
    <m/>
    <m/>
    <m/>
    <m/>
    <m/>
    <x v="0"/>
  </r>
  <r>
    <m/>
    <x v="0"/>
    <x v="8"/>
    <n v="5"/>
    <x v="10"/>
    <x v="39"/>
    <x v="51"/>
    <x v="0"/>
    <x v="0"/>
    <m/>
    <m/>
    <m/>
    <m/>
    <m/>
    <x v="0"/>
  </r>
  <r>
    <m/>
    <x v="0"/>
    <x v="8"/>
    <n v="6"/>
    <x v="10"/>
    <x v="39"/>
    <x v="51"/>
    <x v="0"/>
    <x v="0"/>
    <m/>
    <m/>
    <m/>
    <m/>
    <m/>
    <x v="0"/>
  </r>
  <r>
    <m/>
    <x v="0"/>
    <x v="8"/>
    <n v="7"/>
    <x v="10"/>
    <x v="39"/>
    <x v="51"/>
    <x v="0"/>
    <x v="0"/>
    <m/>
    <m/>
    <m/>
    <m/>
    <m/>
    <x v="0"/>
  </r>
  <r>
    <m/>
    <x v="0"/>
    <x v="8"/>
    <n v="8"/>
    <x v="10"/>
    <x v="39"/>
    <x v="51"/>
    <x v="0"/>
    <x v="0"/>
    <m/>
    <m/>
    <m/>
    <m/>
    <m/>
    <x v="0"/>
  </r>
  <r>
    <m/>
    <x v="0"/>
    <x v="8"/>
    <m/>
    <x v="5"/>
    <x v="39"/>
    <x v="51"/>
    <x v="0"/>
    <x v="0"/>
    <m/>
    <m/>
    <m/>
    <m/>
    <s v="*0,3"/>
    <x v="0"/>
  </r>
  <r>
    <m/>
    <x v="0"/>
    <x v="8"/>
    <m/>
    <x v="6"/>
    <x v="57"/>
    <x v="8"/>
    <x v="2"/>
    <x v="4"/>
    <n v="0"/>
    <n v="0"/>
    <n v="0"/>
    <n v="0"/>
    <n v="0"/>
    <x v="0"/>
  </r>
  <r>
    <e v="#REF!"/>
    <x v="0"/>
    <x v="9"/>
    <n v="1"/>
    <x v="0"/>
    <x v="58"/>
    <x v="52"/>
    <x v="0"/>
    <x v="0"/>
    <n v="11.4"/>
    <m/>
    <m/>
    <m/>
    <m/>
    <x v="0"/>
  </r>
  <r>
    <m/>
    <x v="0"/>
    <x v="9"/>
    <n v="2"/>
    <x v="2"/>
    <x v="39"/>
    <x v="8"/>
    <x v="0"/>
    <x v="0"/>
    <n v="0"/>
    <m/>
    <m/>
    <m/>
    <m/>
    <x v="0"/>
  </r>
  <r>
    <m/>
    <x v="0"/>
    <x v="9"/>
    <n v="3"/>
    <x v="3"/>
    <x v="59"/>
    <x v="53"/>
    <x v="0"/>
    <x v="19"/>
    <m/>
    <m/>
    <m/>
    <m/>
    <m/>
    <x v="0"/>
  </r>
  <r>
    <m/>
    <x v="0"/>
    <x v="9"/>
    <n v="4"/>
    <x v="1"/>
    <x v="60"/>
    <x v="54"/>
    <x v="0"/>
    <x v="0"/>
    <n v="2"/>
    <m/>
    <m/>
    <m/>
    <m/>
    <x v="0"/>
  </r>
  <r>
    <m/>
    <x v="0"/>
    <x v="9"/>
    <n v="5"/>
    <x v="8"/>
    <x v="61"/>
    <x v="55"/>
    <x v="0"/>
    <x v="0"/>
    <n v="3.7"/>
    <m/>
    <m/>
    <m/>
    <m/>
    <x v="0"/>
  </r>
  <r>
    <m/>
    <x v="0"/>
    <x v="9"/>
    <m/>
    <x v="5"/>
    <x v="39"/>
    <x v="8"/>
    <x v="0"/>
    <x v="0"/>
    <m/>
    <n v="0"/>
    <m/>
    <m/>
    <s v="*0,3"/>
    <x v="0"/>
  </r>
  <r>
    <m/>
    <x v="0"/>
    <x v="9"/>
    <m/>
    <x v="6"/>
    <x v="62"/>
    <x v="56"/>
    <x v="9"/>
    <x v="19"/>
    <n v="17.100000000000001"/>
    <n v="0"/>
    <n v="0"/>
    <n v="0"/>
    <n v="0"/>
    <x v="2"/>
  </r>
  <r>
    <e v="#REF!"/>
    <x v="0"/>
    <x v="10"/>
    <n v="1"/>
    <x v="0"/>
    <x v="63"/>
    <x v="11"/>
    <x v="0"/>
    <x v="0"/>
    <n v="17"/>
    <m/>
    <m/>
    <m/>
    <m/>
    <x v="0"/>
  </r>
  <r>
    <m/>
    <x v="0"/>
    <x v="10"/>
    <n v="2"/>
    <x v="8"/>
    <x v="64"/>
    <x v="57"/>
    <x v="0"/>
    <x v="0"/>
    <n v="5"/>
    <m/>
    <m/>
    <m/>
    <m/>
    <x v="0"/>
  </r>
  <r>
    <m/>
    <x v="0"/>
    <x v="10"/>
    <n v="3"/>
    <x v="1"/>
    <x v="65"/>
    <x v="27"/>
    <x v="0"/>
    <x v="0"/>
    <n v="2.1"/>
    <m/>
    <m/>
    <m/>
    <m/>
    <x v="0"/>
  </r>
  <r>
    <m/>
    <x v="0"/>
    <x v="10"/>
    <n v="4"/>
    <x v="2"/>
    <x v="66"/>
    <x v="58"/>
    <x v="0"/>
    <x v="0"/>
    <n v="18.5"/>
    <m/>
    <m/>
    <m/>
    <m/>
    <x v="0"/>
  </r>
  <r>
    <m/>
    <x v="0"/>
    <x v="10"/>
    <n v="5"/>
    <x v="3"/>
    <x v="67"/>
    <x v="59"/>
    <x v="0"/>
    <x v="20"/>
    <m/>
    <m/>
    <m/>
    <m/>
    <m/>
    <x v="0"/>
  </r>
  <r>
    <m/>
    <x v="0"/>
    <x v="10"/>
    <m/>
    <x v="5"/>
    <x v="7"/>
    <x v="60"/>
    <x v="0"/>
    <x v="0"/>
    <m/>
    <n v="0.6"/>
    <m/>
    <m/>
    <s v="*0,3"/>
    <x v="0"/>
  </r>
  <r>
    <m/>
    <x v="0"/>
    <x v="10"/>
    <m/>
    <x v="6"/>
    <x v="68"/>
    <x v="61"/>
    <x v="10"/>
    <x v="20"/>
    <n v="42.6"/>
    <n v="0.6"/>
    <n v="0"/>
    <n v="0"/>
    <n v="0"/>
    <x v="2"/>
  </r>
  <r>
    <e v="#REF!"/>
    <x v="0"/>
    <x v="11"/>
    <n v="1"/>
    <x v="0"/>
    <x v="69"/>
    <x v="62"/>
    <x v="0"/>
    <x v="0"/>
    <n v="8.8000000000000007"/>
    <m/>
    <m/>
    <m/>
    <m/>
    <x v="0"/>
  </r>
  <r>
    <m/>
    <x v="0"/>
    <x v="11"/>
    <n v="2"/>
    <x v="1"/>
    <x v="70"/>
    <x v="49"/>
    <x v="0"/>
    <x v="0"/>
    <n v="1.7"/>
    <m/>
    <m/>
    <m/>
    <m/>
    <x v="0"/>
  </r>
  <r>
    <m/>
    <x v="0"/>
    <x v="11"/>
    <n v="3"/>
    <x v="8"/>
    <x v="71"/>
    <x v="12"/>
    <x v="0"/>
    <x v="0"/>
    <n v="3.8"/>
    <m/>
    <m/>
    <m/>
    <m/>
    <x v="0"/>
  </r>
  <r>
    <m/>
    <x v="0"/>
    <x v="11"/>
    <n v="4"/>
    <x v="2"/>
    <x v="72"/>
    <x v="63"/>
    <x v="0"/>
    <x v="0"/>
    <n v="17.399999999999999"/>
    <m/>
    <m/>
    <m/>
    <m/>
    <x v="0"/>
  </r>
  <r>
    <m/>
    <x v="0"/>
    <x v="11"/>
    <n v="5"/>
    <x v="3"/>
    <x v="73"/>
    <x v="64"/>
    <x v="0"/>
    <x v="21"/>
    <m/>
    <m/>
    <m/>
    <m/>
    <m/>
    <x v="0"/>
  </r>
  <r>
    <m/>
    <x v="0"/>
    <x v="11"/>
    <m/>
    <x v="5"/>
    <x v="74"/>
    <x v="14"/>
    <x v="0"/>
    <x v="0"/>
    <m/>
    <n v="3.6"/>
    <m/>
    <m/>
    <s v="*0,3"/>
    <x v="0"/>
  </r>
  <r>
    <m/>
    <x v="0"/>
    <x v="11"/>
    <m/>
    <x v="6"/>
    <x v="75"/>
    <x v="65"/>
    <x v="11"/>
    <x v="21"/>
    <n v="31.7"/>
    <n v="3.6"/>
    <n v="0"/>
    <n v="0"/>
    <n v="0"/>
    <x v="2"/>
  </r>
  <r>
    <e v="#REF!"/>
    <x v="0"/>
    <x v="12"/>
    <n v="1"/>
    <x v="0"/>
    <x v="76"/>
    <x v="66"/>
    <x v="0"/>
    <x v="0"/>
    <n v="11.5"/>
    <m/>
    <m/>
    <m/>
    <m/>
    <x v="0"/>
  </r>
  <r>
    <m/>
    <x v="0"/>
    <x v="12"/>
    <n v="2"/>
    <x v="1"/>
    <x v="77"/>
    <x v="7"/>
    <x v="0"/>
    <x v="0"/>
    <n v="1.5"/>
    <m/>
    <m/>
    <m/>
    <m/>
    <x v="0"/>
  </r>
  <r>
    <m/>
    <x v="0"/>
    <x v="12"/>
    <n v="3"/>
    <x v="4"/>
    <x v="78"/>
    <x v="67"/>
    <x v="0"/>
    <x v="0"/>
    <n v="3.9"/>
    <m/>
    <m/>
    <m/>
    <m/>
    <x v="0"/>
  </r>
  <r>
    <m/>
    <x v="0"/>
    <x v="12"/>
    <n v="4"/>
    <x v="0"/>
    <x v="79"/>
    <x v="68"/>
    <x v="0"/>
    <x v="0"/>
    <n v="5.3"/>
    <m/>
    <m/>
    <m/>
    <m/>
    <x v="0"/>
  </r>
  <r>
    <m/>
    <x v="0"/>
    <x v="12"/>
    <n v="5"/>
    <x v="11"/>
    <x v="80"/>
    <x v="69"/>
    <x v="0"/>
    <x v="0"/>
    <n v="16.3"/>
    <m/>
    <m/>
    <m/>
    <m/>
    <x v="0"/>
  </r>
  <r>
    <m/>
    <x v="0"/>
    <x v="12"/>
    <n v="6"/>
    <x v="3"/>
    <x v="81"/>
    <x v="46"/>
    <x v="0"/>
    <x v="16"/>
    <m/>
    <m/>
    <m/>
    <m/>
    <m/>
    <x v="0"/>
  </r>
  <r>
    <m/>
    <x v="0"/>
    <x v="12"/>
    <n v="7"/>
    <x v="3"/>
    <x v="82"/>
    <x v="70"/>
    <x v="0"/>
    <x v="22"/>
    <m/>
    <m/>
    <m/>
    <m/>
    <m/>
    <x v="0"/>
  </r>
  <r>
    <m/>
    <x v="0"/>
    <x v="12"/>
    <m/>
    <x v="5"/>
    <x v="7"/>
    <x v="60"/>
    <x v="0"/>
    <x v="0"/>
    <m/>
    <n v="0.6"/>
    <m/>
    <m/>
    <s v="*0,3"/>
    <x v="0"/>
  </r>
  <r>
    <m/>
    <x v="0"/>
    <x v="12"/>
    <m/>
    <x v="5"/>
    <x v="39"/>
    <x v="8"/>
    <x v="0"/>
    <x v="0"/>
    <m/>
    <n v="0"/>
    <m/>
    <m/>
    <s v="*0,3"/>
    <x v="0"/>
  </r>
  <r>
    <m/>
    <x v="0"/>
    <x v="12"/>
    <m/>
    <x v="6"/>
    <x v="83"/>
    <x v="71"/>
    <x v="12"/>
    <x v="23"/>
    <n v="38.5"/>
    <n v="0.6"/>
    <n v="0"/>
    <n v="0"/>
    <n v="0"/>
    <x v="1"/>
  </r>
  <r>
    <e v="#REF!"/>
    <x v="0"/>
    <x v="13"/>
    <n v="1"/>
    <x v="0"/>
    <x v="84"/>
    <x v="41"/>
    <x v="0"/>
    <x v="0"/>
    <n v="1.8"/>
    <m/>
    <m/>
    <m/>
    <m/>
    <x v="0"/>
  </r>
  <r>
    <m/>
    <x v="0"/>
    <x v="13"/>
    <n v="2"/>
    <x v="4"/>
    <x v="85"/>
    <x v="72"/>
    <x v="0"/>
    <x v="0"/>
    <n v="5.5"/>
    <m/>
    <m/>
    <m/>
    <m/>
    <x v="0"/>
  </r>
  <r>
    <m/>
    <x v="0"/>
    <x v="13"/>
    <n v="3"/>
    <x v="3"/>
    <x v="86"/>
    <x v="16"/>
    <x v="0"/>
    <x v="24"/>
    <m/>
    <m/>
    <m/>
    <m/>
    <m/>
    <x v="0"/>
  </r>
  <r>
    <m/>
    <x v="0"/>
    <x v="13"/>
    <n v="4"/>
    <x v="3"/>
    <x v="87"/>
    <x v="73"/>
    <x v="0"/>
    <x v="25"/>
    <m/>
    <m/>
    <m/>
    <m/>
    <m/>
    <x v="0"/>
  </r>
  <r>
    <m/>
    <x v="0"/>
    <x v="13"/>
    <n v="5"/>
    <x v="2"/>
    <x v="88"/>
    <x v="74"/>
    <x v="0"/>
    <x v="0"/>
    <n v="12"/>
    <m/>
    <m/>
    <m/>
    <m/>
    <x v="0"/>
  </r>
  <r>
    <m/>
    <x v="0"/>
    <x v="13"/>
    <n v="6"/>
    <x v="1"/>
    <x v="89"/>
    <x v="75"/>
    <x v="0"/>
    <x v="0"/>
    <n v="2.2999999999999998"/>
    <m/>
    <m/>
    <m/>
    <m/>
    <x v="0"/>
  </r>
  <r>
    <m/>
    <x v="0"/>
    <x v="13"/>
    <n v="7"/>
    <x v="0"/>
    <x v="90"/>
    <x v="76"/>
    <x v="0"/>
    <x v="0"/>
    <n v="7.8"/>
    <m/>
    <m/>
    <m/>
    <m/>
    <x v="0"/>
  </r>
  <r>
    <m/>
    <x v="0"/>
    <x v="13"/>
    <m/>
    <x v="5"/>
    <x v="39"/>
    <x v="8"/>
    <x v="0"/>
    <x v="0"/>
    <m/>
    <n v="0"/>
    <m/>
    <m/>
    <s v="*0,3"/>
    <x v="0"/>
  </r>
  <r>
    <m/>
    <x v="0"/>
    <x v="13"/>
    <m/>
    <x v="5"/>
    <x v="39"/>
    <x v="8"/>
    <x v="0"/>
    <x v="0"/>
    <m/>
    <n v="0"/>
    <m/>
    <m/>
    <s v="*0,3"/>
    <x v="0"/>
  </r>
  <r>
    <m/>
    <x v="0"/>
    <x v="13"/>
    <m/>
    <x v="6"/>
    <x v="91"/>
    <x v="77"/>
    <x v="13"/>
    <x v="26"/>
    <n v="29.400000000000002"/>
    <n v="0"/>
    <n v="0"/>
    <n v="0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5" cacheId="96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J20" firstHeaderRow="1" firstDataRow="2" firstDataCol="3" rowPageCount="1" colPageCount="1"/>
  <pivotFields count="15"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13">
        <item x="5"/>
        <item x="8"/>
        <item x="1"/>
        <item x="3"/>
        <item x="2"/>
        <item x="11"/>
        <item x="7"/>
        <item x="9"/>
        <item x="0"/>
        <item x="4"/>
        <item x="6"/>
        <item x="10"/>
        <item t="default"/>
      </items>
    </pivotField>
    <pivotField compact="0" outline="0" subtotalTop="0" showAll="0" includeNewItemsInFilter="1">
      <items count="93">
        <item x="46"/>
        <item x="55"/>
        <item x="79"/>
        <item x="74"/>
        <item x="22"/>
        <item x="53"/>
        <item x="19"/>
        <item x="72"/>
        <item x="34"/>
        <item x="49"/>
        <item x="52"/>
        <item x="88"/>
        <item x="67"/>
        <item x="25"/>
        <item x="50"/>
        <item x="10"/>
        <item x="12"/>
        <item x="90"/>
        <item x="69"/>
        <item x="48"/>
        <item x="17"/>
        <item x="42"/>
        <item x="66"/>
        <item x="26"/>
        <item x="81"/>
        <item x="86"/>
        <item x="18"/>
        <item x="73"/>
        <item x="87"/>
        <item x="3"/>
        <item x="82"/>
        <item x="59"/>
        <item x="33"/>
        <item x="41"/>
        <item x="40"/>
        <item x="11"/>
        <item x="4"/>
        <item x="38"/>
        <item x="1"/>
        <item x="89"/>
        <item x="77"/>
        <item x="70"/>
        <item x="21"/>
        <item x="15"/>
        <item x="32"/>
        <item x="65"/>
        <item x="85"/>
        <item x="13"/>
        <item x="20"/>
        <item x="27"/>
        <item x="60"/>
        <item x="64"/>
        <item x="0"/>
        <item x="61"/>
        <item x="84"/>
        <item x="78"/>
        <item x="14"/>
        <item x="31"/>
        <item x="71"/>
        <item x="47"/>
        <item x="54"/>
        <item x="44"/>
        <item x="28"/>
        <item x="5"/>
        <item x="2"/>
        <item x="9"/>
        <item x="43"/>
        <item x="6"/>
        <item x="80"/>
        <item x="36"/>
        <item x="58"/>
        <item x="30"/>
        <item x="76"/>
        <item x="63"/>
        <item x="24"/>
        <item x="37"/>
        <item x="7"/>
        <item x="8"/>
        <item x="16"/>
        <item x="23"/>
        <item x="29"/>
        <item x="45"/>
        <item x="51"/>
        <item x="56"/>
        <item x="57"/>
        <item x="35"/>
        <item x="62"/>
        <item x="68"/>
        <item x="75"/>
        <item x="83"/>
        <item x="91"/>
        <item x="39"/>
        <item t="default"/>
      </items>
    </pivotField>
    <pivotField dataField="1" compact="0" outline="0" subtotalTop="0" showAll="0" includeNewItemsInFilter="1">
      <items count="79">
        <item x="8"/>
        <item x="32"/>
        <item x="60"/>
        <item x="20"/>
        <item x="13"/>
        <item x="7"/>
        <item x="49"/>
        <item x="41"/>
        <item x="0"/>
        <item x="54"/>
        <item x="27"/>
        <item x="1"/>
        <item x="75"/>
        <item x="35"/>
        <item x="14"/>
        <item x="55"/>
        <item x="12"/>
        <item x="67"/>
        <item x="48"/>
        <item x="36"/>
        <item x="19"/>
        <item x="57"/>
        <item x="6"/>
        <item x="68"/>
        <item x="72"/>
        <item x="31"/>
        <item x="76"/>
        <item x="62"/>
        <item x="5"/>
        <item x="10"/>
        <item x="2"/>
        <item x="39"/>
        <item x="52"/>
        <item x="66"/>
        <item x="22"/>
        <item x="45"/>
        <item x="74"/>
        <item x="44"/>
        <item x="40"/>
        <item x="37"/>
        <item x="47"/>
        <item x="69"/>
        <item x="16"/>
        <item x="30"/>
        <item x="4"/>
        <item x="11"/>
        <item x="63"/>
        <item x="70"/>
        <item x="24"/>
        <item x="18"/>
        <item x="58"/>
        <item x="38"/>
        <item x="46"/>
        <item x="26"/>
        <item x="64"/>
        <item x="73"/>
        <item x="3"/>
        <item x="53"/>
        <item x="59"/>
        <item x="23"/>
        <item x="17"/>
        <item x="28"/>
        <item x="34"/>
        <item x="43"/>
        <item x="29"/>
        <item x="56"/>
        <item x="65"/>
        <item x="15"/>
        <item x="25"/>
        <item x="61"/>
        <item x="21"/>
        <item x="77"/>
        <item x="9"/>
        <item x="71"/>
        <item x="42"/>
        <item x="50"/>
        <item x="33"/>
        <item x="51"/>
        <item t="default"/>
      </items>
    </pivotField>
    <pivotField dataField="1" compact="0" outline="0" subtotalTop="0" showAll="0" includeNewItemsInFilter="1">
      <items count="15">
        <item x="2"/>
        <item x="9"/>
        <item x="11"/>
        <item x="3"/>
        <item x="5"/>
        <item x="4"/>
        <item x="10"/>
        <item x="13"/>
        <item x="1"/>
        <item x="12"/>
        <item x="7"/>
        <item x="8"/>
        <item x="6"/>
        <item x="0"/>
        <item t="default"/>
      </items>
    </pivotField>
    <pivotField dataField="1" compact="0" outline="0" subtotalTop="0" showAll="0" includeNewItemsInFilter="1">
      <items count="28">
        <item x="4"/>
        <item x="13"/>
        <item x="15"/>
        <item x="11"/>
        <item x="17"/>
        <item x="24"/>
        <item x="9"/>
        <item x="2"/>
        <item x="22"/>
        <item x="12"/>
        <item x="16"/>
        <item x="21"/>
        <item x="25"/>
        <item x="1"/>
        <item x="19"/>
        <item x="20"/>
        <item x="6"/>
        <item x="5"/>
        <item x="7"/>
        <item x="8"/>
        <item x="23"/>
        <item x="26"/>
        <item x="3"/>
        <item x="14"/>
        <item x="18"/>
        <item x="10"/>
        <item x="0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4">
        <item x="2"/>
        <item x="1"/>
        <item x="3"/>
        <item x="0"/>
      </items>
    </pivotField>
  </pivotFields>
  <rowFields count="3">
    <field x="1"/>
    <field x="14"/>
    <field x="2"/>
  </rowFields>
  <rowItems count="16">
    <i>
      <x/>
      <x/>
      <x v="2"/>
    </i>
    <i r="2">
      <x v="3"/>
    </i>
    <i r="2">
      <x v="4"/>
    </i>
    <i r="2">
      <x v="9"/>
    </i>
    <i r="2">
      <x v="10"/>
    </i>
    <i r="2">
      <x v="11"/>
    </i>
    <i r="1">
      <x v="1"/>
      <x/>
    </i>
    <i r="2">
      <x v="1"/>
    </i>
    <i r="2">
      <x v="12"/>
    </i>
    <i r="2">
      <x v="13"/>
    </i>
    <i r="1">
      <x v="2"/>
      <x v="5"/>
    </i>
    <i r="2">
      <x v="6"/>
    </i>
    <i r="2">
      <x v="7"/>
    </i>
    <i r="1">
      <x v="3"/>
      <x v="8"/>
    </i>
    <i t="default"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4" item="10" hier="-1"/>
  </pageFields>
  <dataFields count="7">
    <dataField name="Сумма по полю Загальна площа приміщень (підрахована за формулами гр.6 ) (кв.м)" fld="6" baseField="2" baseItem="2"/>
    <dataField name="Сумма по полю загальна                          (сума гр. 9 та 10)" fld="7" baseField="2" baseItem="2"/>
    <dataField name="Сумма по полю житлова / основна" fld="8" baseField="2" baseItem="2"/>
    <dataField name="Сумма по полю допоміжна" fld="9" baseField="2" baseItem="2"/>
    <dataField name="Сумма по полю Площа літніх приміщень (кв.м.)" fld="10" baseField="2" baseItem="2"/>
    <dataField name="Сумма по полю Площа приміщень загального користування (кв.м.)" fld="11" baseField="2" baseItem="2"/>
    <dataField name="Сумма по полю Самочинно збудована, переобладнана площа приміщень (кв.м.)" fld="12" baseField="2" baseItem="2"/>
  </dataFields>
  <formats count="4">
    <format dxfId="3">
      <pivotArea field="1" type="button" dataOnly="0" labelOnly="1" outline="0" axis="axisRow" fieldPosition="0"/>
    </format>
    <format dxfId="2">
      <pivotArea field="14" type="button" dataOnly="0" labelOnly="1" outline="0" axis="axisRow" fieldPosition="1"/>
    </format>
    <format dxfId="1">
      <pivotArea field="2" type="button" dataOnly="0" labelOnly="1" outline="0" axis="axisRow" fieldPosition="2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9" sqref="G9"/>
    </sheetView>
  </sheetViews>
  <sheetFormatPr defaultRowHeight="15" x14ac:dyDescent="0.25"/>
  <cols>
    <col min="1" max="1" width="11.7109375" bestFit="1" customWidth="1"/>
    <col min="2" max="2" width="20.140625" bestFit="1" customWidth="1"/>
    <col min="3" max="3" width="18.42578125" bestFit="1" customWidth="1"/>
    <col min="4" max="4" width="16.85546875" customWidth="1"/>
    <col min="5" max="5" width="15.85546875" customWidth="1"/>
    <col min="6" max="9" width="15.28515625" customWidth="1"/>
    <col min="10" max="10" width="15.5703125" customWidth="1"/>
  </cols>
  <sheetData>
    <row r="1" spans="1:10" x14ac:dyDescent="0.25">
      <c r="A1" s="43" t="s">
        <v>4</v>
      </c>
      <c r="B1" s="44" t="s">
        <v>107</v>
      </c>
    </row>
    <row r="3" spans="1:10" x14ac:dyDescent="0.25">
      <c r="A3" s="35"/>
      <c r="B3" s="36"/>
      <c r="C3" s="36"/>
      <c r="D3" s="39" t="s">
        <v>112</v>
      </c>
      <c r="E3" s="36"/>
      <c r="F3" s="36"/>
      <c r="G3" s="36"/>
      <c r="H3" s="36"/>
      <c r="I3" s="36"/>
      <c r="J3" s="37"/>
    </row>
    <row r="4" spans="1:10" s="58" customFormat="1" ht="105" x14ac:dyDescent="0.25">
      <c r="A4" s="54" t="s">
        <v>1</v>
      </c>
      <c r="B4" s="54" t="s">
        <v>105</v>
      </c>
      <c r="C4" s="54" t="s">
        <v>2</v>
      </c>
      <c r="D4" s="55" t="s">
        <v>111</v>
      </c>
      <c r="E4" s="56" t="s">
        <v>113</v>
      </c>
      <c r="F4" s="56" t="s">
        <v>114</v>
      </c>
      <c r="G4" s="56" t="s">
        <v>115</v>
      </c>
      <c r="H4" s="56" t="s">
        <v>116</v>
      </c>
      <c r="I4" s="56" t="s">
        <v>118</v>
      </c>
      <c r="J4" s="57" t="s">
        <v>117</v>
      </c>
    </row>
    <row r="5" spans="1:10" x14ac:dyDescent="0.25">
      <c r="A5" s="35" t="s">
        <v>15</v>
      </c>
      <c r="B5" s="35">
        <v>1</v>
      </c>
      <c r="C5" s="35">
        <v>3</v>
      </c>
      <c r="D5" s="45">
        <v>56.399999999999991</v>
      </c>
      <c r="E5" s="51">
        <v>52.8</v>
      </c>
      <c r="F5" s="51">
        <v>20.9</v>
      </c>
      <c r="G5" s="51">
        <v>31.9</v>
      </c>
      <c r="H5" s="51">
        <v>3.6</v>
      </c>
      <c r="I5" s="51">
        <v>0</v>
      </c>
      <c r="J5" s="46">
        <v>0</v>
      </c>
    </row>
    <row r="6" spans="1:10" x14ac:dyDescent="0.25">
      <c r="A6" s="38"/>
      <c r="B6" s="38"/>
      <c r="C6" s="41">
        <v>4</v>
      </c>
      <c r="D6" s="47">
        <v>64.800000000000011</v>
      </c>
      <c r="E6" s="52">
        <v>64.100000000000009</v>
      </c>
      <c r="F6" s="52">
        <v>22.3</v>
      </c>
      <c r="G6" s="52">
        <v>41.800000000000004</v>
      </c>
      <c r="H6" s="52">
        <v>0.7</v>
      </c>
      <c r="I6" s="52">
        <v>0</v>
      </c>
      <c r="J6" s="48">
        <v>0</v>
      </c>
    </row>
    <row r="7" spans="1:10" x14ac:dyDescent="0.25">
      <c r="A7" s="38"/>
      <c r="B7" s="38"/>
      <c r="C7" s="41">
        <v>5</v>
      </c>
      <c r="D7" s="47">
        <v>57.699999999999996</v>
      </c>
      <c r="E7" s="52">
        <v>57.7</v>
      </c>
      <c r="F7" s="52">
        <v>22</v>
      </c>
      <c r="G7" s="52">
        <v>35.700000000000003</v>
      </c>
      <c r="H7" s="52">
        <v>0</v>
      </c>
      <c r="I7" s="52">
        <v>0</v>
      </c>
      <c r="J7" s="48">
        <v>0</v>
      </c>
    </row>
    <row r="8" spans="1:10" x14ac:dyDescent="0.25">
      <c r="A8" s="38"/>
      <c r="B8" s="38"/>
      <c r="C8" s="41">
        <v>73</v>
      </c>
      <c r="D8" s="47">
        <v>38.5</v>
      </c>
      <c r="E8" s="52">
        <v>38.5</v>
      </c>
      <c r="F8" s="52">
        <v>21.4</v>
      </c>
      <c r="G8" s="52">
        <v>17.100000000000001</v>
      </c>
      <c r="H8" s="52">
        <v>0</v>
      </c>
      <c r="I8" s="52">
        <v>0</v>
      </c>
      <c r="J8" s="48">
        <v>0</v>
      </c>
    </row>
    <row r="9" spans="1:10" x14ac:dyDescent="0.25">
      <c r="A9" s="38"/>
      <c r="B9" s="38"/>
      <c r="C9" s="41">
        <v>74</v>
      </c>
      <c r="D9" s="47">
        <v>64.8</v>
      </c>
      <c r="E9" s="52">
        <v>64.2</v>
      </c>
      <c r="F9" s="52">
        <v>21.6</v>
      </c>
      <c r="G9" s="52">
        <v>42.6</v>
      </c>
      <c r="H9" s="52">
        <v>0.6</v>
      </c>
      <c r="I9" s="52">
        <v>0</v>
      </c>
      <c r="J9" s="48">
        <v>0</v>
      </c>
    </row>
    <row r="10" spans="1:10" x14ac:dyDescent="0.25">
      <c r="A10" s="38"/>
      <c r="B10" s="38"/>
      <c r="C10" s="41">
        <v>75</v>
      </c>
      <c r="D10" s="47">
        <v>55.699999999999996</v>
      </c>
      <c r="E10" s="52">
        <v>52.099999999999994</v>
      </c>
      <c r="F10" s="52">
        <v>20.399999999999999</v>
      </c>
      <c r="G10" s="52">
        <v>31.7</v>
      </c>
      <c r="H10" s="52">
        <v>3.6</v>
      </c>
      <c r="I10" s="52">
        <v>0</v>
      </c>
      <c r="J10" s="48">
        <v>0</v>
      </c>
    </row>
    <row r="11" spans="1:10" x14ac:dyDescent="0.25">
      <c r="A11" s="38"/>
      <c r="B11" s="35">
        <v>2</v>
      </c>
      <c r="C11" s="35">
        <v>1</v>
      </c>
      <c r="D11" s="45">
        <v>68</v>
      </c>
      <c r="E11" s="51">
        <v>66.5</v>
      </c>
      <c r="F11" s="51">
        <v>37.700000000000003</v>
      </c>
      <c r="G11" s="51">
        <v>28.799999999999997</v>
      </c>
      <c r="H11" s="51">
        <v>1.5</v>
      </c>
      <c r="I11" s="51">
        <v>0</v>
      </c>
      <c r="J11" s="46">
        <v>0</v>
      </c>
    </row>
    <row r="12" spans="1:10" x14ac:dyDescent="0.25">
      <c r="A12" s="38"/>
      <c r="B12" s="38"/>
      <c r="C12" s="41">
        <v>2</v>
      </c>
      <c r="D12" s="47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48">
        <v>0</v>
      </c>
    </row>
    <row r="13" spans="1:10" x14ac:dyDescent="0.25">
      <c r="A13" s="38"/>
      <c r="B13" s="38"/>
      <c r="C13" s="41">
        <v>76</v>
      </c>
      <c r="D13" s="47">
        <v>75.899999999999991</v>
      </c>
      <c r="E13" s="52">
        <v>75.3</v>
      </c>
      <c r="F13" s="52">
        <v>36.799999999999997</v>
      </c>
      <c r="G13" s="52">
        <v>38.5</v>
      </c>
      <c r="H13" s="52">
        <v>0.6</v>
      </c>
      <c r="I13" s="52">
        <v>0</v>
      </c>
      <c r="J13" s="48">
        <v>0</v>
      </c>
    </row>
    <row r="14" spans="1:10" x14ac:dyDescent="0.25">
      <c r="A14" s="38"/>
      <c r="B14" s="38"/>
      <c r="C14" s="41">
        <v>77</v>
      </c>
      <c r="D14" s="47">
        <v>66.3</v>
      </c>
      <c r="E14" s="52">
        <v>66.3</v>
      </c>
      <c r="F14" s="52">
        <v>36.9</v>
      </c>
      <c r="G14" s="52">
        <v>29.400000000000002</v>
      </c>
      <c r="H14" s="52">
        <v>0</v>
      </c>
      <c r="I14" s="52">
        <v>0</v>
      </c>
      <c r="J14" s="48">
        <v>0</v>
      </c>
    </row>
    <row r="15" spans="1:10" x14ac:dyDescent="0.25">
      <c r="A15" s="38"/>
      <c r="B15" s="35">
        <v>3</v>
      </c>
      <c r="C15" s="35">
        <v>41</v>
      </c>
      <c r="D15" s="45">
        <v>118.69999999999999</v>
      </c>
      <c r="E15" s="51">
        <v>118.6</v>
      </c>
      <c r="F15" s="51">
        <v>74.099999999999994</v>
      </c>
      <c r="G15" s="51">
        <v>44.5</v>
      </c>
      <c r="H15" s="51">
        <v>0.1</v>
      </c>
      <c r="I15" s="51">
        <v>0</v>
      </c>
      <c r="J15" s="46">
        <v>0</v>
      </c>
    </row>
    <row r="16" spans="1:10" x14ac:dyDescent="0.25">
      <c r="A16" s="38"/>
      <c r="B16" s="38"/>
      <c r="C16" s="41">
        <v>42</v>
      </c>
      <c r="D16" s="47">
        <v>98.8</v>
      </c>
      <c r="E16" s="52">
        <v>97</v>
      </c>
      <c r="F16" s="52">
        <v>45.900000000000006</v>
      </c>
      <c r="G16" s="52">
        <v>51.1</v>
      </c>
      <c r="H16" s="52">
        <v>1.8</v>
      </c>
      <c r="I16" s="52">
        <v>0</v>
      </c>
      <c r="J16" s="48">
        <v>0</v>
      </c>
    </row>
    <row r="17" spans="1:10" x14ac:dyDescent="0.25">
      <c r="A17" s="38"/>
      <c r="B17" s="38"/>
      <c r="C17" s="41">
        <v>43</v>
      </c>
      <c r="D17" s="47">
        <v>99.59999999999998</v>
      </c>
      <c r="E17" s="52">
        <v>97.9</v>
      </c>
      <c r="F17" s="52">
        <v>47</v>
      </c>
      <c r="G17" s="52">
        <v>50.900000000000006</v>
      </c>
      <c r="H17" s="52">
        <v>1.7</v>
      </c>
      <c r="I17" s="52">
        <v>0</v>
      </c>
      <c r="J17" s="48">
        <v>0</v>
      </c>
    </row>
    <row r="18" spans="1:10" x14ac:dyDescent="0.25">
      <c r="A18" s="38"/>
      <c r="B18" s="35" t="s">
        <v>109</v>
      </c>
      <c r="C18" s="35">
        <v>44</v>
      </c>
      <c r="D18" s="45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46">
        <v>0</v>
      </c>
    </row>
    <row r="19" spans="1:10" x14ac:dyDescent="0.25">
      <c r="A19" s="35" t="s">
        <v>110</v>
      </c>
      <c r="B19" s="36"/>
      <c r="C19" s="36"/>
      <c r="D19" s="45">
        <v>865.19999999999993</v>
      </c>
      <c r="E19" s="51">
        <v>851</v>
      </c>
      <c r="F19" s="51">
        <v>407</v>
      </c>
      <c r="G19" s="51">
        <v>444</v>
      </c>
      <c r="H19" s="51">
        <v>14.2</v>
      </c>
      <c r="I19" s="51">
        <v>0</v>
      </c>
      <c r="J19" s="46">
        <v>0</v>
      </c>
    </row>
    <row r="20" spans="1:10" x14ac:dyDescent="0.25">
      <c r="A20" s="40" t="s">
        <v>108</v>
      </c>
      <c r="B20" s="42"/>
      <c r="C20" s="42"/>
      <c r="D20" s="49">
        <v>865.19999999999993</v>
      </c>
      <c r="E20" s="53">
        <v>851</v>
      </c>
      <c r="F20" s="53">
        <v>407</v>
      </c>
      <c r="G20" s="53">
        <v>444</v>
      </c>
      <c r="H20" s="53">
        <v>14.2</v>
      </c>
      <c r="I20" s="53">
        <v>0</v>
      </c>
      <c r="J20" s="5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2"/>
  <sheetViews>
    <sheetView showZeros="0" tabSelected="1" zoomScaleNormal="100" workbookViewId="0">
      <selection activeCell="H12" sqref="H12"/>
    </sheetView>
  </sheetViews>
  <sheetFormatPr defaultRowHeight="28.5" x14ac:dyDescent="0.35"/>
  <cols>
    <col min="1" max="1" width="5.7109375" style="1" customWidth="1"/>
    <col min="2" max="2" width="9.5703125" style="3" customWidth="1"/>
    <col min="3" max="3" width="3.7109375" style="3" customWidth="1"/>
    <col min="4" max="4" width="3.7109375" style="4" customWidth="1"/>
    <col min="5" max="5" width="3.7109375" style="3" customWidth="1"/>
    <col min="6" max="6" width="12.7109375" style="1" customWidth="1"/>
    <col min="7" max="7" width="22.7109375" style="1" customWidth="1"/>
    <col min="8" max="8" width="10.42578125" style="1" customWidth="1"/>
    <col min="9" max="9" width="6.7109375" style="1" customWidth="1"/>
    <col min="10" max="11" width="6.28515625" style="1" customWidth="1"/>
    <col min="12" max="12" width="5.7109375" style="1" customWidth="1"/>
    <col min="13" max="13" width="5.7109375" style="5" customWidth="1"/>
    <col min="14" max="14" width="6.85546875" style="1" customWidth="1"/>
    <col min="15" max="15" width="3.7109375" style="1" customWidth="1"/>
    <col min="16" max="16" width="13.42578125" style="2" bestFit="1" customWidth="1"/>
    <col min="17" max="16384" width="9.140625" style="1"/>
  </cols>
  <sheetData>
    <row r="1" spans="2:21" s="7" customFormat="1" ht="36" customHeight="1" x14ac:dyDescent="0.25">
      <c r="I1" s="29" t="s">
        <v>7</v>
      </c>
      <c r="J1" s="30"/>
      <c r="K1" s="31"/>
      <c r="P1" s="2"/>
    </row>
    <row r="2" spans="2:21" s="7" customFormat="1" ht="90" customHeight="1" x14ac:dyDescent="0.25">
      <c r="B2" s="32" t="s">
        <v>0</v>
      </c>
      <c r="C2" s="32" t="s">
        <v>1</v>
      </c>
      <c r="D2" s="33" t="s">
        <v>2</v>
      </c>
      <c r="E2" s="32" t="s">
        <v>3</v>
      </c>
      <c r="F2" s="34" t="s">
        <v>4</v>
      </c>
      <c r="G2" s="34" t="s">
        <v>5</v>
      </c>
      <c r="H2" s="32" t="s">
        <v>6</v>
      </c>
      <c r="I2" s="6" t="s">
        <v>12</v>
      </c>
      <c r="J2" s="6" t="s">
        <v>13</v>
      </c>
      <c r="K2" s="6" t="s">
        <v>14</v>
      </c>
      <c r="L2" s="32" t="s">
        <v>8</v>
      </c>
      <c r="M2" s="32" t="s">
        <v>9</v>
      </c>
      <c r="N2" s="32" t="s">
        <v>10</v>
      </c>
      <c r="O2" s="32" t="s">
        <v>11</v>
      </c>
      <c r="P2" s="28" t="s">
        <v>105</v>
      </c>
      <c r="U2" s="28" t="s">
        <v>106</v>
      </c>
    </row>
    <row r="3" spans="2:21" s="13" customFormat="1" ht="25.5" x14ac:dyDescent="0.2">
      <c r="B3" s="8" t="e">
        <f>#REF!</f>
        <v>#REF!</v>
      </c>
      <c r="C3" s="8" t="s">
        <v>15</v>
      </c>
      <c r="D3" s="9">
        <v>1</v>
      </c>
      <c r="E3" s="8">
        <v>1</v>
      </c>
      <c r="F3" s="10" t="s">
        <v>16</v>
      </c>
      <c r="G3" s="11" t="s">
        <v>17</v>
      </c>
      <c r="H3" s="12">
        <f t="shared" ref="H3:H11" si="0">ROUND(R3,1)</f>
        <v>1.9</v>
      </c>
      <c r="I3" s="12"/>
      <c r="J3" s="12"/>
      <c r="K3" s="12">
        <f>H3</f>
        <v>1.9</v>
      </c>
      <c r="L3" s="12"/>
      <c r="M3" s="12"/>
      <c r="N3" s="12"/>
      <c r="O3" s="12"/>
      <c r="P3" s="14"/>
      <c r="R3" s="13">
        <f>(1.92*0.95)+(0.12*1.22)-(0.1*0.33)</f>
        <v>1.9374</v>
      </c>
    </row>
    <row r="4" spans="2:21" s="13" customFormat="1" ht="25.5" x14ac:dyDescent="0.2">
      <c r="B4" s="8"/>
      <c r="C4" s="8" t="str">
        <f t="shared" ref="C4:C12" si="1">C3</f>
        <v>II</v>
      </c>
      <c r="D4" s="9">
        <f t="shared" ref="D4:D12" si="2">D3</f>
        <v>1</v>
      </c>
      <c r="E4" s="8">
        <v>2</v>
      </c>
      <c r="F4" s="10" t="s">
        <v>18</v>
      </c>
      <c r="G4" s="11" t="s">
        <v>19</v>
      </c>
      <c r="H4" s="12">
        <f t="shared" si="0"/>
        <v>2.2000000000000002</v>
      </c>
      <c r="I4" s="12"/>
      <c r="J4" s="12"/>
      <c r="K4" s="12">
        <f>H4</f>
        <v>2.2000000000000002</v>
      </c>
      <c r="L4" s="12"/>
      <c r="M4" s="12"/>
      <c r="N4" s="12"/>
      <c r="O4" s="12"/>
      <c r="P4" s="14"/>
      <c r="R4" s="13">
        <f>(1*2.53)-(0.46*0.29)-(0.15*0.24)-(1.34*0.1)</f>
        <v>2.2265999999999999</v>
      </c>
    </row>
    <row r="5" spans="2:21" s="13" customFormat="1" ht="38.25" x14ac:dyDescent="0.2">
      <c r="B5" s="8"/>
      <c r="C5" s="8" t="str">
        <f t="shared" si="1"/>
        <v>II</v>
      </c>
      <c r="D5" s="9">
        <f t="shared" si="2"/>
        <v>1</v>
      </c>
      <c r="E5" s="8">
        <v>3</v>
      </c>
      <c r="F5" s="10" t="s">
        <v>20</v>
      </c>
      <c r="G5" s="11" t="s">
        <v>21</v>
      </c>
      <c r="H5" s="12">
        <f t="shared" si="0"/>
        <v>10.7</v>
      </c>
      <c r="I5" s="12"/>
      <c r="J5" s="12"/>
      <c r="K5" s="12">
        <f>H5</f>
        <v>10.7</v>
      </c>
      <c r="L5" s="12"/>
      <c r="M5" s="12"/>
      <c r="N5" s="12"/>
      <c r="O5" s="12"/>
      <c r="P5" s="14"/>
      <c r="R5" s="13">
        <f>(3.12*3.06)+((1.1*1.56)/2)+((0.39*1.84)/2)-(0.21*0.21)</f>
        <v>10.719900000000001</v>
      </c>
    </row>
    <row r="6" spans="2:21" s="13" customFormat="1" ht="38.25" x14ac:dyDescent="0.2">
      <c r="B6" s="8"/>
      <c r="C6" s="8" t="str">
        <f t="shared" si="1"/>
        <v>II</v>
      </c>
      <c r="D6" s="9">
        <f t="shared" si="2"/>
        <v>1</v>
      </c>
      <c r="E6" s="8">
        <v>4</v>
      </c>
      <c r="F6" s="10" t="s">
        <v>22</v>
      </c>
      <c r="G6" s="11" t="s">
        <v>23</v>
      </c>
      <c r="H6" s="12">
        <f t="shared" si="0"/>
        <v>20.9</v>
      </c>
      <c r="I6" s="12"/>
      <c r="J6" s="12">
        <f>H6</f>
        <v>20.9</v>
      </c>
      <c r="K6" s="12"/>
      <c r="L6" s="12"/>
      <c r="M6" s="12"/>
      <c r="N6" s="12"/>
      <c r="O6" s="12"/>
      <c r="P6" s="14"/>
      <c r="R6" s="13">
        <f>((3.45+3.42)/2)*((6.21+6.19)/2)-(0.56*0.52)-(0.72*0.1)</f>
        <v>20.933800000000002</v>
      </c>
    </row>
    <row r="7" spans="2:21" s="13" customFormat="1" ht="25.5" x14ac:dyDescent="0.2">
      <c r="B7" s="8"/>
      <c r="C7" s="8" t="str">
        <f t="shared" si="1"/>
        <v>II</v>
      </c>
      <c r="D7" s="9">
        <f t="shared" si="2"/>
        <v>1</v>
      </c>
      <c r="E7" s="8">
        <v>5</v>
      </c>
      <c r="F7" s="10" t="s">
        <v>22</v>
      </c>
      <c r="G7" s="11" t="s">
        <v>24</v>
      </c>
      <c r="H7" s="12">
        <f t="shared" si="0"/>
        <v>16.8</v>
      </c>
      <c r="I7" s="12"/>
      <c r="J7" s="12">
        <f>H7</f>
        <v>16.8</v>
      </c>
      <c r="K7" s="12"/>
      <c r="L7" s="12"/>
      <c r="M7" s="12"/>
      <c r="N7" s="12"/>
      <c r="O7" s="12"/>
      <c r="P7" s="14"/>
      <c r="R7" s="13">
        <f>((5.09+5.1)/2)*((3.3+3.3)/2)-(0.08*0.71)</f>
        <v>16.756699999999999</v>
      </c>
    </row>
    <row r="8" spans="2:21" s="13" customFormat="1" ht="25.5" x14ac:dyDescent="0.2">
      <c r="B8" s="8"/>
      <c r="C8" s="8" t="str">
        <f t="shared" si="1"/>
        <v>II</v>
      </c>
      <c r="D8" s="9">
        <f t="shared" si="2"/>
        <v>1</v>
      </c>
      <c r="E8" s="8">
        <v>6</v>
      </c>
      <c r="F8" s="10" t="s">
        <v>16</v>
      </c>
      <c r="G8" s="11" t="s">
        <v>25</v>
      </c>
      <c r="H8" s="12">
        <f t="shared" si="0"/>
        <v>8.9</v>
      </c>
      <c r="I8" s="12"/>
      <c r="J8" s="12"/>
      <c r="K8" s="12">
        <f>H8</f>
        <v>8.9</v>
      </c>
      <c r="L8" s="12"/>
      <c r="M8" s="12"/>
      <c r="N8" s="12"/>
      <c r="O8" s="12"/>
      <c r="P8" s="14"/>
      <c r="R8" s="13">
        <f>(3.05*2.79)+(0.12*1.22)-(0.1*0.1)+(2.19*0.1)</f>
        <v>8.8648999999999987</v>
      </c>
    </row>
    <row r="9" spans="2:21" s="13" customFormat="1" ht="25.5" x14ac:dyDescent="0.2">
      <c r="B9" s="8"/>
      <c r="C9" s="8" t="str">
        <f t="shared" si="1"/>
        <v>II</v>
      </c>
      <c r="D9" s="9">
        <f t="shared" si="2"/>
        <v>1</v>
      </c>
      <c r="E9" s="8">
        <v>7</v>
      </c>
      <c r="F9" s="10" t="s">
        <v>26</v>
      </c>
      <c r="G9" s="11" t="s">
        <v>27</v>
      </c>
      <c r="H9" s="12">
        <f t="shared" si="0"/>
        <v>5.0999999999999996</v>
      </c>
      <c r="I9" s="12"/>
      <c r="J9" s="12"/>
      <c r="K9" s="12">
        <f>H9</f>
        <v>5.0999999999999996</v>
      </c>
      <c r="L9" s="12"/>
      <c r="M9" s="12"/>
      <c r="N9" s="12"/>
      <c r="O9" s="15"/>
      <c r="P9" s="14"/>
      <c r="R9" s="13">
        <f>(3.41*1.6)-(0.37*0.24)-(0.44*0.1)-(2.14*0.1)</f>
        <v>5.1092000000000004</v>
      </c>
    </row>
    <row r="10" spans="2:21" s="13" customFormat="1" ht="20.100000000000001" customHeight="1" x14ac:dyDescent="0.2">
      <c r="B10" s="8"/>
      <c r="C10" s="8" t="str">
        <f t="shared" si="1"/>
        <v>II</v>
      </c>
      <c r="D10" s="9">
        <f t="shared" si="2"/>
        <v>1</v>
      </c>
      <c r="E10" s="8"/>
      <c r="F10" s="10" t="s">
        <v>28</v>
      </c>
      <c r="G10" s="16" t="s">
        <v>29</v>
      </c>
      <c r="H10" s="12">
        <f t="shared" si="0"/>
        <v>1.5</v>
      </c>
      <c r="I10" s="12"/>
      <c r="J10" s="12"/>
      <c r="K10" s="12"/>
      <c r="L10" s="12">
        <f>H10</f>
        <v>1.5</v>
      </c>
      <c r="M10" s="12"/>
      <c r="N10" s="12"/>
      <c r="O10" s="15" t="s">
        <v>30</v>
      </c>
      <c r="P10" s="14"/>
      <c r="R10" s="13">
        <f>4.92*0.3</f>
        <v>1.476</v>
      </c>
    </row>
    <row r="11" spans="2:21" s="23" customFormat="1" ht="20.100000000000001" customHeight="1" x14ac:dyDescent="0.2">
      <c r="B11" s="17"/>
      <c r="C11" s="17" t="str">
        <f t="shared" si="1"/>
        <v>II</v>
      </c>
      <c r="D11" s="18">
        <f t="shared" si="2"/>
        <v>1</v>
      </c>
      <c r="E11" s="17"/>
      <c r="F11" s="19" t="s">
        <v>28</v>
      </c>
      <c r="G11" s="20" t="s">
        <v>29</v>
      </c>
      <c r="H11" s="21">
        <f t="shared" si="0"/>
        <v>0</v>
      </c>
      <c r="I11" s="21"/>
      <c r="J11" s="21"/>
      <c r="K11" s="21"/>
      <c r="L11" s="21">
        <f>H11</f>
        <v>0</v>
      </c>
      <c r="M11" s="21"/>
      <c r="N11" s="21"/>
      <c r="O11" s="22" t="s">
        <v>30</v>
      </c>
      <c r="P11" s="14"/>
    </row>
    <row r="12" spans="2:21" s="13" customFormat="1" ht="20.100000000000001" customHeight="1" x14ac:dyDescent="0.2">
      <c r="B12" s="8"/>
      <c r="C12" s="8" t="str">
        <f t="shared" si="1"/>
        <v>II</v>
      </c>
      <c r="D12" s="9">
        <f t="shared" si="2"/>
        <v>1</v>
      </c>
      <c r="E12" s="8"/>
      <c r="F12" s="10" t="s">
        <v>107</v>
      </c>
      <c r="G12" s="24" t="str">
        <f>"Усього по кв. №"&amp;D3&amp;":"</f>
        <v>Усього по кв. №1:</v>
      </c>
      <c r="H12" s="25">
        <f>SUMIF($D$3:$D11,$D12,H$3:H11)</f>
        <v>68</v>
      </c>
      <c r="I12" s="25">
        <f>SUMIF($D$3:$D11,$D12,I$3:I11)</f>
        <v>0</v>
      </c>
      <c r="J12" s="25">
        <f>SUMIF($D$3:$D11,$D12,J$3:J11)</f>
        <v>37.700000000000003</v>
      </c>
      <c r="K12" s="25">
        <f>SUMIF($D$3:$D11,$D12,K$3:K11)</f>
        <v>28.799999999999997</v>
      </c>
      <c r="L12" s="25">
        <f>SUMIF($D$3:$D11,$D12,L$3:L11)</f>
        <v>1.5</v>
      </c>
      <c r="M12" s="25">
        <f>SUM(M3:M11)</f>
        <v>0</v>
      </c>
      <c r="N12" s="25">
        <f>SUM(N3:N11)</f>
        <v>0</v>
      </c>
      <c r="O12" s="25">
        <f>SUM(O3:O11)</f>
        <v>0</v>
      </c>
      <c r="P12" s="14">
        <v>2</v>
      </c>
      <c r="U12" s="13">
        <f>D3</f>
        <v>1</v>
      </c>
    </row>
    <row r="13" spans="2:21" s="13" customFormat="1" ht="51" x14ac:dyDescent="0.2">
      <c r="B13" s="8" t="e">
        <f>B3</f>
        <v>#REF!</v>
      </c>
      <c r="C13" s="8" t="str">
        <f>C3</f>
        <v>II</v>
      </c>
      <c r="D13" s="9">
        <f>D3+1</f>
        <v>2</v>
      </c>
      <c r="E13" s="8">
        <v>1</v>
      </c>
      <c r="F13" s="10" t="s">
        <v>16</v>
      </c>
      <c r="G13" s="11" t="s">
        <v>31</v>
      </c>
      <c r="H13" s="12">
        <f t="shared" ref="H13:H21" si="3">ROUND(R13,1)</f>
        <v>0</v>
      </c>
      <c r="I13" s="12"/>
      <c r="J13" s="12"/>
      <c r="K13" s="12">
        <f>H13</f>
        <v>0</v>
      </c>
      <c r="L13" s="12"/>
      <c r="M13" s="12"/>
      <c r="N13" s="12"/>
      <c r="O13" s="12"/>
      <c r="P13" s="14"/>
    </row>
    <row r="14" spans="2:21" s="13" customFormat="1" ht="25.5" x14ac:dyDescent="0.2">
      <c r="B14" s="8"/>
      <c r="C14" s="8" t="str">
        <f t="shared" ref="C14:C22" si="4">C13</f>
        <v>II</v>
      </c>
      <c r="D14" s="9">
        <f t="shared" ref="D14:D22" si="5">D13</f>
        <v>2</v>
      </c>
      <c r="E14" s="8">
        <v>2</v>
      </c>
      <c r="F14" s="10" t="s">
        <v>22</v>
      </c>
      <c r="G14" s="11" t="s">
        <v>32</v>
      </c>
      <c r="H14" s="12">
        <f t="shared" si="3"/>
        <v>0</v>
      </c>
      <c r="I14" s="12"/>
      <c r="J14" s="12">
        <f>H14</f>
        <v>0</v>
      </c>
      <c r="K14" s="12"/>
      <c r="L14" s="12"/>
      <c r="M14" s="12"/>
      <c r="N14" s="12"/>
      <c r="O14" s="12"/>
      <c r="P14" s="14"/>
    </row>
    <row r="15" spans="2:21" s="13" customFormat="1" ht="25.5" x14ac:dyDescent="0.2">
      <c r="B15" s="8"/>
      <c r="C15" s="8" t="str">
        <f t="shared" si="4"/>
        <v>II</v>
      </c>
      <c r="D15" s="9">
        <f t="shared" si="5"/>
        <v>2</v>
      </c>
      <c r="E15" s="8">
        <v>3</v>
      </c>
      <c r="F15" s="10" t="s">
        <v>22</v>
      </c>
      <c r="G15" s="11" t="s">
        <v>33</v>
      </c>
      <c r="H15" s="12">
        <f t="shared" si="3"/>
        <v>0</v>
      </c>
      <c r="I15" s="12"/>
      <c r="J15" s="12">
        <f>H15</f>
        <v>0</v>
      </c>
      <c r="K15" s="12"/>
      <c r="L15" s="12"/>
      <c r="M15" s="12"/>
      <c r="N15" s="12"/>
      <c r="O15" s="12"/>
      <c r="P15" s="14"/>
    </row>
    <row r="16" spans="2:21" s="13" customFormat="1" ht="63.75" x14ac:dyDescent="0.2">
      <c r="B16" s="8"/>
      <c r="C16" s="8" t="str">
        <f t="shared" si="4"/>
        <v>II</v>
      </c>
      <c r="D16" s="9">
        <f t="shared" si="5"/>
        <v>2</v>
      </c>
      <c r="E16" s="8">
        <v>4</v>
      </c>
      <c r="F16" s="10" t="s">
        <v>34</v>
      </c>
      <c r="G16" s="11" t="s">
        <v>35</v>
      </c>
      <c r="H16" s="12">
        <f t="shared" si="3"/>
        <v>0</v>
      </c>
      <c r="I16" s="12"/>
      <c r="J16" s="12"/>
      <c r="K16" s="12">
        <f>H16</f>
        <v>0</v>
      </c>
      <c r="L16" s="12"/>
      <c r="M16" s="12"/>
      <c r="N16" s="12"/>
      <c r="O16" s="12"/>
      <c r="P16" s="14"/>
    </row>
    <row r="17" spans="2:21" s="13" customFormat="1" ht="25.5" x14ac:dyDescent="0.2">
      <c r="B17" s="8"/>
      <c r="C17" s="8" t="str">
        <f t="shared" si="4"/>
        <v>II</v>
      </c>
      <c r="D17" s="9">
        <f t="shared" si="5"/>
        <v>2</v>
      </c>
      <c r="E17" s="8">
        <v>5</v>
      </c>
      <c r="F17" s="10" t="s">
        <v>16</v>
      </c>
      <c r="G17" s="11" t="s">
        <v>36</v>
      </c>
      <c r="H17" s="12">
        <f t="shared" si="3"/>
        <v>0</v>
      </c>
      <c r="I17" s="12"/>
      <c r="J17" s="12"/>
      <c r="K17" s="12">
        <f>H17</f>
        <v>0</v>
      </c>
      <c r="L17" s="12"/>
      <c r="M17" s="12"/>
      <c r="N17" s="12"/>
      <c r="O17" s="12"/>
      <c r="P17" s="14"/>
    </row>
    <row r="18" spans="2:21" s="13" customFormat="1" ht="20.100000000000001" customHeight="1" x14ac:dyDescent="0.2">
      <c r="B18" s="8"/>
      <c r="C18" s="8" t="str">
        <f t="shared" si="4"/>
        <v>II</v>
      </c>
      <c r="D18" s="9">
        <f t="shared" si="5"/>
        <v>2</v>
      </c>
      <c r="E18" s="8">
        <v>6</v>
      </c>
      <c r="F18" s="10" t="s">
        <v>26</v>
      </c>
      <c r="G18" s="11" t="s">
        <v>37</v>
      </c>
      <c r="H18" s="12">
        <f t="shared" si="3"/>
        <v>0</v>
      </c>
      <c r="I18" s="12"/>
      <c r="J18" s="12"/>
      <c r="K18" s="12">
        <f>H18</f>
        <v>0</v>
      </c>
      <c r="L18" s="12"/>
      <c r="M18" s="12"/>
      <c r="N18" s="12"/>
      <c r="O18" s="15"/>
      <c r="P18" s="14"/>
    </row>
    <row r="19" spans="2:21" s="13" customFormat="1" ht="20.100000000000001" customHeight="1" x14ac:dyDescent="0.2">
      <c r="B19" s="8"/>
      <c r="C19" s="8" t="str">
        <f t="shared" si="4"/>
        <v>II</v>
      </c>
      <c r="D19" s="9">
        <f t="shared" si="5"/>
        <v>2</v>
      </c>
      <c r="E19" s="8">
        <v>7</v>
      </c>
      <c r="F19" s="10" t="s">
        <v>18</v>
      </c>
      <c r="G19" s="11" t="s">
        <v>38</v>
      </c>
      <c r="H19" s="12">
        <f t="shared" si="3"/>
        <v>0</v>
      </c>
      <c r="I19" s="12"/>
      <c r="J19" s="12"/>
      <c r="K19" s="12">
        <f>H19</f>
        <v>0</v>
      </c>
      <c r="L19" s="12"/>
      <c r="M19" s="12"/>
      <c r="N19" s="12"/>
      <c r="O19" s="15"/>
      <c r="P19" s="14"/>
    </row>
    <row r="20" spans="2:21" s="13" customFormat="1" ht="20.100000000000001" customHeight="1" x14ac:dyDescent="0.2">
      <c r="B20" s="8"/>
      <c r="C20" s="8" t="str">
        <f t="shared" si="4"/>
        <v>II</v>
      </c>
      <c r="D20" s="9">
        <f t="shared" si="5"/>
        <v>2</v>
      </c>
      <c r="E20" s="8"/>
      <c r="F20" s="10" t="s">
        <v>28</v>
      </c>
      <c r="G20" s="16" t="s">
        <v>29</v>
      </c>
      <c r="H20" s="12">
        <f t="shared" si="3"/>
        <v>0</v>
      </c>
      <c r="I20" s="12"/>
      <c r="J20" s="12"/>
      <c r="K20" s="12"/>
      <c r="L20" s="12">
        <f>H20</f>
        <v>0</v>
      </c>
      <c r="M20" s="12"/>
      <c r="N20" s="12"/>
      <c r="O20" s="15" t="s">
        <v>30</v>
      </c>
      <c r="P20" s="14"/>
    </row>
    <row r="21" spans="2:21" s="13" customFormat="1" ht="20.100000000000001" customHeight="1" x14ac:dyDescent="0.2">
      <c r="B21" s="8"/>
      <c r="C21" s="8" t="str">
        <f t="shared" si="4"/>
        <v>II</v>
      </c>
      <c r="D21" s="9">
        <f t="shared" si="5"/>
        <v>2</v>
      </c>
      <c r="E21" s="8"/>
      <c r="F21" s="10" t="s">
        <v>28</v>
      </c>
      <c r="G21" s="16" t="s">
        <v>29</v>
      </c>
      <c r="H21" s="12">
        <f t="shared" si="3"/>
        <v>0</v>
      </c>
      <c r="I21" s="12"/>
      <c r="J21" s="12"/>
      <c r="K21" s="12"/>
      <c r="L21" s="12">
        <f>H21</f>
        <v>0</v>
      </c>
      <c r="M21" s="12"/>
      <c r="N21" s="12"/>
      <c r="O21" s="15" t="s">
        <v>30</v>
      </c>
      <c r="P21" s="14"/>
    </row>
    <row r="22" spans="2:21" s="13" customFormat="1" ht="20.100000000000001" customHeight="1" x14ac:dyDescent="0.2">
      <c r="B22" s="8"/>
      <c r="C22" s="8" t="str">
        <f t="shared" si="4"/>
        <v>II</v>
      </c>
      <c r="D22" s="9">
        <f t="shared" si="5"/>
        <v>2</v>
      </c>
      <c r="E22" s="8"/>
      <c r="F22" s="10" t="s">
        <v>107</v>
      </c>
      <c r="G22" s="24" t="str">
        <f>"Усього по кв. №"&amp;D13&amp;":"</f>
        <v>Усього по кв. №2:</v>
      </c>
      <c r="H22" s="25">
        <f>SUMIF($D$3:$D21,$D22,H$3:H21)</f>
        <v>0</v>
      </c>
      <c r="I22" s="25">
        <f>SUMIF($D$3:$D21,$D22,I$3:I21)</f>
        <v>0</v>
      </c>
      <c r="J22" s="25">
        <f>SUMIF($D$3:$D21,$D22,J$3:J21)</f>
        <v>0</v>
      </c>
      <c r="K22" s="25">
        <f>SUMIF($D$3:$D21,$D22,K$3:K21)</f>
        <v>0</v>
      </c>
      <c r="L22" s="25">
        <f>SUMIF($D$3:$D21,$D22,L$3:L21)</f>
        <v>0</v>
      </c>
      <c r="M22" s="25">
        <f>SUM(M13:M21)</f>
        <v>0</v>
      </c>
      <c r="N22" s="25">
        <f>SUM(N13:N21)</f>
        <v>0</v>
      </c>
      <c r="O22" s="25">
        <f>SUM(O13:O21)</f>
        <v>0</v>
      </c>
      <c r="P22" s="14">
        <v>2</v>
      </c>
      <c r="U22" s="13">
        <f>D13</f>
        <v>2</v>
      </c>
    </row>
    <row r="23" spans="2:21" s="13" customFormat="1" ht="38.25" x14ac:dyDescent="0.2">
      <c r="B23" s="8" t="e">
        <f>B13</f>
        <v>#REF!</v>
      </c>
      <c r="C23" s="8" t="str">
        <f>C13</f>
        <v>II</v>
      </c>
      <c r="D23" s="9">
        <f>D13+1</f>
        <v>3</v>
      </c>
      <c r="E23" s="8">
        <v>1</v>
      </c>
      <c r="F23" s="10" t="s">
        <v>16</v>
      </c>
      <c r="G23" s="11" t="s">
        <v>39</v>
      </c>
      <c r="H23" s="12">
        <f t="shared" ref="H23:H28" si="6">ROUND(R23,1)</f>
        <v>9.6999999999999993</v>
      </c>
      <c r="I23" s="12"/>
      <c r="J23" s="12"/>
      <c r="K23" s="12">
        <f>H23</f>
        <v>9.6999999999999993</v>
      </c>
      <c r="L23" s="12"/>
      <c r="M23" s="12"/>
      <c r="N23" s="12"/>
      <c r="O23" s="12"/>
      <c r="P23" s="14"/>
      <c r="R23" s="13">
        <f>((2.58+0.23)*3.92)-(((0.1+0.1)/2)*2.66)-(2.21*0.41)-(0.23*0.55)</f>
        <v>9.7165999999999997</v>
      </c>
    </row>
    <row r="24" spans="2:21" s="13" customFormat="1" ht="38.25" x14ac:dyDescent="0.2">
      <c r="B24" s="8"/>
      <c r="C24" s="8" t="str">
        <f t="shared" ref="C24:D29" si="7">C23</f>
        <v>II</v>
      </c>
      <c r="D24" s="9">
        <f t="shared" si="7"/>
        <v>3</v>
      </c>
      <c r="E24" s="8">
        <v>2</v>
      </c>
      <c r="F24" s="10" t="s">
        <v>22</v>
      </c>
      <c r="G24" s="11" t="s">
        <v>40</v>
      </c>
      <c r="H24" s="12">
        <f t="shared" si="6"/>
        <v>20.9</v>
      </c>
      <c r="I24" s="12"/>
      <c r="J24" s="12">
        <f>H24</f>
        <v>20.9</v>
      </c>
      <c r="K24" s="12"/>
      <c r="L24" s="12"/>
      <c r="M24" s="12"/>
      <c r="N24" s="12"/>
      <c r="O24" s="12"/>
      <c r="P24" s="14"/>
      <c r="R24" s="13">
        <f>((3.32+3.33)/2)*((6.3+6.29)/2)-(0.22*0.1)-(0.1*0.53)</f>
        <v>20.855875000000001</v>
      </c>
    </row>
    <row r="25" spans="2:21" s="13" customFormat="1" ht="51" x14ac:dyDescent="0.2">
      <c r="B25" s="8"/>
      <c r="C25" s="8" t="str">
        <f t="shared" si="7"/>
        <v>II</v>
      </c>
      <c r="D25" s="9">
        <f t="shared" si="7"/>
        <v>3</v>
      </c>
      <c r="E25" s="8">
        <v>3</v>
      </c>
      <c r="F25" s="10" t="s">
        <v>20</v>
      </c>
      <c r="G25" s="11" t="s">
        <v>41</v>
      </c>
      <c r="H25" s="12">
        <f t="shared" si="6"/>
        <v>17</v>
      </c>
      <c r="I25" s="12"/>
      <c r="J25" s="12"/>
      <c r="K25" s="12">
        <f>H25</f>
        <v>17</v>
      </c>
      <c r="L25" s="12"/>
      <c r="M25" s="12"/>
      <c r="N25" s="12"/>
      <c r="O25" s="12"/>
      <c r="P25" s="14"/>
      <c r="R25" s="13">
        <f>(((2.77+2.79)/2)*6.29)-(0.53*0.1)-(0.27*0.24)-((0.27+0.08)*0.9)-(0.25*0.23)</f>
        <v>16.995899999999995</v>
      </c>
    </row>
    <row r="26" spans="2:21" s="13" customFormat="1" ht="20.100000000000001" customHeight="1" x14ac:dyDescent="0.2">
      <c r="B26" s="8"/>
      <c r="C26" s="8" t="str">
        <f t="shared" si="7"/>
        <v>II</v>
      </c>
      <c r="D26" s="9">
        <f t="shared" si="7"/>
        <v>3</v>
      </c>
      <c r="E26" s="8">
        <v>4</v>
      </c>
      <c r="F26" s="10" t="s">
        <v>42</v>
      </c>
      <c r="G26" s="11" t="s">
        <v>43</v>
      </c>
      <c r="H26" s="12">
        <f t="shared" si="6"/>
        <v>3.8</v>
      </c>
      <c r="I26" s="12"/>
      <c r="J26" s="12"/>
      <c r="K26" s="12">
        <f>H26</f>
        <v>3.8</v>
      </c>
      <c r="L26" s="12"/>
      <c r="M26" s="12"/>
      <c r="N26" s="12"/>
      <c r="O26" s="12"/>
      <c r="P26" s="14"/>
      <c r="R26" s="13">
        <f>(1.7*2.27)-(0.1*0.31)</f>
        <v>3.8279999999999998</v>
      </c>
    </row>
    <row r="27" spans="2:21" s="13" customFormat="1" ht="20.100000000000001" customHeight="1" x14ac:dyDescent="0.2">
      <c r="B27" s="8"/>
      <c r="C27" s="8" t="str">
        <f t="shared" si="7"/>
        <v>II</v>
      </c>
      <c r="D27" s="9">
        <f t="shared" si="7"/>
        <v>3</v>
      </c>
      <c r="E27" s="8">
        <v>5</v>
      </c>
      <c r="F27" s="10" t="s">
        <v>18</v>
      </c>
      <c r="G27" s="11" t="s">
        <v>44</v>
      </c>
      <c r="H27" s="12">
        <f t="shared" si="6"/>
        <v>1.4</v>
      </c>
      <c r="I27" s="12"/>
      <c r="J27" s="12"/>
      <c r="K27" s="12">
        <f>H27</f>
        <v>1.4</v>
      </c>
      <c r="L27" s="12"/>
      <c r="M27" s="12"/>
      <c r="N27" s="12"/>
      <c r="O27" s="12"/>
      <c r="P27" s="14"/>
      <c r="R27" s="13">
        <f>(1.3*1.17)-(0.36*0.24)</f>
        <v>1.4345999999999999</v>
      </c>
    </row>
    <row r="28" spans="2:21" s="13" customFormat="1" ht="38.25" x14ac:dyDescent="0.2">
      <c r="B28" s="8"/>
      <c r="C28" s="8" t="str">
        <f t="shared" si="7"/>
        <v>II</v>
      </c>
      <c r="D28" s="9">
        <f t="shared" si="7"/>
        <v>3</v>
      </c>
      <c r="E28" s="8"/>
      <c r="F28" s="10" t="s">
        <v>28</v>
      </c>
      <c r="G28" s="11" t="s">
        <v>45</v>
      </c>
      <c r="H28" s="12">
        <f t="shared" si="6"/>
        <v>3.6</v>
      </c>
      <c r="I28" s="12"/>
      <c r="J28" s="12"/>
      <c r="K28" s="12"/>
      <c r="L28" s="12">
        <f>H28</f>
        <v>3.6</v>
      </c>
      <c r="M28" s="12"/>
      <c r="N28" s="12"/>
      <c r="O28" s="15" t="s">
        <v>30</v>
      </c>
      <c r="P28" s="14"/>
      <c r="R28" s="13">
        <f>(((1.75+1.72)/2)*((6+5.96)/2)+(2/3*5.96*0.4))*0.3</f>
        <v>3.5893899999999994</v>
      </c>
    </row>
    <row r="29" spans="2:21" s="13" customFormat="1" ht="20.100000000000001" customHeight="1" x14ac:dyDescent="0.2">
      <c r="B29" s="8"/>
      <c r="C29" s="8" t="str">
        <f t="shared" si="7"/>
        <v>II</v>
      </c>
      <c r="D29" s="9">
        <f t="shared" si="7"/>
        <v>3</v>
      </c>
      <c r="E29" s="8"/>
      <c r="F29" s="10" t="s">
        <v>107</v>
      </c>
      <c r="G29" s="24" t="str">
        <f>"Усього по кв. №"&amp;D23&amp;":"</f>
        <v>Усього по кв. №3:</v>
      </c>
      <c r="H29" s="25">
        <f>SUMIF($D$3:$D28,$D29,H$3:H28)</f>
        <v>56.399999999999991</v>
      </c>
      <c r="I29" s="25">
        <f>SUMIF($D$3:$D28,$D29,I$3:I28)</f>
        <v>0</v>
      </c>
      <c r="J29" s="25">
        <f>SUMIF($D$3:$D28,$D29,J$3:J28)</f>
        <v>20.9</v>
      </c>
      <c r="K29" s="25">
        <f>SUMIF($D$3:$D28,$D29,K$3:K28)</f>
        <v>31.9</v>
      </c>
      <c r="L29" s="25">
        <f>SUMIF($D$3:$D28,$D29,L$3:L28)</f>
        <v>3.6</v>
      </c>
      <c r="M29" s="25">
        <f>SUM(M23:M28)</f>
        <v>0</v>
      </c>
      <c r="N29" s="25">
        <f>SUM(N23:N28)</f>
        <v>0</v>
      </c>
      <c r="O29" s="25">
        <f>SUM(O23:O28)</f>
        <v>0</v>
      </c>
      <c r="P29" s="14">
        <v>1</v>
      </c>
      <c r="U29" s="13">
        <f>D23</f>
        <v>3</v>
      </c>
    </row>
    <row r="30" spans="2:21" s="13" customFormat="1" ht="76.5" x14ac:dyDescent="0.2">
      <c r="B30" s="8" t="e">
        <f>B23</f>
        <v>#REF!</v>
      </c>
      <c r="C30" s="8" t="str">
        <f>C23</f>
        <v>II</v>
      </c>
      <c r="D30" s="9">
        <f>D23+1</f>
        <v>4</v>
      </c>
      <c r="E30" s="8">
        <v>1</v>
      </c>
      <c r="F30" s="10" t="s">
        <v>16</v>
      </c>
      <c r="G30" s="11" t="s">
        <v>46</v>
      </c>
      <c r="H30" s="12">
        <f t="shared" ref="H30:H35" si="8">ROUND(R30,1)</f>
        <v>16.399999999999999</v>
      </c>
      <c r="I30" s="12"/>
      <c r="J30" s="12"/>
      <c r="K30" s="12">
        <f>H30</f>
        <v>16.399999999999999</v>
      </c>
      <c r="L30" s="12"/>
      <c r="M30" s="12"/>
      <c r="N30" s="12"/>
      <c r="O30" s="12"/>
      <c r="P30" s="14"/>
      <c r="R30" s="13">
        <f>(5.26*4.72)+(0.11*2.52)-(((0.22+0.11)/2)*2.66)-(0.1*0.07)-(1.21*(1.9+1.82+0.1))-(1.83*(1.82+0.1))-(1.3*0.1)</f>
        <v>16.392699999999998</v>
      </c>
    </row>
    <row r="31" spans="2:21" s="13" customFormat="1" ht="38.25" x14ac:dyDescent="0.2">
      <c r="B31" s="8"/>
      <c r="C31" s="8" t="str">
        <f t="shared" ref="C31:D36" si="9">C30</f>
        <v>II</v>
      </c>
      <c r="D31" s="9">
        <f t="shared" si="9"/>
        <v>4</v>
      </c>
      <c r="E31" s="8">
        <v>2</v>
      </c>
      <c r="F31" s="10" t="s">
        <v>22</v>
      </c>
      <c r="G31" s="11" t="s">
        <v>47</v>
      </c>
      <c r="H31" s="12">
        <f t="shared" si="8"/>
        <v>22.3</v>
      </c>
      <c r="I31" s="12"/>
      <c r="J31" s="12">
        <f>H31</f>
        <v>22.3</v>
      </c>
      <c r="K31" s="12"/>
      <c r="L31" s="12"/>
      <c r="M31" s="12"/>
      <c r="N31" s="12"/>
      <c r="O31" s="12"/>
      <c r="P31" s="14"/>
      <c r="R31" s="13">
        <f>(((3.42+3.4)/2)*6.23)+((1.13*1.7)/2)+((0.06*1.95)/2)</f>
        <v>22.263300000000001</v>
      </c>
    </row>
    <row r="32" spans="2:21" s="13" customFormat="1" ht="51" x14ac:dyDescent="0.2">
      <c r="B32" s="8"/>
      <c r="C32" s="8" t="str">
        <f t="shared" si="9"/>
        <v>II</v>
      </c>
      <c r="D32" s="9">
        <f t="shared" si="9"/>
        <v>4</v>
      </c>
      <c r="E32" s="8">
        <v>3</v>
      </c>
      <c r="F32" s="10" t="s">
        <v>20</v>
      </c>
      <c r="G32" s="11" t="s">
        <v>48</v>
      </c>
      <c r="H32" s="12">
        <f t="shared" si="8"/>
        <v>18.3</v>
      </c>
      <c r="I32" s="12"/>
      <c r="J32" s="12"/>
      <c r="K32" s="12">
        <f>H32</f>
        <v>18.3</v>
      </c>
      <c r="L32" s="12"/>
      <c r="M32" s="12"/>
      <c r="N32" s="12"/>
      <c r="O32" s="12"/>
      <c r="P32" s="14"/>
      <c r="R32" s="13">
        <f>((3.12+3.11)/2)*((6.2+6.21)/2)-(0.54*0.52)-(0.43*1.32)-(0.26*0.25)-(0.76*0.1)</f>
        <v>18.339175000000001</v>
      </c>
    </row>
    <row r="33" spans="2:21" s="13" customFormat="1" ht="38.25" x14ac:dyDescent="0.2">
      <c r="B33" s="8"/>
      <c r="C33" s="8" t="str">
        <f t="shared" si="9"/>
        <v>II</v>
      </c>
      <c r="D33" s="9">
        <f t="shared" si="9"/>
        <v>4</v>
      </c>
      <c r="E33" s="8">
        <v>4</v>
      </c>
      <c r="F33" s="10" t="s">
        <v>18</v>
      </c>
      <c r="G33" s="11" t="s">
        <v>49</v>
      </c>
      <c r="H33" s="12">
        <f t="shared" si="8"/>
        <v>2.2000000000000002</v>
      </c>
      <c r="I33" s="12"/>
      <c r="J33" s="12"/>
      <c r="K33" s="12">
        <f>H33</f>
        <v>2.2000000000000002</v>
      </c>
      <c r="L33" s="12"/>
      <c r="M33" s="12"/>
      <c r="N33" s="12"/>
      <c r="O33" s="12"/>
      <c r="P33" s="14"/>
      <c r="R33" s="13">
        <f>(1.78*1.49)-(0.1*0.74)-(0.39*(0.57+0.26))-(0.36*0.26)</f>
        <v>2.1609000000000003</v>
      </c>
    </row>
    <row r="34" spans="2:21" s="13" customFormat="1" ht="20.100000000000001" customHeight="1" x14ac:dyDescent="0.2">
      <c r="B34" s="8"/>
      <c r="C34" s="8" t="str">
        <f t="shared" si="9"/>
        <v>II</v>
      </c>
      <c r="D34" s="9">
        <f t="shared" si="9"/>
        <v>4</v>
      </c>
      <c r="E34" s="8">
        <v>5</v>
      </c>
      <c r="F34" s="10" t="s">
        <v>42</v>
      </c>
      <c r="G34" s="11" t="s">
        <v>50</v>
      </c>
      <c r="H34" s="12">
        <f t="shared" si="8"/>
        <v>4.9000000000000004</v>
      </c>
      <c r="I34" s="12"/>
      <c r="J34" s="12"/>
      <c r="K34" s="12">
        <f>H34</f>
        <v>4.9000000000000004</v>
      </c>
      <c r="L34" s="12"/>
      <c r="M34" s="12"/>
      <c r="N34" s="12"/>
      <c r="O34" s="12"/>
      <c r="P34" s="14"/>
      <c r="R34" s="13">
        <f>(3*1.79)-(1.19*0.4)</f>
        <v>4.8940000000000001</v>
      </c>
    </row>
    <row r="35" spans="2:21" s="13" customFormat="1" ht="20.100000000000001" customHeight="1" x14ac:dyDescent="0.2">
      <c r="B35" s="8"/>
      <c r="C35" s="8" t="str">
        <f t="shared" si="9"/>
        <v>II</v>
      </c>
      <c r="D35" s="9">
        <f t="shared" si="9"/>
        <v>4</v>
      </c>
      <c r="E35" s="8"/>
      <c r="F35" s="10" t="s">
        <v>28</v>
      </c>
      <c r="G35" s="16" t="s">
        <v>29</v>
      </c>
      <c r="H35" s="12">
        <f t="shared" si="8"/>
        <v>0.7</v>
      </c>
      <c r="I35" s="12"/>
      <c r="J35" s="12"/>
      <c r="K35" s="12"/>
      <c r="L35" s="12">
        <f>H35</f>
        <v>0.7</v>
      </c>
      <c r="M35" s="12"/>
      <c r="N35" s="12"/>
      <c r="O35" s="15" t="s">
        <v>30</v>
      </c>
      <c r="P35" s="14"/>
      <c r="R35" s="13">
        <f>2.21*0.3</f>
        <v>0.66299999999999992</v>
      </c>
    </row>
    <row r="36" spans="2:21" s="13" customFormat="1" ht="20.100000000000001" customHeight="1" x14ac:dyDescent="0.2">
      <c r="B36" s="8"/>
      <c r="C36" s="8" t="str">
        <f t="shared" si="9"/>
        <v>II</v>
      </c>
      <c r="D36" s="9">
        <f t="shared" si="9"/>
        <v>4</v>
      </c>
      <c r="E36" s="8"/>
      <c r="F36" s="10" t="s">
        <v>107</v>
      </c>
      <c r="G36" s="24" t="str">
        <f>"Усього по кв. №"&amp;D30&amp;":"</f>
        <v>Усього по кв. №4:</v>
      </c>
      <c r="H36" s="25">
        <f>SUMIF($D$3:$D35,$D36,H$3:H35)</f>
        <v>64.800000000000011</v>
      </c>
      <c r="I36" s="25">
        <f>SUMIF($D$3:$D35,$D36,I$3:I35)</f>
        <v>0</v>
      </c>
      <c r="J36" s="25">
        <f>SUMIF($D$3:$D35,$D36,J$3:J35)</f>
        <v>22.3</v>
      </c>
      <c r="K36" s="25">
        <f>SUMIF($D$3:$D35,$D36,K$3:K35)</f>
        <v>41.800000000000004</v>
      </c>
      <c r="L36" s="25">
        <f>SUMIF($D$3:$D35,$D36,L$3:L35)</f>
        <v>0.7</v>
      </c>
      <c r="M36" s="25">
        <f>SUM(M30:M35)</f>
        <v>0</v>
      </c>
      <c r="N36" s="25">
        <f>SUM(N30:N35)</f>
        <v>0</v>
      </c>
      <c r="O36" s="25">
        <f>SUM(O30:O35)</f>
        <v>0</v>
      </c>
      <c r="P36" s="14">
        <v>1</v>
      </c>
      <c r="U36" s="13">
        <f>D30</f>
        <v>4</v>
      </c>
    </row>
    <row r="37" spans="2:21" s="13" customFormat="1" ht="25.5" x14ac:dyDescent="0.2">
      <c r="B37" s="8" t="e">
        <f>B30</f>
        <v>#REF!</v>
      </c>
      <c r="C37" s="8" t="str">
        <f>C30</f>
        <v>II</v>
      </c>
      <c r="D37" s="9">
        <f>D30+1</f>
        <v>5</v>
      </c>
      <c r="E37" s="8">
        <v>1</v>
      </c>
      <c r="F37" s="10" t="s">
        <v>16</v>
      </c>
      <c r="G37" s="11" t="s">
        <v>51</v>
      </c>
      <c r="H37" s="12">
        <f t="shared" ref="H37:H42" si="10">ROUND(R37,1)</f>
        <v>11.6</v>
      </c>
      <c r="I37" s="12"/>
      <c r="J37" s="12"/>
      <c r="K37" s="12">
        <f>H37</f>
        <v>11.6</v>
      </c>
      <c r="L37" s="12"/>
      <c r="M37" s="12"/>
      <c r="N37" s="12"/>
      <c r="O37" s="12"/>
      <c r="P37" s="14"/>
      <c r="R37" s="13">
        <f>(4.72*3.41)-(2*1.93)-(1.97*0.31)-(0.1*0.21)</f>
        <v>11.603499999999999</v>
      </c>
    </row>
    <row r="38" spans="2:21" s="13" customFormat="1" ht="20.100000000000001" customHeight="1" x14ac:dyDescent="0.2">
      <c r="B38" s="8"/>
      <c r="C38" s="8" t="str">
        <f t="shared" ref="C38:D43" si="11">C37</f>
        <v>II</v>
      </c>
      <c r="D38" s="9">
        <f t="shared" si="11"/>
        <v>5</v>
      </c>
      <c r="E38" s="8">
        <v>2</v>
      </c>
      <c r="F38" s="10" t="s">
        <v>42</v>
      </c>
      <c r="G38" s="11" t="s">
        <v>52</v>
      </c>
      <c r="H38" s="12">
        <f t="shared" si="10"/>
        <v>3.8</v>
      </c>
      <c r="I38" s="12"/>
      <c r="J38" s="12"/>
      <c r="K38" s="12">
        <f>H38</f>
        <v>3.8</v>
      </c>
      <c r="L38" s="12"/>
      <c r="M38" s="12"/>
      <c r="N38" s="12"/>
      <c r="O38" s="12"/>
      <c r="P38" s="14"/>
      <c r="R38" s="13">
        <f>(2.19*1.86)-(0.41*0.7)</f>
        <v>3.7864000000000004</v>
      </c>
    </row>
    <row r="39" spans="2:21" s="13" customFormat="1" ht="38.25" x14ac:dyDescent="0.2">
      <c r="B39" s="8"/>
      <c r="C39" s="8" t="str">
        <f t="shared" si="11"/>
        <v>II</v>
      </c>
      <c r="D39" s="9">
        <f t="shared" si="11"/>
        <v>5</v>
      </c>
      <c r="E39" s="8">
        <v>3</v>
      </c>
      <c r="F39" s="10" t="s">
        <v>18</v>
      </c>
      <c r="G39" s="11" t="s">
        <v>53</v>
      </c>
      <c r="H39" s="12">
        <f t="shared" si="10"/>
        <v>2.2000000000000002</v>
      </c>
      <c r="I39" s="12"/>
      <c r="J39" s="12"/>
      <c r="K39" s="12">
        <f>H39</f>
        <v>2.2000000000000002</v>
      </c>
      <c r="L39" s="12"/>
      <c r="M39" s="12"/>
      <c r="N39" s="12"/>
      <c r="O39" s="12"/>
      <c r="P39" s="14"/>
      <c r="R39" s="13">
        <f>(1.45*1.91)-(0.34*0.34)-(0.41*(0.63+0.34))-(0.73*0.1)</f>
        <v>2.1831999999999998</v>
      </c>
    </row>
    <row r="40" spans="2:21" s="13" customFormat="1" ht="38.25" x14ac:dyDescent="0.2">
      <c r="B40" s="8"/>
      <c r="C40" s="8" t="str">
        <f t="shared" si="11"/>
        <v>II</v>
      </c>
      <c r="D40" s="9">
        <f t="shared" si="11"/>
        <v>5</v>
      </c>
      <c r="E40" s="8">
        <v>4</v>
      </c>
      <c r="F40" s="10" t="s">
        <v>22</v>
      </c>
      <c r="G40" s="11" t="s">
        <v>54</v>
      </c>
      <c r="H40" s="12">
        <f t="shared" si="10"/>
        <v>22</v>
      </c>
      <c r="I40" s="12"/>
      <c r="J40" s="12">
        <f>H40</f>
        <v>22</v>
      </c>
      <c r="K40" s="12"/>
      <c r="L40" s="12"/>
      <c r="M40" s="12"/>
      <c r="N40" s="12"/>
      <c r="O40" s="12"/>
      <c r="P40" s="14"/>
      <c r="R40" s="13">
        <f>((3.62+3.6)/2)*((6.19+6.2)/2)-(0.09*0.74)-(0.51*0.56)</f>
        <v>22.011750000000003</v>
      </c>
    </row>
    <row r="41" spans="2:21" s="13" customFormat="1" ht="38.25" x14ac:dyDescent="0.2">
      <c r="B41" s="8"/>
      <c r="C41" s="8" t="str">
        <f t="shared" si="11"/>
        <v>II</v>
      </c>
      <c r="D41" s="9">
        <f t="shared" si="11"/>
        <v>5</v>
      </c>
      <c r="E41" s="8">
        <v>5</v>
      </c>
      <c r="F41" s="10" t="s">
        <v>20</v>
      </c>
      <c r="G41" s="11" t="s">
        <v>55</v>
      </c>
      <c r="H41" s="12">
        <f t="shared" si="10"/>
        <v>18.100000000000001</v>
      </c>
      <c r="I41" s="12"/>
      <c r="J41" s="12"/>
      <c r="K41" s="12">
        <f>H41</f>
        <v>18.100000000000001</v>
      </c>
      <c r="L41" s="12"/>
      <c r="M41" s="12"/>
      <c r="N41" s="12"/>
      <c r="O41" s="12"/>
      <c r="P41" s="14"/>
      <c r="R41" s="13">
        <f>(((2.88+2.91)/2)*5.89)+((1.43*1.09)/2)+((1.66*0.37)/2)</f>
        <v>18.137999999999998</v>
      </c>
    </row>
    <row r="42" spans="2:21" s="23" customFormat="1" ht="20.100000000000001" customHeight="1" x14ac:dyDescent="0.2">
      <c r="B42" s="17"/>
      <c r="C42" s="17" t="str">
        <f t="shared" si="11"/>
        <v>II</v>
      </c>
      <c r="D42" s="18">
        <f t="shared" si="11"/>
        <v>5</v>
      </c>
      <c r="E42" s="17"/>
      <c r="F42" s="19" t="s">
        <v>28</v>
      </c>
      <c r="G42" s="20" t="s">
        <v>29</v>
      </c>
      <c r="H42" s="21">
        <f t="shared" si="10"/>
        <v>0</v>
      </c>
      <c r="I42" s="21"/>
      <c r="J42" s="21"/>
      <c r="K42" s="21"/>
      <c r="L42" s="21">
        <f>H42</f>
        <v>0</v>
      </c>
      <c r="M42" s="21"/>
      <c r="N42" s="21"/>
      <c r="O42" s="22" t="s">
        <v>30</v>
      </c>
      <c r="P42" s="14"/>
    </row>
    <row r="43" spans="2:21" s="13" customFormat="1" ht="20.100000000000001" customHeight="1" x14ac:dyDescent="0.2">
      <c r="B43" s="8"/>
      <c r="C43" s="8" t="str">
        <f t="shared" si="11"/>
        <v>II</v>
      </c>
      <c r="D43" s="9">
        <f t="shared" si="11"/>
        <v>5</v>
      </c>
      <c r="E43" s="8"/>
      <c r="F43" s="10" t="s">
        <v>107</v>
      </c>
      <c r="G43" s="24" t="str">
        <f>"Усього по кв. №"&amp;D37&amp;":"</f>
        <v>Усього по кв. №5:</v>
      </c>
      <c r="H43" s="25">
        <f>SUMIF($D$3:$D42,$D43,H$3:H42)</f>
        <v>57.699999999999996</v>
      </c>
      <c r="I43" s="25">
        <f>SUMIF($D$3:$D42,$D43,I$3:I42)</f>
        <v>0</v>
      </c>
      <c r="J43" s="25">
        <f>SUMIF($D$3:$D42,$D43,J$3:J42)</f>
        <v>22</v>
      </c>
      <c r="K43" s="25">
        <f>SUMIF($D$3:$D42,$D43,K$3:K42)</f>
        <v>35.700000000000003</v>
      </c>
      <c r="L43" s="25">
        <f>SUMIF($D$3:$D42,$D43,L$3:L42)</f>
        <v>0</v>
      </c>
      <c r="M43" s="25">
        <f>SUM(M37:M42)</f>
        <v>0</v>
      </c>
      <c r="N43" s="25">
        <f>SUM(N37:N42)</f>
        <v>0</v>
      </c>
      <c r="O43" s="25">
        <f>SUM(O37:O42)</f>
        <v>0</v>
      </c>
      <c r="P43" s="14">
        <v>1</v>
      </c>
      <c r="U43" s="13">
        <f>D37</f>
        <v>5</v>
      </c>
    </row>
    <row r="44" spans="2:21" s="13" customFormat="1" ht="38.25" x14ac:dyDescent="0.2">
      <c r="B44" s="8" t="e">
        <f>B37</f>
        <v>#REF!</v>
      </c>
      <c r="C44" s="8" t="str">
        <f>C37</f>
        <v>II</v>
      </c>
      <c r="D44" s="9">
        <f>D37+36</f>
        <v>41</v>
      </c>
      <c r="E44" s="8">
        <v>1</v>
      </c>
      <c r="F44" s="10" t="s">
        <v>16</v>
      </c>
      <c r="G44" s="11" t="s">
        <v>56</v>
      </c>
      <c r="H44" s="12">
        <f t="shared" ref="H44:H52" si="12">ROUND(R44,1)</f>
        <v>20.2</v>
      </c>
      <c r="I44" s="12"/>
      <c r="J44" s="12"/>
      <c r="K44" s="12">
        <f>H44</f>
        <v>20.2</v>
      </c>
      <c r="L44" s="12"/>
      <c r="M44" s="12"/>
      <c r="N44" s="12"/>
      <c r="O44" s="12"/>
      <c r="P44" s="14"/>
      <c r="R44" s="13">
        <f>(4.66*6.07)-(3.52*3.22)+(((2.55+0.85)/2)*1.64)+((0.46*2.19)/2)</f>
        <v>20.243499999999997</v>
      </c>
    </row>
    <row r="45" spans="2:21" s="13" customFormat="1" ht="20.100000000000001" customHeight="1" x14ac:dyDescent="0.2">
      <c r="B45" s="8"/>
      <c r="C45" s="8" t="str">
        <f t="shared" ref="C45:C53" si="13">C44</f>
        <v>II</v>
      </c>
      <c r="D45" s="9">
        <f t="shared" ref="D45:D53" si="14">D44</f>
        <v>41</v>
      </c>
      <c r="E45" s="8">
        <v>2</v>
      </c>
      <c r="F45" s="10" t="s">
        <v>18</v>
      </c>
      <c r="G45" s="16" t="s">
        <v>57</v>
      </c>
      <c r="H45" s="12">
        <f t="shared" si="12"/>
        <v>2.1</v>
      </c>
      <c r="I45" s="12"/>
      <c r="J45" s="12"/>
      <c r="K45" s="12">
        <f>H45</f>
        <v>2.1</v>
      </c>
      <c r="L45" s="12"/>
      <c r="M45" s="12"/>
      <c r="N45" s="12"/>
      <c r="O45" s="12"/>
      <c r="P45" s="14"/>
      <c r="R45" s="13">
        <v>2.1</v>
      </c>
    </row>
    <row r="46" spans="2:21" s="13" customFormat="1" ht="76.5" x14ac:dyDescent="0.2">
      <c r="B46" s="8"/>
      <c r="C46" s="8" t="str">
        <f t="shared" si="13"/>
        <v>II</v>
      </c>
      <c r="D46" s="9">
        <f t="shared" si="14"/>
        <v>41</v>
      </c>
      <c r="E46" s="8">
        <v>3</v>
      </c>
      <c r="F46" s="10" t="s">
        <v>20</v>
      </c>
      <c r="G46" s="11" t="s">
        <v>58</v>
      </c>
      <c r="H46" s="12">
        <f t="shared" si="12"/>
        <v>16.399999999999999</v>
      </c>
      <c r="I46" s="12"/>
      <c r="J46" s="12"/>
      <c r="K46" s="12">
        <f>H46</f>
        <v>16.399999999999999</v>
      </c>
      <c r="L46" s="12"/>
      <c r="M46" s="12"/>
      <c r="N46" s="12"/>
      <c r="O46" s="12"/>
      <c r="P46" s="14"/>
      <c r="R46" s="13">
        <f>(0.52*1.9)+(((3.51+1.9+0.23)/2)*2.28)+(((3.51+3.57)/2)*0.89)-((0.41*0.83)/2)+(((3.57+2.97)/2)*0.4)+((0.85+0.42+0.31)*2.97)</f>
        <v>16.398650000000004</v>
      </c>
    </row>
    <row r="47" spans="2:21" s="23" customFormat="1" ht="20.100000000000001" customHeight="1" x14ac:dyDescent="0.2">
      <c r="B47" s="17"/>
      <c r="C47" s="17" t="str">
        <f t="shared" si="13"/>
        <v>II</v>
      </c>
      <c r="D47" s="18">
        <f t="shared" si="14"/>
        <v>41</v>
      </c>
      <c r="E47" s="17">
        <v>4</v>
      </c>
      <c r="F47" s="19" t="s">
        <v>59</v>
      </c>
      <c r="G47" s="26"/>
      <c r="H47" s="21">
        <f t="shared" si="12"/>
        <v>0</v>
      </c>
      <c r="I47" s="21"/>
      <c r="J47" s="12"/>
      <c r="K47" s="12"/>
      <c r="L47" s="12">
        <f>H47</f>
        <v>0</v>
      </c>
      <c r="M47" s="21"/>
      <c r="N47" s="21"/>
      <c r="O47" s="22" t="s">
        <v>60</v>
      </c>
      <c r="P47" s="14"/>
    </row>
    <row r="48" spans="2:21" s="13" customFormat="1" ht="25.5" x14ac:dyDescent="0.2">
      <c r="B48" s="8"/>
      <c r="C48" s="8" t="str">
        <f t="shared" si="13"/>
        <v>II</v>
      </c>
      <c r="D48" s="9">
        <f t="shared" si="14"/>
        <v>41</v>
      </c>
      <c r="E48" s="8">
        <v>5</v>
      </c>
      <c r="F48" s="10" t="s">
        <v>22</v>
      </c>
      <c r="G48" s="11" t="s">
        <v>61</v>
      </c>
      <c r="H48" s="12">
        <f t="shared" si="12"/>
        <v>27.4</v>
      </c>
      <c r="I48" s="12"/>
      <c r="J48" s="12">
        <f>H48</f>
        <v>27.4</v>
      </c>
      <c r="K48" s="12"/>
      <c r="L48" s="12"/>
      <c r="M48" s="12"/>
      <c r="N48" s="12"/>
      <c r="O48" s="12"/>
      <c r="P48" s="14"/>
      <c r="R48" s="13">
        <f>((3.82+3.79)/2)*((7.26+7.27)/2)-(0.56*0.42)</f>
        <v>27.408124999999998</v>
      </c>
    </row>
    <row r="49" spans="2:21" s="13" customFormat="1" ht="51" x14ac:dyDescent="0.2">
      <c r="B49" s="8"/>
      <c r="C49" s="8" t="str">
        <f t="shared" si="13"/>
        <v>II</v>
      </c>
      <c r="D49" s="9">
        <f t="shared" si="14"/>
        <v>41</v>
      </c>
      <c r="E49" s="8">
        <v>6</v>
      </c>
      <c r="F49" s="10" t="s">
        <v>22</v>
      </c>
      <c r="G49" s="11" t="s">
        <v>62</v>
      </c>
      <c r="H49" s="12">
        <f t="shared" si="12"/>
        <v>30</v>
      </c>
      <c r="I49" s="12"/>
      <c r="J49" s="12">
        <f>H49</f>
        <v>30</v>
      </c>
      <c r="K49" s="12"/>
      <c r="L49" s="12"/>
      <c r="M49" s="12"/>
      <c r="N49" s="12"/>
      <c r="O49" s="12"/>
      <c r="P49" s="14"/>
      <c r="R49" s="13">
        <f>((3.8+3.78)/2)*((8.24+8.24)/2)-(0.56*0.42)-(0.72*0.54)-(0.48*(0.71+0.54))</f>
        <v>30.005600000000001</v>
      </c>
    </row>
    <row r="50" spans="2:21" s="13" customFormat="1" ht="38.25" x14ac:dyDescent="0.2">
      <c r="B50" s="8"/>
      <c r="C50" s="8" t="str">
        <f t="shared" si="13"/>
        <v>II</v>
      </c>
      <c r="D50" s="9">
        <f t="shared" si="14"/>
        <v>41</v>
      </c>
      <c r="E50" s="8">
        <v>7</v>
      </c>
      <c r="F50" s="10" t="s">
        <v>22</v>
      </c>
      <c r="G50" s="11" t="s">
        <v>63</v>
      </c>
      <c r="H50" s="12">
        <f t="shared" si="12"/>
        <v>16.7</v>
      </c>
      <c r="I50" s="12"/>
      <c r="J50" s="12">
        <f>H50</f>
        <v>16.7</v>
      </c>
      <c r="K50" s="12"/>
      <c r="L50" s="12"/>
      <c r="M50" s="12"/>
      <c r="N50" s="12"/>
      <c r="O50" s="12"/>
      <c r="P50" s="14"/>
      <c r="R50" s="13">
        <f>((2.82+2.7)/2)*((6.19+6.2)/2)-(0.52*0.81)-(0.07*0.11)</f>
        <v>16.6693</v>
      </c>
    </row>
    <row r="51" spans="2:21" s="13" customFormat="1" ht="38.25" x14ac:dyDescent="0.2">
      <c r="B51" s="8"/>
      <c r="C51" s="8" t="str">
        <f t="shared" si="13"/>
        <v>II</v>
      </c>
      <c r="D51" s="9">
        <f t="shared" si="14"/>
        <v>41</v>
      </c>
      <c r="E51" s="8">
        <v>8</v>
      </c>
      <c r="F51" s="10" t="s">
        <v>26</v>
      </c>
      <c r="G51" s="11" t="s">
        <v>64</v>
      </c>
      <c r="H51" s="12">
        <f t="shared" si="12"/>
        <v>5.8</v>
      </c>
      <c r="I51" s="12"/>
      <c r="J51" s="12"/>
      <c r="K51" s="12">
        <f>H51</f>
        <v>5.8</v>
      </c>
      <c r="L51" s="12"/>
      <c r="M51" s="12"/>
      <c r="N51" s="12"/>
      <c r="O51" s="12"/>
      <c r="P51" s="14"/>
      <c r="R51" s="13">
        <f>(3.35*1.86)-(0.09*0.24)-(0.11*0.39)-(0.36*0.26)-(0.86*0.34)</f>
        <v>5.7805</v>
      </c>
    </row>
    <row r="52" spans="2:21" s="13" customFormat="1" ht="20.100000000000001" customHeight="1" x14ac:dyDescent="0.2">
      <c r="B52" s="8"/>
      <c r="C52" s="8" t="str">
        <f t="shared" si="13"/>
        <v>II</v>
      </c>
      <c r="D52" s="9">
        <f t="shared" si="14"/>
        <v>41</v>
      </c>
      <c r="E52" s="8"/>
      <c r="F52" s="10" t="s">
        <v>28</v>
      </c>
      <c r="G52" s="11" t="s">
        <v>65</v>
      </c>
      <c r="H52" s="12">
        <f t="shared" si="12"/>
        <v>0.1</v>
      </c>
      <c r="I52" s="12"/>
      <c r="J52" s="12"/>
      <c r="K52" s="12"/>
      <c r="L52" s="12">
        <f>H52</f>
        <v>0.1</v>
      </c>
      <c r="M52" s="12"/>
      <c r="N52" s="12"/>
      <c r="O52" s="15" t="s">
        <v>30</v>
      </c>
      <c r="P52" s="27"/>
      <c r="R52" s="13">
        <f>(2/3*1.83*0.23)*0.3</f>
        <v>8.4180000000000005E-2</v>
      </c>
    </row>
    <row r="53" spans="2:21" s="13" customFormat="1" ht="20.100000000000001" customHeight="1" x14ac:dyDescent="0.2">
      <c r="B53" s="8"/>
      <c r="C53" s="8" t="str">
        <f t="shared" si="13"/>
        <v>II</v>
      </c>
      <c r="D53" s="9">
        <f t="shared" si="14"/>
        <v>41</v>
      </c>
      <c r="E53" s="8"/>
      <c r="F53" s="10" t="s">
        <v>107</v>
      </c>
      <c r="G53" s="24" t="str">
        <f>"Усього по кв. №"&amp;D44&amp;":"</f>
        <v>Усього по кв. №41:</v>
      </c>
      <c r="H53" s="25">
        <f>SUMIF($D$3:$D52,$D53,H$3:H52)</f>
        <v>118.69999999999999</v>
      </c>
      <c r="I53" s="25">
        <f>SUMIF($D$3:$D52,$D53,I$3:I52)</f>
        <v>0</v>
      </c>
      <c r="J53" s="25">
        <f>SUMIF($D$3:$D52,$D53,J$3:J52)</f>
        <v>74.099999999999994</v>
      </c>
      <c r="K53" s="25">
        <f>SUMIF($D$3:$D52,$D53,K$3:K52)</f>
        <v>44.5</v>
      </c>
      <c r="L53" s="25">
        <f>SUMIF($D$3:$D52,$D53,L$3:L52)</f>
        <v>0.1</v>
      </c>
      <c r="M53" s="25">
        <f>SUM(M44:M52)</f>
        <v>0</v>
      </c>
      <c r="N53" s="25">
        <f>SUM(N44:N52)</f>
        <v>0</v>
      </c>
      <c r="O53" s="25">
        <f>SUM(O44:O52)</f>
        <v>0</v>
      </c>
      <c r="P53" s="14">
        <v>3</v>
      </c>
      <c r="U53" s="13">
        <f>D44</f>
        <v>41</v>
      </c>
    </row>
    <row r="54" spans="2:21" s="13" customFormat="1" ht="20.100000000000001" customHeight="1" x14ac:dyDescent="0.2">
      <c r="B54" s="8" t="e">
        <f>B44</f>
        <v>#REF!</v>
      </c>
      <c r="C54" s="8" t="str">
        <f>C44</f>
        <v>II</v>
      </c>
      <c r="D54" s="9">
        <f>D44+1</f>
        <v>42</v>
      </c>
      <c r="E54" s="8">
        <v>1</v>
      </c>
      <c r="F54" s="10" t="s">
        <v>16</v>
      </c>
      <c r="G54" s="16" t="s">
        <v>57</v>
      </c>
      <c r="H54" s="12">
        <f t="shared" ref="H54:H61" si="15">ROUND(R54,1)</f>
        <v>28.6</v>
      </c>
      <c r="I54" s="12"/>
      <c r="J54" s="12"/>
      <c r="K54" s="12">
        <f>H54</f>
        <v>28.6</v>
      </c>
      <c r="L54" s="12"/>
      <c r="M54" s="12"/>
      <c r="N54" s="12"/>
      <c r="O54" s="12"/>
      <c r="P54" s="14"/>
      <c r="R54" s="13">
        <v>28.64</v>
      </c>
    </row>
    <row r="55" spans="2:21" s="13" customFormat="1" ht="38.25" x14ac:dyDescent="0.2">
      <c r="B55" s="8"/>
      <c r="C55" s="8" t="str">
        <f t="shared" ref="C55:D62" si="16">C54</f>
        <v>II</v>
      </c>
      <c r="D55" s="9">
        <f t="shared" si="16"/>
        <v>42</v>
      </c>
      <c r="E55" s="8">
        <v>2</v>
      </c>
      <c r="F55" s="10" t="s">
        <v>18</v>
      </c>
      <c r="G55" s="11" t="s">
        <v>66</v>
      </c>
      <c r="H55" s="12">
        <f t="shared" si="15"/>
        <v>3.1</v>
      </c>
      <c r="I55" s="12"/>
      <c r="J55" s="12"/>
      <c r="K55" s="12">
        <f t="shared" ref="K55:K60" si="17">H55</f>
        <v>3.1</v>
      </c>
      <c r="L55" s="12"/>
      <c r="M55" s="12"/>
      <c r="N55" s="12"/>
      <c r="O55" s="12"/>
      <c r="P55" s="14"/>
      <c r="R55" s="13">
        <f>(((1.26+1.15)/2)*(1.43+0.29+0.21))+((1.61*1.07)/2)-(((0.16+0.16)/2)*0.29)</f>
        <v>3.1406000000000001</v>
      </c>
    </row>
    <row r="56" spans="2:21" s="13" customFormat="1" ht="25.5" x14ac:dyDescent="0.2">
      <c r="B56" s="8"/>
      <c r="C56" s="8" t="str">
        <f t="shared" si="16"/>
        <v>II</v>
      </c>
      <c r="D56" s="9">
        <f t="shared" si="16"/>
        <v>42</v>
      </c>
      <c r="E56" s="8">
        <v>3</v>
      </c>
      <c r="F56" s="10" t="s">
        <v>26</v>
      </c>
      <c r="G56" s="11" t="s">
        <v>67</v>
      </c>
      <c r="H56" s="12">
        <f t="shared" si="15"/>
        <v>4.8</v>
      </c>
      <c r="I56" s="12"/>
      <c r="J56" s="12"/>
      <c r="K56" s="12">
        <f t="shared" si="17"/>
        <v>4.8</v>
      </c>
      <c r="L56" s="12"/>
      <c r="M56" s="12"/>
      <c r="N56" s="12"/>
      <c r="O56" s="12"/>
      <c r="P56" s="14"/>
      <c r="R56" s="13">
        <f>(2.58*1.93)-(0.11*0.31)-(0.1*1.57)</f>
        <v>4.7883000000000004</v>
      </c>
    </row>
    <row r="57" spans="2:21" s="13" customFormat="1" ht="38.25" x14ac:dyDescent="0.2">
      <c r="B57" s="8"/>
      <c r="C57" s="8" t="str">
        <f t="shared" si="16"/>
        <v>II</v>
      </c>
      <c r="D57" s="9">
        <f t="shared" si="16"/>
        <v>42</v>
      </c>
      <c r="E57" s="8">
        <v>4</v>
      </c>
      <c r="F57" s="10" t="s">
        <v>22</v>
      </c>
      <c r="G57" s="11" t="s">
        <v>68</v>
      </c>
      <c r="H57" s="12">
        <f>ROUND(R57,1)</f>
        <v>15.9</v>
      </c>
      <c r="I57" s="12"/>
      <c r="J57" s="12">
        <f>H57</f>
        <v>15.9</v>
      </c>
      <c r="K57" s="12"/>
      <c r="L57" s="12"/>
      <c r="M57" s="12"/>
      <c r="N57" s="12"/>
      <c r="O57" s="12"/>
      <c r="P57" s="14"/>
      <c r="R57" s="13">
        <f>((2.54+2.71)/2)*((6.22+6.21)/2)-(0.12*0.14)-(0.8*0.48)</f>
        <v>15.913574999999998</v>
      </c>
    </row>
    <row r="58" spans="2:21" s="13" customFormat="1" ht="25.5" x14ac:dyDescent="0.2">
      <c r="B58" s="8"/>
      <c r="C58" s="8" t="str">
        <f t="shared" si="16"/>
        <v>II</v>
      </c>
      <c r="D58" s="9">
        <f t="shared" si="16"/>
        <v>42</v>
      </c>
      <c r="E58" s="8">
        <v>5</v>
      </c>
      <c r="F58" s="10" t="s">
        <v>22</v>
      </c>
      <c r="G58" s="11" t="s">
        <v>69</v>
      </c>
      <c r="H58" s="12">
        <f t="shared" si="15"/>
        <v>18.8</v>
      </c>
      <c r="I58" s="12"/>
      <c r="J58" s="12">
        <f>H58</f>
        <v>18.8</v>
      </c>
      <c r="K58" s="12"/>
      <c r="L58" s="12"/>
      <c r="M58" s="12"/>
      <c r="N58" s="12"/>
      <c r="O58" s="12"/>
      <c r="P58" s="14"/>
      <c r="R58" s="13">
        <f>(((3.09+3.16)/2)*6.22)-(0.55*1.1)-(0.16*0.11)</f>
        <v>18.814899999999998</v>
      </c>
    </row>
    <row r="59" spans="2:21" s="13" customFormat="1" ht="38.25" x14ac:dyDescent="0.2">
      <c r="B59" s="8"/>
      <c r="C59" s="8" t="str">
        <f t="shared" si="16"/>
        <v>II</v>
      </c>
      <c r="D59" s="9">
        <f t="shared" si="16"/>
        <v>42</v>
      </c>
      <c r="E59" s="8">
        <v>6</v>
      </c>
      <c r="F59" s="10" t="s">
        <v>22</v>
      </c>
      <c r="G59" s="11" t="s">
        <v>70</v>
      </c>
      <c r="H59" s="12">
        <f t="shared" si="15"/>
        <v>11.2</v>
      </c>
      <c r="I59" s="12"/>
      <c r="J59" s="12">
        <f>H59</f>
        <v>11.2</v>
      </c>
      <c r="K59" s="12"/>
      <c r="L59" s="12"/>
      <c r="M59" s="12"/>
      <c r="N59" s="12"/>
      <c r="O59" s="12"/>
      <c r="P59" s="14"/>
      <c r="R59" s="13">
        <f>(((4.88+3.13)/2)*2.69)+(2/3*0.23*3.21)-((0.97*0.23)/2)</f>
        <v>11.1541</v>
      </c>
    </row>
    <row r="60" spans="2:21" s="13" customFormat="1" ht="20.100000000000001" customHeight="1" x14ac:dyDescent="0.2">
      <c r="B60" s="8"/>
      <c r="C60" s="8" t="str">
        <f t="shared" si="16"/>
        <v>II</v>
      </c>
      <c r="D60" s="9">
        <f t="shared" si="16"/>
        <v>42</v>
      </c>
      <c r="E60" s="8">
        <v>7</v>
      </c>
      <c r="F60" s="10" t="s">
        <v>20</v>
      </c>
      <c r="G60" s="16" t="s">
        <v>57</v>
      </c>
      <c r="H60" s="12">
        <f t="shared" si="15"/>
        <v>14.6</v>
      </c>
      <c r="I60" s="12"/>
      <c r="J60" s="12"/>
      <c r="K60" s="12">
        <f t="shared" si="17"/>
        <v>14.6</v>
      </c>
      <c r="L60" s="12"/>
      <c r="M60" s="12"/>
      <c r="N60" s="12"/>
      <c r="O60" s="12"/>
      <c r="P60" s="14"/>
      <c r="R60" s="13">
        <v>14.55</v>
      </c>
    </row>
    <row r="61" spans="2:21" s="13" customFormat="1" ht="20.100000000000001" customHeight="1" x14ac:dyDescent="0.2">
      <c r="B61" s="8"/>
      <c r="C61" s="8" t="str">
        <f t="shared" si="16"/>
        <v>II</v>
      </c>
      <c r="D61" s="9">
        <f t="shared" si="16"/>
        <v>42</v>
      </c>
      <c r="E61" s="8"/>
      <c r="F61" s="10" t="s">
        <v>28</v>
      </c>
      <c r="G61" s="16" t="s">
        <v>29</v>
      </c>
      <c r="H61" s="12">
        <f t="shared" si="15"/>
        <v>1.8</v>
      </c>
      <c r="I61" s="12"/>
      <c r="J61" s="12"/>
      <c r="K61" s="12"/>
      <c r="L61" s="12">
        <f>H61</f>
        <v>1.8</v>
      </c>
      <c r="M61" s="12"/>
      <c r="N61" s="12"/>
      <c r="O61" s="15" t="s">
        <v>30</v>
      </c>
      <c r="P61" s="14"/>
      <c r="R61" s="13">
        <f>6.07*0.3</f>
        <v>1.821</v>
      </c>
    </row>
    <row r="62" spans="2:21" s="13" customFormat="1" ht="20.100000000000001" customHeight="1" x14ac:dyDescent="0.2">
      <c r="B62" s="8"/>
      <c r="C62" s="8" t="str">
        <f t="shared" si="16"/>
        <v>II</v>
      </c>
      <c r="D62" s="9">
        <f t="shared" si="16"/>
        <v>42</v>
      </c>
      <c r="E62" s="8"/>
      <c r="F62" s="10" t="s">
        <v>107</v>
      </c>
      <c r="G62" s="24" t="str">
        <f>"Усього по кв. №"&amp;D54&amp;":"</f>
        <v>Усього по кв. №42:</v>
      </c>
      <c r="H62" s="25">
        <f>SUMIF($D$3:$D61,$D62,H$3:H61)</f>
        <v>98.8</v>
      </c>
      <c r="I62" s="25">
        <f>SUMIF($D$3:$D61,$D62,I$3:I61)</f>
        <v>0</v>
      </c>
      <c r="J62" s="25">
        <f>SUMIF($D$3:$D61,$D62,J$3:J61)</f>
        <v>45.900000000000006</v>
      </c>
      <c r="K62" s="25">
        <f>SUMIF($D$3:$D61,$D62,K$3:K61)</f>
        <v>51.1</v>
      </c>
      <c r="L62" s="25">
        <f>SUMIF($D$3:$D61,$D62,L$3:L61)</f>
        <v>1.8</v>
      </c>
      <c r="M62" s="25">
        <f>SUM(M54:M61)</f>
        <v>0</v>
      </c>
      <c r="N62" s="25">
        <f>SUM(N54:N61)</f>
        <v>0</v>
      </c>
      <c r="O62" s="25">
        <f>SUM(O54:O61)</f>
        <v>0</v>
      </c>
      <c r="P62" s="14">
        <v>3</v>
      </c>
      <c r="U62" s="13">
        <f>D54</f>
        <v>42</v>
      </c>
    </row>
    <row r="63" spans="2:21" s="13" customFormat="1" ht="20.100000000000001" customHeight="1" x14ac:dyDescent="0.2">
      <c r="B63" s="8" t="e">
        <f>B54</f>
        <v>#REF!</v>
      </c>
      <c r="C63" s="8" t="str">
        <f>C54</f>
        <v>II</v>
      </c>
      <c r="D63" s="9">
        <f>D54+1</f>
        <v>43</v>
      </c>
      <c r="E63" s="8">
        <v>1</v>
      </c>
      <c r="F63" s="10" t="s">
        <v>16</v>
      </c>
      <c r="G63" s="16" t="s">
        <v>57</v>
      </c>
      <c r="H63" s="12">
        <f t="shared" ref="H63:H70" si="18">ROUND(R63,1)</f>
        <v>29.9</v>
      </c>
      <c r="I63" s="12"/>
      <c r="J63" s="12"/>
      <c r="K63" s="12">
        <f>H63</f>
        <v>29.9</v>
      </c>
      <c r="L63" s="12"/>
      <c r="M63" s="12"/>
      <c r="N63" s="12"/>
      <c r="O63" s="12"/>
      <c r="P63" s="14"/>
      <c r="R63" s="13">
        <v>29.92</v>
      </c>
    </row>
    <row r="64" spans="2:21" s="13" customFormat="1" ht="20.100000000000001" customHeight="1" x14ac:dyDescent="0.2">
      <c r="B64" s="8"/>
      <c r="C64" s="8" t="str">
        <f t="shared" ref="C64:D71" si="19">C63</f>
        <v>II</v>
      </c>
      <c r="D64" s="9">
        <f t="shared" si="19"/>
        <v>43</v>
      </c>
      <c r="E64" s="8">
        <v>2</v>
      </c>
      <c r="F64" s="10" t="s">
        <v>20</v>
      </c>
      <c r="G64" s="16" t="s">
        <v>57</v>
      </c>
      <c r="H64" s="12">
        <f t="shared" si="18"/>
        <v>13.3</v>
      </c>
      <c r="I64" s="12"/>
      <c r="J64" s="12"/>
      <c r="K64" s="12">
        <f t="shared" ref="K64:K69" si="20">H64</f>
        <v>13.3</v>
      </c>
      <c r="L64" s="12"/>
      <c r="M64" s="12"/>
      <c r="N64" s="12"/>
      <c r="O64" s="12"/>
      <c r="P64" s="14"/>
      <c r="R64" s="13">
        <v>13.29</v>
      </c>
    </row>
    <row r="65" spans="2:21" s="13" customFormat="1" ht="25.5" x14ac:dyDescent="0.2">
      <c r="B65" s="8"/>
      <c r="C65" s="8" t="str">
        <f t="shared" si="19"/>
        <v>II</v>
      </c>
      <c r="D65" s="9">
        <f t="shared" si="19"/>
        <v>43</v>
      </c>
      <c r="E65" s="8">
        <v>3</v>
      </c>
      <c r="F65" s="10" t="s">
        <v>22</v>
      </c>
      <c r="G65" s="16" t="s">
        <v>57</v>
      </c>
      <c r="H65" s="12">
        <f t="shared" si="18"/>
        <v>11.8</v>
      </c>
      <c r="I65" s="12"/>
      <c r="J65" s="12">
        <f>H65</f>
        <v>11.8</v>
      </c>
      <c r="K65" s="12"/>
      <c r="L65" s="12"/>
      <c r="M65" s="12"/>
      <c r="N65" s="12"/>
      <c r="O65" s="12"/>
      <c r="P65" s="14"/>
      <c r="R65" s="13">
        <v>11.75</v>
      </c>
    </row>
    <row r="66" spans="2:21" s="13" customFormat="1" ht="25.5" x14ac:dyDescent="0.2">
      <c r="B66" s="8"/>
      <c r="C66" s="8" t="str">
        <f t="shared" si="19"/>
        <v>II</v>
      </c>
      <c r="D66" s="9">
        <f t="shared" si="19"/>
        <v>43</v>
      </c>
      <c r="E66" s="8">
        <v>4</v>
      </c>
      <c r="F66" s="10" t="s">
        <v>22</v>
      </c>
      <c r="G66" s="11" t="s">
        <v>71</v>
      </c>
      <c r="H66" s="12">
        <f t="shared" si="18"/>
        <v>19.100000000000001</v>
      </c>
      <c r="I66" s="12"/>
      <c r="J66" s="12">
        <f>H66</f>
        <v>19.100000000000001</v>
      </c>
      <c r="K66" s="12"/>
      <c r="L66" s="12"/>
      <c r="M66" s="12"/>
      <c r="N66" s="12"/>
      <c r="O66" s="12"/>
      <c r="P66" s="14"/>
      <c r="R66" s="13">
        <f>(((3.16+3.14)/2)*6.18)-(0.11*0.16)-(0.71*0.54)</f>
        <v>19.065999999999999</v>
      </c>
    </row>
    <row r="67" spans="2:21" s="13" customFormat="1" ht="25.5" x14ac:dyDescent="0.2">
      <c r="B67" s="8"/>
      <c r="C67" s="8" t="str">
        <f t="shared" si="19"/>
        <v>II</v>
      </c>
      <c r="D67" s="9">
        <f t="shared" si="19"/>
        <v>43</v>
      </c>
      <c r="E67" s="8">
        <v>5</v>
      </c>
      <c r="F67" s="10" t="s">
        <v>22</v>
      </c>
      <c r="G67" s="11" t="s">
        <v>72</v>
      </c>
      <c r="H67" s="12">
        <f t="shared" si="18"/>
        <v>16.100000000000001</v>
      </c>
      <c r="I67" s="12"/>
      <c r="J67" s="12">
        <f>H67</f>
        <v>16.100000000000001</v>
      </c>
      <c r="K67" s="12"/>
      <c r="L67" s="12"/>
      <c r="M67" s="12"/>
      <c r="N67" s="12"/>
      <c r="O67" s="12"/>
      <c r="P67" s="14"/>
      <c r="R67" s="13">
        <f>(((2.69+2.65)/2)*6.19)-(0.51*0.88)-(0.14*0.14)</f>
        <v>16.058900000000001</v>
      </c>
    </row>
    <row r="68" spans="2:21" s="13" customFormat="1" ht="25.5" x14ac:dyDescent="0.2">
      <c r="B68" s="8"/>
      <c r="C68" s="8" t="str">
        <f t="shared" si="19"/>
        <v>II</v>
      </c>
      <c r="D68" s="9">
        <f t="shared" si="19"/>
        <v>43</v>
      </c>
      <c r="E68" s="8">
        <v>6</v>
      </c>
      <c r="F68" s="10" t="s">
        <v>26</v>
      </c>
      <c r="G68" s="11" t="s">
        <v>73</v>
      </c>
      <c r="H68" s="12">
        <f t="shared" si="18"/>
        <v>4.5999999999999996</v>
      </c>
      <c r="I68" s="12"/>
      <c r="J68" s="12"/>
      <c r="K68" s="12">
        <f t="shared" si="20"/>
        <v>4.5999999999999996</v>
      </c>
      <c r="L68" s="12"/>
      <c r="M68" s="12"/>
      <c r="N68" s="12"/>
      <c r="O68" s="12"/>
      <c r="P68" s="14"/>
      <c r="R68" s="13">
        <f>(2.79*1.81)-(0.1*1.5)-(0.21*1.55)</f>
        <v>4.5743999999999998</v>
      </c>
    </row>
    <row r="69" spans="2:21" s="13" customFormat="1" ht="25.5" x14ac:dyDescent="0.2">
      <c r="B69" s="8"/>
      <c r="C69" s="8" t="str">
        <f t="shared" si="19"/>
        <v>II</v>
      </c>
      <c r="D69" s="9">
        <f t="shared" si="19"/>
        <v>43</v>
      </c>
      <c r="E69" s="8">
        <v>7</v>
      </c>
      <c r="F69" s="10" t="s">
        <v>18</v>
      </c>
      <c r="G69" s="11" t="s">
        <v>74</v>
      </c>
      <c r="H69" s="12">
        <f t="shared" si="18"/>
        <v>3.1</v>
      </c>
      <c r="I69" s="12"/>
      <c r="J69" s="12"/>
      <c r="K69" s="12">
        <f t="shared" si="20"/>
        <v>3.1</v>
      </c>
      <c r="L69" s="12"/>
      <c r="M69" s="12"/>
      <c r="N69" s="12"/>
      <c r="O69" s="12"/>
      <c r="P69" s="14"/>
      <c r="R69" s="13">
        <f>(((1.37+1.21)/2)*1.85)+((1.08*1.55)/2)-(0.3*0.3)</f>
        <v>3.1335000000000006</v>
      </c>
    </row>
    <row r="70" spans="2:21" s="13" customFormat="1" ht="20.100000000000001" customHeight="1" x14ac:dyDescent="0.2">
      <c r="B70" s="8"/>
      <c r="C70" s="8" t="str">
        <f t="shared" si="19"/>
        <v>II</v>
      </c>
      <c r="D70" s="9">
        <f t="shared" si="19"/>
        <v>43</v>
      </c>
      <c r="E70" s="8"/>
      <c r="F70" s="10" t="s">
        <v>28</v>
      </c>
      <c r="G70" s="16" t="s">
        <v>29</v>
      </c>
      <c r="H70" s="12">
        <f t="shared" si="18"/>
        <v>1.7</v>
      </c>
      <c r="I70" s="12"/>
      <c r="J70" s="12"/>
      <c r="K70" s="12"/>
      <c r="L70" s="12">
        <f>H70</f>
        <v>1.7</v>
      </c>
      <c r="M70" s="12"/>
      <c r="N70" s="12"/>
      <c r="O70" s="15" t="s">
        <v>30</v>
      </c>
      <c r="P70" s="14"/>
      <c r="R70" s="13">
        <f>5.81*0.3</f>
        <v>1.7429999999999999</v>
      </c>
    </row>
    <row r="71" spans="2:21" s="13" customFormat="1" ht="20.100000000000001" customHeight="1" x14ac:dyDescent="0.2">
      <c r="B71" s="8"/>
      <c r="C71" s="8" t="str">
        <f t="shared" si="19"/>
        <v>II</v>
      </c>
      <c r="D71" s="9">
        <f t="shared" si="19"/>
        <v>43</v>
      </c>
      <c r="E71" s="8"/>
      <c r="F71" s="10" t="s">
        <v>107</v>
      </c>
      <c r="G71" s="24" t="str">
        <f>"Усього по кв. №"&amp;D63&amp;":"</f>
        <v>Усього по кв. №43:</v>
      </c>
      <c r="H71" s="25">
        <f>SUMIF($D$3:$D70,$D71,H$3:H70)</f>
        <v>99.59999999999998</v>
      </c>
      <c r="I71" s="25">
        <f>SUMIF($D$3:$D70,$D71,I$3:I70)</f>
        <v>0</v>
      </c>
      <c r="J71" s="25">
        <f>SUMIF($D$3:$D70,$D71,J$3:J70)</f>
        <v>47</v>
      </c>
      <c r="K71" s="25">
        <f>SUMIF($D$3:$D70,$D71,K$3:K70)</f>
        <v>50.900000000000006</v>
      </c>
      <c r="L71" s="25">
        <f>SUMIF($D$3:$D70,$D71,L$3:L70)</f>
        <v>1.7</v>
      </c>
      <c r="M71" s="25">
        <f>SUM(M63:M70)</f>
        <v>0</v>
      </c>
      <c r="N71" s="25">
        <f>SUM(N63:N70)</f>
        <v>0</v>
      </c>
      <c r="O71" s="25">
        <f>SUM(O63:O70)</f>
        <v>0</v>
      </c>
      <c r="P71" s="14">
        <v>3</v>
      </c>
      <c r="U71" s="13">
        <f>D63</f>
        <v>43</v>
      </c>
    </row>
    <row r="72" spans="2:21" s="13" customFormat="1" ht="20.100000000000001" customHeight="1" x14ac:dyDescent="0.2">
      <c r="B72" s="8" t="e">
        <f>B63</f>
        <v>#REF!</v>
      </c>
      <c r="C72" s="8" t="str">
        <f>C63</f>
        <v>II</v>
      </c>
      <c r="D72" s="9">
        <f>D63+1</f>
        <v>44</v>
      </c>
      <c r="E72" s="8">
        <v>1</v>
      </c>
      <c r="F72" s="10"/>
      <c r="G72" s="11"/>
      <c r="H72" s="12"/>
      <c r="I72" s="12"/>
      <c r="J72" s="12"/>
      <c r="K72" s="12"/>
      <c r="L72" s="12"/>
      <c r="M72" s="12"/>
      <c r="N72" s="12"/>
      <c r="O72" s="12"/>
      <c r="P72" s="14"/>
    </row>
    <row r="73" spans="2:21" s="13" customFormat="1" ht="20.100000000000001" customHeight="1" x14ac:dyDescent="0.2">
      <c r="B73" s="8"/>
      <c r="C73" s="8" t="str">
        <f t="shared" ref="C73:C81" si="21">C72</f>
        <v>II</v>
      </c>
      <c r="D73" s="9">
        <f t="shared" ref="D73:D81" si="22">D72</f>
        <v>44</v>
      </c>
      <c r="E73" s="8">
        <v>2</v>
      </c>
      <c r="F73" s="10"/>
      <c r="G73" s="11"/>
      <c r="H73" s="12"/>
      <c r="I73" s="12"/>
      <c r="J73" s="12"/>
      <c r="K73" s="12"/>
      <c r="L73" s="12"/>
      <c r="M73" s="12"/>
      <c r="N73" s="12"/>
      <c r="O73" s="12"/>
      <c r="P73" s="14"/>
    </row>
    <row r="74" spans="2:21" s="13" customFormat="1" ht="20.100000000000001" customHeight="1" x14ac:dyDescent="0.2">
      <c r="B74" s="8"/>
      <c r="C74" s="8" t="str">
        <f t="shared" si="21"/>
        <v>II</v>
      </c>
      <c r="D74" s="9">
        <f t="shared" si="22"/>
        <v>44</v>
      </c>
      <c r="E74" s="8">
        <v>3</v>
      </c>
      <c r="F74" s="10"/>
      <c r="G74" s="11"/>
      <c r="H74" s="12"/>
      <c r="I74" s="12"/>
      <c r="J74" s="12"/>
      <c r="K74" s="12"/>
      <c r="L74" s="12"/>
      <c r="M74" s="12"/>
      <c r="N74" s="12"/>
      <c r="O74" s="12"/>
      <c r="P74" s="14"/>
    </row>
    <row r="75" spans="2:21" s="13" customFormat="1" ht="20.100000000000001" customHeight="1" x14ac:dyDescent="0.2">
      <c r="B75" s="8"/>
      <c r="C75" s="8" t="str">
        <f t="shared" si="21"/>
        <v>II</v>
      </c>
      <c r="D75" s="9">
        <f t="shared" si="22"/>
        <v>44</v>
      </c>
      <c r="E75" s="8">
        <v>4</v>
      </c>
      <c r="F75" s="10"/>
      <c r="G75" s="11"/>
      <c r="H75" s="12"/>
      <c r="I75" s="12"/>
      <c r="J75" s="12"/>
      <c r="K75" s="12"/>
      <c r="L75" s="12"/>
      <c r="M75" s="12"/>
      <c r="N75" s="12"/>
      <c r="O75" s="12"/>
      <c r="P75" s="14"/>
    </row>
    <row r="76" spans="2:21" s="13" customFormat="1" ht="20.100000000000001" customHeight="1" x14ac:dyDescent="0.2">
      <c r="B76" s="8"/>
      <c r="C76" s="8" t="str">
        <f t="shared" si="21"/>
        <v>II</v>
      </c>
      <c r="D76" s="9">
        <f t="shared" si="22"/>
        <v>44</v>
      </c>
      <c r="E76" s="8">
        <v>5</v>
      </c>
      <c r="F76" s="10"/>
      <c r="G76" s="11"/>
      <c r="H76" s="12"/>
      <c r="I76" s="12"/>
      <c r="J76" s="12"/>
      <c r="K76" s="12"/>
      <c r="L76" s="12"/>
      <c r="M76" s="12"/>
      <c r="N76" s="12"/>
      <c r="O76" s="12"/>
      <c r="P76" s="14"/>
    </row>
    <row r="77" spans="2:21" s="13" customFormat="1" ht="20.100000000000001" customHeight="1" x14ac:dyDescent="0.2">
      <c r="B77" s="8"/>
      <c r="C77" s="8" t="str">
        <f t="shared" si="21"/>
        <v>II</v>
      </c>
      <c r="D77" s="9">
        <f t="shared" si="22"/>
        <v>44</v>
      </c>
      <c r="E77" s="8">
        <v>6</v>
      </c>
      <c r="F77" s="10"/>
      <c r="G77" s="11"/>
      <c r="H77" s="12"/>
      <c r="I77" s="12"/>
      <c r="J77" s="12"/>
      <c r="K77" s="12"/>
      <c r="L77" s="12"/>
      <c r="M77" s="12"/>
      <c r="N77" s="12"/>
      <c r="O77" s="12"/>
      <c r="P77" s="14"/>
    </row>
    <row r="78" spans="2:21" s="13" customFormat="1" ht="20.100000000000001" customHeight="1" x14ac:dyDescent="0.2">
      <c r="B78" s="8"/>
      <c r="C78" s="8" t="str">
        <f t="shared" si="21"/>
        <v>II</v>
      </c>
      <c r="D78" s="9">
        <f t="shared" si="22"/>
        <v>44</v>
      </c>
      <c r="E78" s="8">
        <v>7</v>
      </c>
      <c r="F78" s="10"/>
      <c r="G78" s="11"/>
      <c r="H78" s="12"/>
      <c r="I78" s="12"/>
      <c r="J78" s="12"/>
      <c r="K78" s="12"/>
      <c r="L78" s="12"/>
      <c r="M78" s="12"/>
      <c r="N78" s="12"/>
      <c r="O78" s="12"/>
      <c r="P78" s="14"/>
    </row>
    <row r="79" spans="2:21" s="13" customFormat="1" ht="20.100000000000001" customHeight="1" x14ac:dyDescent="0.2">
      <c r="B79" s="8"/>
      <c r="C79" s="8" t="str">
        <f t="shared" si="21"/>
        <v>II</v>
      </c>
      <c r="D79" s="9">
        <f t="shared" si="22"/>
        <v>44</v>
      </c>
      <c r="E79" s="8">
        <v>8</v>
      </c>
      <c r="F79" s="10"/>
      <c r="G79" s="11"/>
      <c r="H79" s="12"/>
      <c r="I79" s="12"/>
      <c r="J79" s="12"/>
      <c r="K79" s="12"/>
      <c r="L79" s="12"/>
      <c r="M79" s="12"/>
      <c r="N79" s="12"/>
      <c r="O79" s="12"/>
      <c r="P79" s="14"/>
    </row>
    <row r="80" spans="2:21" s="13" customFormat="1" ht="20.100000000000001" customHeight="1" x14ac:dyDescent="0.2">
      <c r="B80" s="8"/>
      <c r="C80" s="8" t="str">
        <f t="shared" si="21"/>
        <v>II</v>
      </c>
      <c r="D80" s="9">
        <f t="shared" si="22"/>
        <v>44</v>
      </c>
      <c r="E80" s="8"/>
      <c r="F80" s="10" t="s">
        <v>28</v>
      </c>
      <c r="G80" s="11"/>
      <c r="H80" s="12"/>
      <c r="I80" s="12"/>
      <c r="J80" s="12"/>
      <c r="K80" s="12"/>
      <c r="L80" s="12"/>
      <c r="M80" s="12"/>
      <c r="N80" s="12"/>
      <c r="O80" s="15" t="s">
        <v>30</v>
      </c>
      <c r="P80" s="14"/>
    </row>
    <row r="81" spans="2:21" s="13" customFormat="1" ht="20.100000000000001" customHeight="1" x14ac:dyDescent="0.2">
      <c r="B81" s="8"/>
      <c r="C81" s="8" t="str">
        <f t="shared" si="21"/>
        <v>II</v>
      </c>
      <c r="D81" s="9">
        <f t="shared" si="22"/>
        <v>44</v>
      </c>
      <c r="E81" s="8"/>
      <c r="F81" s="10" t="s">
        <v>107</v>
      </c>
      <c r="G81" s="24" t="str">
        <f>"Усього по кв. №"&amp;D72&amp;":"</f>
        <v>Усього по кв. №44:</v>
      </c>
      <c r="H81" s="25">
        <f>SUMIF($D$3:$D80,$D81,H$3:H80)</f>
        <v>0</v>
      </c>
      <c r="I81" s="25">
        <f>SUMIF($D$3:$D80,$D81,I$3:I80)</f>
        <v>0</v>
      </c>
      <c r="J81" s="25">
        <f>SUMIF($D$3:$D80,$D81,J$3:J80)</f>
        <v>0</v>
      </c>
      <c r="K81" s="25">
        <f>SUMIF($D$3:$D80,$D81,K$3:K80)</f>
        <v>0</v>
      </c>
      <c r="L81" s="25">
        <f>SUMIF($D$3:$D80,$D81,L$3:L80)</f>
        <v>0</v>
      </c>
      <c r="M81" s="25">
        <f>SUM(M72:M80)</f>
        <v>0</v>
      </c>
      <c r="N81" s="25">
        <f>SUM(N72:N80)</f>
        <v>0</v>
      </c>
      <c r="O81" s="25">
        <f>SUM(O72:O80)</f>
        <v>0</v>
      </c>
      <c r="P81" s="14"/>
      <c r="U81" s="13">
        <f>D72</f>
        <v>44</v>
      </c>
    </row>
    <row r="82" spans="2:21" s="13" customFormat="1" ht="25.5" x14ac:dyDescent="0.2">
      <c r="B82" s="8" t="e">
        <f>B72</f>
        <v>#REF!</v>
      </c>
      <c r="C82" s="8" t="str">
        <f>C72</f>
        <v>II</v>
      </c>
      <c r="D82" s="9">
        <f>D72+29</f>
        <v>73</v>
      </c>
      <c r="E82" s="8">
        <v>1</v>
      </c>
      <c r="F82" s="10" t="s">
        <v>16</v>
      </c>
      <c r="G82" s="11" t="s">
        <v>75</v>
      </c>
      <c r="H82" s="12">
        <f t="shared" ref="H82:H87" si="23">ROUND(R82,1)</f>
        <v>11.4</v>
      </c>
      <c r="I82" s="12"/>
      <c r="J82" s="12"/>
      <c r="K82" s="12">
        <f>H82</f>
        <v>11.4</v>
      </c>
      <c r="L82" s="12"/>
      <c r="M82" s="12"/>
      <c r="N82" s="12"/>
      <c r="O82" s="12"/>
      <c r="P82" s="14"/>
      <c r="R82" s="13">
        <f>(4.68*3.37)-(0.24*0.15)-(0.26*2.02)-(1.89*2.01)</f>
        <v>11.4115</v>
      </c>
    </row>
    <row r="83" spans="2:21" s="23" customFormat="1" ht="20.100000000000001" customHeight="1" x14ac:dyDescent="0.2">
      <c r="B83" s="17"/>
      <c r="C83" s="17" t="str">
        <f t="shared" ref="C83:D88" si="24">C82</f>
        <v>II</v>
      </c>
      <c r="D83" s="18">
        <f t="shared" si="24"/>
        <v>73</v>
      </c>
      <c r="E83" s="17">
        <v>2</v>
      </c>
      <c r="F83" s="19" t="s">
        <v>20</v>
      </c>
      <c r="G83" s="26"/>
      <c r="H83" s="21">
        <f>ROUND(R83,1)</f>
        <v>0</v>
      </c>
      <c r="I83" s="21"/>
      <c r="J83" s="12"/>
      <c r="K83" s="12">
        <f>H83</f>
        <v>0</v>
      </c>
      <c r="L83" s="12"/>
      <c r="M83" s="21"/>
      <c r="N83" s="21"/>
      <c r="O83" s="21"/>
      <c r="P83" s="14"/>
    </row>
    <row r="84" spans="2:21" s="13" customFormat="1" ht="38.25" x14ac:dyDescent="0.2">
      <c r="B84" s="8"/>
      <c r="C84" s="8" t="str">
        <f t="shared" si="24"/>
        <v>II</v>
      </c>
      <c r="D84" s="9">
        <f t="shared" si="24"/>
        <v>73</v>
      </c>
      <c r="E84" s="8">
        <v>3</v>
      </c>
      <c r="F84" s="10" t="s">
        <v>22</v>
      </c>
      <c r="G84" s="11" t="s">
        <v>76</v>
      </c>
      <c r="H84" s="12">
        <f t="shared" si="23"/>
        <v>21.4</v>
      </c>
      <c r="I84" s="12"/>
      <c r="J84" s="12">
        <f>H84</f>
        <v>21.4</v>
      </c>
      <c r="K84" s="12"/>
      <c r="L84" s="12"/>
      <c r="M84" s="12"/>
      <c r="N84" s="12"/>
      <c r="O84" s="12"/>
      <c r="P84" s="14"/>
      <c r="R84" s="13">
        <f>((3.52+3.51)/2)*((6.19+6.2)/2)-(0.53*0.51)-(0.73*0.09)</f>
        <v>21.439425</v>
      </c>
    </row>
    <row r="85" spans="2:21" s="13" customFormat="1" ht="38.25" x14ac:dyDescent="0.2">
      <c r="B85" s="8"/>
      <c r="C85" s="8" t="str">
        <f t="shared" si="24"/>
        <v>II</v>
      </c>
      <c r="D85" s="9">
        <f t="shared" si="24"/>
        <v>73</v>
      </c>
      <c r="E85" s="8">
        <v>4</v>
      </c>
      <c r="F85" s="10" t="s">
        <v>18</v>
      </c>
      <c r="G85" s="11" t="s">
        <v>77</v>
      </c>
      <c r="H85" s="12">
        <f t="shared" si="23"/>
        <v>2</v>
      </c>
      <c r="I85" s="12"/>
      <c r="J85" s="12"/>
      <c r="K85" s="12">
        <f>H85</f>
        <v>2</v>
      </c>
      <c r="L85" s="12"/>
      <c r="M85" s="12"/>
      <c r="N85" s="12"/>
      <c r="O85" s="12"/>
      <c r="P85" s="14"/>
      <c r="R85" s="13">
        <f>(1.82*1.35)-(0.1*0.62)-(0.34*(0.53+0.32))-(0.34*0.32)</f>
        <v>1.9972000000000003</v>
      </c>
    </row>
    <row r="86" spans="2:21" s="13" customFormat="1" ht="20.100000000000001" customHeight="1" x14ac:dyDescent="0.2">
      <c r="B86" s="8"/>
      <c r="C86" s="8" t="str">
        <f t="shared" si="24"/>
        <v>II</v>
      </c>
      <c r="D86" s="9">
        <f t="shared" si="24"/>
        <v>73</v>
      </c>
      <c r="E86" s="8">
        <v>5</v>
      </c>
      <c r="F86" s="10" t="s">
        <v>42</v>
      </c>
      <c r="G86" s="11" t="s">
        <v>78</v>
      </c>
      <c r="H86" s="12">
        <f t="shared" si="23"/>
        <v>3.7</v>
      </c>
      <c r="I86" s="12"/>
      <c r="J86" s="12"/>
      <c r="K86" s="12">
        <f>H86</f>
        <v>3.7</v>
      </c>
      <c r="L86" s="12"/>
      <c r="M86" s="12"/>
      <c r="N86" s="12"/>
      <c r="O86" s="12"/>
      <c r="P86" s="14"/>
      <c r="R86" s="13">
        <f>(1.93*2.09)-(1.17*0.32)</f>
        <v>3.6592999999999996</v>
      </c>
    </row>
    <row r="87" spans="2:21" s="23" customFormat="1" ht="20.100000000000001" customHeight="1" x14ac:dyDescent="0.2">
      <c r="B87" s="17"/>
      <c r="C87" s="17" t="str">
        <f t="shared" si="24"/>
        <v>II</v>
      </c>
      <c r="D87" s="18">
        <f t="shared" si="24"/>
        <v>73</v>
      </c>
      <c r="E87" s="17"/>
      <c r="F87" s="19" t="s">
        <v>28</v>
      </c>
      <c r="G87" s="26"/>
      <c r="H87" s="21">
        <f t="shared" si="23"/>
        <v>0</v>
      </c>
      <c r="I87" s="21"/>
      <c r="J87" s="12"/>
      <c r="K87" s="12"/>
      <c r="L87" s="12">
        <f>H87</f>
        <v>0</v>
      </c>
      <c r="M87" s="21"/>
      <c r="N87" s="21"/>
      <c r="O87" s="22" t="s">
        <v>30</v>
      </c>
      <c r="P87" s="14"/>
    </row>
    <row r="88" spans="2:21" s="13" customFormat="1" ht="20.100000000000001" customHeight="1" x14ac:dyDescent="0.2">
      <c r="B88" s="8"/>
      <c r="C88" s="8" t="str">
        <f t="shared" si="24"/>
        <v>II</v>
      </c>
      <c r="D88" s="9">
        <f t="shared" si="24"/>
        <v>73</v>
      </c>
      <c r="E88" s="8"/>
      <c r="F88" s="10" t="s">
        <v>107</v>
      </c>
      <c r="G88" s="24" t="str">
        <f>"Усього по кв. №"&amp;D82&amp;":"</f>
        <v>Усього по кв. №73:</v>
      </c>
      <c r="H88" s="25">
        <f>SUMIF($D$3:$D87,$D88,H$3:H87)</f>
        <v>38.5</v>
      </c>
      <c r="I88" s="25">
        <f>SUMIF($D$3:$D87,$D88,I$3:I87)</f>
        <v>0</v>
      </c>
      <c r="J88" s="25">
        <f>SUMIF($D$3:$D87,$D88,J$3:J87)</f>
        <v>21.4</v>
      </c>
      <c r="K88" s="25">
        <f>SUMIF($D$3:$D87,$D88,K$3:K87)</f>
        <v>17.100000000000001</v>
      </c>
      <c r="L88" s="25">
        <f>SUMIF($D$3:$D87,$D88,L$3:L87)</f>
        <v>0</v>
      </c>
      <c r="M88" s="25">
        <f>SUM(M82:M87)</f>
        <v>0</v>
      </c>
      <c r="N88" s="25">
        <f>SUM(N82:N87)</f>
        <v>0</v>
      </c>
      <c r="O88" s="25">
        <f>SUM(O82:O87)</f>
        <v>0</v>
      </c>
      <c r="P88" s="14">
        <v>1</v>
      </c>
      <c r="U88" s="13">
        <f>D82</f>
        <v>73</v>
      </c>
    </row>
    <row r="89" spans="2:21" s="13" customFormat="1" ht="76.5" x14ac:dyDescent="0.2">
      <c r="B89" s="8" t="e">
        <f>B82</f>
        <v>#REF!</v>
      </c>
      <c r="C89" s="8" t="str">
        <f>C82</f>
        <v>II</v>
      </c>
      <c r="D89" s="9">
        <f>D82+1</f>
        <v>74</v>
      </c>
      <c r="E89" s="8">
        <v>1</v>
      </c>
      <c r="F89" s="10" t="s">
        <v>16</v>
      </c>
      <c r="G89" s="11" t="s">
        <v>79</v>
      </c>
      <c r="H89" s="12">
        <f t="shared" ref="H89:H94" si="25">ROUND(R89,1)</f>
        <v>17</v>
      </c>
      <c r="I89" s="12"/>
      <c r="J89" s="12"/>
      <c r="K89" s="12">
        <f>H89</f>
        <v>17</v>
      </c>
      <c r="L89" s="12"/>
      <c r="M89" s="12"/>
      <c r="N89" s="12"/>
      <c r="O89" s="12"/>
      <c r="P89" s="14"/>
      <c r="R89" s="13">
        <f>(5.23*4.79)+(0.11*1.28)-(0.09*0.69)-(1.79*(1.78+0.09))-(1.19*(1.92+1.78+0.09))-(0.08*0.26)-(((0.11+0.11)/2)*2.69)</f>
        <v>16.956300000000002</v>
      </c>
    </row>
    <row r="90" spans="2:21" s="13" customFormat="1" ht="20.100000000000001" customHeight="1" x14ac:dyDescent="0.2">
      <c r="B90" s="8"/>
      <c r="C90" s="8" t="str">
        <f t="shared" ref="C90:D95" si="26">C89</f>
        <v>II</v>
      </c>
      <c r="D90" s="9">
        <f t="shared" si="26"/>
        <v>74</v>
      </c>
      <c r="E90" s="8">
        <v>2</v>
      </c>
      <c r="F90" s="10" t="s">
        <v>42</v>
      </c>
      <c r="G90" s="11" t="s">
        <v>80</v>
      </c>
      <c r="H90" s="12">
        <f t="shared" si="25"/>
        <v>5</v>
      </c>
      <c r="I90" s="12"/>
      <c r="J90" s="12"/>
      <c r="K90" s="12">
        <f>H90</f>
        <v>5</v>
      </c>
      <c r="L90" s="12"/>
      <c r="M90" s="12"/>
      <c r="N90" s="12"/>
      <c r="O90" s="12"/>
      <c r="P90" s="14"/>
      <c r="R90" s="13">
        <f>(1.82*2.94)-(0.34*1.16)</f>
        <v>4.9564000000000004</v>
      </c>
    </row>
    <row r="91" spans="2:21" s="13" customFormat="1" ht="38.25" x14ac:dyDescent="0.2">
      <c r="B91" s="8"/>
      <c r="C91" s="8" t="str">
        <f t="shared" si="26"/>
        <v>II</v>
      </c>
      <c r="D91" s="9">
        <f t="shared" si="26"/>
        <v>74</v>
      </c>
      <c r="E91" s="8">
        <v>3</v>
      </c>
      <c r="F91" s="10" t="s">
        <v>18</v>
      </c>
      <c r="G91" s="11" t="s">
        <v>81</v>
      </c>
      <c r="H91" s="12">
        <f t="shared" si="25"/>
        <v>2.1</v>
      </c>
      <c r="I91" s="12"/>
      <c r="J91" s="12"/>
      <c r="K91" s="12">
        <f>H91</f>
        <v>2.1</v>
      </c>
      <c r="L91" s="12"/>
      <c r="M91" s="12"/>
      <c r="N91" s="12"/>
      <c r="O91" s="12"/>
      <c r="P91" s="14"/>
      <c r="R91" s="13">
        <f>(1.46*1.74)-(0.5*0.29)-(0.33*(0.35+0.5))-(0.74*0.03)</f>
        <v>2.0926999999999998</v>
      </c>
    </row>
    <row r="92" spans="2:21" s="13" customFormat="1" ht="51" x14ac:dyDescent="0.2">
      <c r="B92" s="8"/>
      <c r="C92" s="8" t="str">
        <f t="shared" si="26"/>
        <v>II</v>
      </c>
      <c r="D92" s="9">
        <f t="shared" si="26"/>
        <v>74</v>
      </c>
      <c r="E92" s="8">
        <v>4</v>
      </c>
      <c r="F92" s="10" t="s">
        <v>20</v>
      </c>
      <c r="G92" s="11" t="s">
        <v>82</v>
      </c>
      <c r="H92" s="12">
        <f t="shared" si="25"/>
        <v>18.5</v>
      </c>
      <c r="I92" s="12"/>
      <c r="J92" s="12"/>
      <c r="K92" s="12">
        <f>H92</f>
        <v>18.5</v>
      </c>
      <c r="L92" s="12"/>
      <c r="M92" s="12"/>
      <c r="N92" s="12"/>
      <c r="O92" s="12"/>
      <c r="P92" s="14"/>
      <c r="R92" s="13">
        <f>((3.09+3.09)/2)*((6.22+6.19)/2)-(0.09*0.77)-(0.27*0.33)-(0.9*0.34)-(0.44*0.53)</f>
        <v>18.475850000000001</v>
      </c>
    </row>
    <row r="93" spans="2:21" s="13" customFormat="1" ht="38.25" x14ac:dyDescent="0.2">
      <c r="B93" s="8"/>
      <c r="C93" s="8" t="str">
        <f t="shared" si="26"/>
        <v>II</v>
      </c>
      <c r="D93" s="9">
        <f t="shared" si="26"/>
        <v>74</v>
      </c>
      <c r="E93" s="8">
        <v>5</v>
      </c>
      <c r="F93" s="10" t="s">
        <v>22</v>
      </c>
      <c r="G93" s="11" t="s">
        <v>83</v>
      </c>
      <c r="H93" s="12">
        <f t="shared" si="25"/>
        <v>21.6</v>
      </c>
      <c r="I93" s="12"/>
      <c r="J93" s="12">
        <f>H93</f>
        <v>21.6</v>
      </c>
      <c r="K93" s="12"/>
      <c r="L93" s="12"/>
      <c r="M93" s="12"/>
      <c r="N93" s="12"/>
      <c r="O93" s="12"/>
      <c r="P93" s="14"/>
      <c r="R93" s="13">
        <f>(((3.32+3.29)/2)*6.26)+((1.14*1.57)/2)+((1.93*0.09)/2)-(0.52*0.1)-(0.12*0.14)</f>
        <v>21.602249999999994</v>
      </c>
    </row>
    <row r="94" spans="2:21" s="13" customFormat="1" ht="20.100000000000001" customHeight="1" x14ac:dyDescent="0.2">
      <c r="B94" s="8"/>
      <c r="C94" s="8" t="str">
        <f t="shared" si="26"/>
        <v>II</v>
      </c>
      <c r="D94" s="9">
        <f t="shared" si="26"/>
        <v>74</v>
      </c>
      <c r="E94" s="8"/>
      <c r="F94" s="10" t="s">
        <v>28</v>
      </c>
      <c r="G94" s="16" t="s">
        <v>29</v>
      </c>
      <c r="H94" s="12">
        <f t="shared" si="25"/>
        <v>0.6</v>
      </c>
      <c r="I94" s="12"/>
      <c r="J94" s="12"/>
      <c r="K94" s="12"/>
      <c r="L94" s="12">
        <f>H94</f>
        <v>0.6</v>
      </c>
      <c r="M94" s="12"/>
      <c r="N94" s="12"/>
      <c r="O94" s="15" t="s">
        <v>30</v>
      </c>
      <c r="P94" s="27"/>
      <c r="R94" s="13">
        <f>2.11*0.3</f>
        <v>0.6329999999999999</v>
      </c>
    </row>
    <row r="95" spans="2:21" s="13" customFormat="1" ht="20.100000000000001" customHeight="1" x14ac:dyDescent="0.2">
      <c r="B95" s="8"/>
      <c r="C95" s="8" t="str">
        <f t="shared" si="26"/>
        <v>II</v>
      </c>
      <c r="D95" s="9">
        <f t="shared" si="26"/>
        <v>74</v>
      </c>
      <c r="E95" s="8"/>
      <c r="F95" s="10" t="s">
        <v>107</v>
      </c>
      <c r="G95" s="24" t="str">
        <f>"Усього по кв. №"&amp;D89&amp;":"</f>
        <v>Усього по кв. №74:</v>
      </c>
      <c r="H95" s="25">
        <f>SUMIF($D$3:$D94,$D95,H$3:H94)</f>
        <v>64.8</v>
      </c>
      <c r="I95" s="25">
        <f>SUMIF($D$3:$D94,$D95,I$3:I94)</f>
        <v>0</v>
      </c>
      <c r="J95" s="25">
        <f>SUMIF($D$3:$D94,$D95,J$3:J94)</f>
        <v>21.6</v>
      </c>
      <c r="K95" s="25">
        <f>SUMIF($D$3:$D94,$D95,K$3:K94)</f>
        <v>42.6</v>
      </c>
      <c r="L95" s="25">
        <f>SUMIF($D$3:$D94,$D95,L$3:L94)</f>
        <v>0.6</v>
      </c>
      <c r="M95" s="25">
        <f>SUM(M89:M94)</f>
        <v>0</v>
      </c>
      <c r="N95" s="25">
        <f>SUM(N89:N94)</f>
        <v>0</v>
      </c>
      <c r="O95" s="25">
        <f>SUM(O89:O94)</f>
        <v>0</v>
      </c>
      <c r="P95" s="14">
        <v>1</v>
      </c>
      <c r="U95" s="13">
        <f>D89</f>
        <v>74</v>
      </c>
    </row>
    <row r="96" spans="2:21" s="13" customFormat="1" ht="38.25" x14ac:dyDescent="0.2">
      <c r="B96" s="8" t="e">
        <f>B89</f>
        <v>#REF!</v>
      </c>
      <c r="C96" s="8" t="str">
        <f>C89</f>
        <v>II</v>
      </c>
      <c r="D96" s="9">
        <f>D89+1</f>
        <v>75</v>
      </c>
      <c r="E96" s="8">
        <v>1</v>
      </c>
      <c r="F96" s="10" t="s">
        <v>16</v>
      </c>
      <c r="G96" s="11" t="s">
        <v>84</v>
      </c>
      <c r="H96" s="12">
        <f t="shared" ref="H96:H101" si="27">ROUND(R96,1)</f>
        <v>8.8000000000000007</v>
      </c>
      <c r="I96" s="12"/>
      <c r="J96" s="12"/>
      <c r="K96" s="12">
        <f>H96</f>
        <v>8.8000000000000007</v>
      </c>
      <c r="L96" s="12"/>
      <c r="M96" s="12"/>
      <c r="N96" s="12"/>
      <c r="O96" s="12"/>
      <c r="P96" s="14"/>
      <c r="R96" s="13">
        <f>((2.49+2.51)/2)*((3.92+3.92)/2)-(0.31*0.6)-(0.22*2.13)-(0.1*3.16)</f>
        <v>8.8293999999999997</v>
      </c>
    </row>
    <row r="97" spans="2:21" s="13" customFormat="1" ht="20.100000000000001" customHeight="1" x14ac:dyDescent="0.2">
      <c r="B97" s="8"/>
      <c r="C97" s="8" t="str">
        <f t="shared" ref="C97:D102" si="28">C96</f>
        <v>II</v>
      </c>
      <c r="D97" s="9">
        <f t="shared" si="28"/>
        <v>75</v>
      </c>
      <c r="E97" s="8">
        <v>2</v>
      </c>
      <c r="F97" s="10" t="s">
        <v>18</v>
      </c>
      <c r="G97" s="11" t="s">
        <v>85</v>
      </c>
      <c r="H97" s="12">
        <f t="shared" si="27"/>
        <v>1.7</v>
      </c>
      <c r="I97" s="12"/>
      <c r="J97" s="12"/>
      <c r="K97" s="12">
        <f>H97</f>
        <v>1.7</v>
      </c>
      <c r="L97" s="12"/>
      <c r="M97" s="12"/>
      <c r="N97" s="12"/>
      <c r="O97" s="12"/>
      <c r="P97" s="14"/>
      <c r="R97" s="13">
        <f>(1.19*1.5)-(0.36*0.33)</f>
        <v>1.6661999999999999</v>
      </c>
    </row>
    <row r="98" spans="2:21" s="13" customFormat="1" ht="20.100000000000001" customHeight="1" x14ac:dyDescent="0.2">
      <c r="B98" s="8"/>
      <c r="C98" s="8" t="str">
        <f t="shared" si="28"/>
        <v>II</v>
      </c>
      <c r="D98" s="9">
        <f t="shared" si="28"/>
        <v>75</v>
      </c>
      <c r="E98" s="8">
        <v>3</v>
      </c>
      <c r="F98" s="10" t="s">
        <v>42</v>
      </c>
      <c r="G98" s="11" t="s">
        <v>86</v>
      </c>
      <c r="H98" s="12">
        <f>ROUND(R98,1)</f>
        <v>3.8</v>
      </c>
      <c r="I98" s="12"/>
      <c r="J98" s="12"/>
      <c r="K98" s="12">
        <f>H98</f>
        <v>3.8</v>
      </c>
      <c r="L98" s="12"/>
      <c r="M98" s="12"/>
      <c r="N98" s="12"/>
      <c r="O98" s="12"/>
      <c r="P98" s="14"/>
      <c r="R98" s="13">
        <f>(2.24*1.71)-(1.9*0.04)</f>
        <v>3.7544000000000004</v>
      </c>
    </row>
    <row r="99" spans="2:21" s="13" customFormat="1" ht="38.25" x14ac:dyDescent="0.2">
      <c r="B99" s="8"/>
      <c r="C99" s="8" t="str">
        <f t="shared" si="28"/>
        <v>II</v>
      </c>
      <c r="D99" s="9">
        <f t="shared" si="28"/>
        <v>75</v>
      </c>
      <c r="E99" s="8">
        <v>4</v>
      </c>
      <c r="F99" s="10" t="s">
        <v>20</v>
      </c>
      <c r="G99" s="11" t="s">
        <v>87</v>
      </c>
      <c r="H99" s="12">
        <f t="shared" si="27"/>
        <v>17.399999999999999</v>
      </c>
      <c r="I99" s="12"/>
      <c r="J99" s="12"/>
      <c r="K99" s="12">
        <f>H99</f>
        <v>17.399999999999999</v>
      </c>
      <c r="L99" s="12"/>
      <c r="M99" s="12"/>
      <c r="N99" s="12"/>
      <c r="O99" s="12"/>
      <c r="P99" s="14"/>
      <c r="R99" s="13">
        <f>(((2.8+2.96)/2)*6.33)-(0.22*1.89)-(0.29*0.27)-(0.9*0.34)-(0.1*0.52)</f>
        <v>17.378299999999999</v>
      </c>
    </row>
    <row r="100" spans="2:21" s="13" customFormat="1" ht="38.25" x14ac:dyDescent="0.2">
      <c r="B100" s="8"/>
      <c r="C100" s="8" t="str">
        <f t="shared" si="28"/>
        <v>II</v>
      </c>
      <c r="D100" s="9">
        <f t="shared" si="28"/>
        <v>75</v>
      </c>
      <c r="E100" s="8">
        <v>5</v>
      </c>
      <c r="F100" s="10" t="s">
        <v>22</v>
      </c>
      <c r="G100" s="11" t="s">
        <v>88</v>
      </c>
      <c r="H100" s="12">
        <f t="shared" si="27"/>
        <v>20.399999999999999</v>
      </c>
      <c r="I100" s="12"/>
      <c r="J100" s="12">
        <f>H100</f>
        <v>20.399999999999999</v>
      </c>
      <c r="K100" s="12"/>
      <c r="L100" s="12"/>
      <c r="M100" s="12"/>
      <c r="N100" s="12"/>
      <c r="O100" s="12"/>
      <c r="P100" s="14"/>
      <c r="R100" s="13">
        <f>((3.33+3.15)/2)*((6.31+6.32)/2)-(0.51*0.1)-(0.1*0.19)</f>
        <v>20.390600000000003</v>
      </c>
    </row>
    <row r="101" spans="2:21" s="13" customFormat="1" ht="38.25" x14ac:dyDescent="0.2">
      <c r="B101" s="8"/>
      <c r="C101" s="8" t="str">
        <f t="shared" si="28"/>
        <v>II</v>
      </c>
      <c r="D101" s="9">
        <f t="shared" si="28"/>
        <v>75</v>
      </c>
      <c r="E101" s="8"/>
      <c r="F101" s="10" t="s">
        <v>28</v>
      </c>
      <c r="G101" s="11" t="s">
        <v>89</v>
      </c>
      <c r="H101" s="12">
        <f t="shared" si="27"/>
        <v>3.6</v>
      </c>
      <c r="I101" s="12"/>
      <c r="J101" s="12"/>
      <c r="K101" s="12"/>
      <c r="L101" s="12">
        <f>H101</f>
        <v>3.6</v>
      </c>
      <c r="M101" s="12"/>
      <c r="N101" s="12"/>
      <c r="O101" s="15" t="s">
        <v>30</v>
      </c>
      <c r="P101" s="14"/>
      <c r="R101" s="13">
        <f>(((1.73+1.74)/2)*((6+6)/2)+(2/3*6*0.37))*0.3</f>
        <v>3.5670000000000002</v>
      </c>
    </row>
    <row r="102" spans="2:21" s="13" customFormat="1" ht="20.100000000000001" customHeight="1" x14ac:dyDescent="0.2">
      <c r="B102" s="8"/>
      <c r="C102" s="8" t="str">
        <f t="shared" si="28"/>
        <v>II</v>
      </c>
      <c r="D102" s="9">
        <f t="shared" si="28"/>
        <v>75</v>
      </c>
      <c r="E102" s="8"/>
      <c r="F102" s="10" t="s">
        <v>107</v>
      </c>
      <c r="G102" s="24" t="str">
        <f>"Усього по кв. №"&amp;D96&amp;":"</f>
        <v>Усього по кв. №75:</v>
      </c>
      <c r="H102" s="25">
        <f>SUMIF($D$3:$D101,$D102,H$3:H101)</f>
        <v>55.699999999999996</v>
      </c>
      <c r="I102" s="25">
        <f>SUMIF($D$3:$D101,$D102,I$3:I101)</f>
        <v>0</v>
      </c>
      <c r="J102" s="25">
        <f>SUMIF($D$3:$D101,$D102,J$3:J101)</f>
        <v>20.399999999999999</v>
      </c>
      <c r="K102" s="25">
        <f>SUMIF($D$3:$D101,$D102,K$3:K101)</f>
        <v>31.7</v>
      </c>
      <c r="L102" s="25">
        <f>SUMIF($D$3:$D101,$D102,L$3:L101)</f>
        <v>3.6</v>
      </c>
      <c r="M102" s="25">
        <f>SUM(M96:M101)</f>
        <v>0</v>
      </c>
      <c r="N102" s="25">
        <f>SUM(N96:N101)</f>
        <v>0</v>
      </c>
      <c r="O102" s="25">
        <f>SUM(O96:O101)</f>
        <v>0</v>
      </c>
      <c r="P102" s="14">
        <v>1</v>
      </c>
      <c r="U102" s="13">
        <f>D96</f>
        <v>75</v>
      </c>
    </row>
    <row r="103" spans="2:21" s="13" customFormat="1" ht="51" x14ac:dyDescent="0.2">
      <c r="B103" s="8" t="e">
        <f>B96</f>
        <v>#REF!</v>
      </c>
      <c r="C103" s="8" t="str">
        <f>C96</f>
        <v>II</v>
      </c>
      <c r="D103" s="9">
        <f>D96+1</f>
        <v>76</v>
      </c>
      <c r="E103" s="8">
        <v>1</v>
      </c>
      <c r="F103" s="10" t="s">
        <v>16</v>
      </c>
      <c r="G103" s="11" t="s">
        <v>90</v>
      </c>
      <c r="H103" s="12">
        <f t="shared" ref="H103:H111" si="29">ROUND(R103,1)</f>
        <v>11.5</v>
      </c>
      <c r="I103" s="12"/>
      <c r="J103" s="12"/>
      <c r="K103" s="12">
        <f>H103</f>
        <v>11.5</v>
      </c>
      <c r="L103" s="12"/>
      <c r="M103" s="12"/>
      <c r="N103" s="12"/>
      <c r="O103" s="12"/>
      <c r="P103" s="14"/>
      <c r="R103" s="13">
        <f>(5.14*3.54)+(0.11*1.3)-(1.63*1.26)-(2.29*(0.45+1.63))-(0.1*0.16)</f>
        <v>11.505599999999999</v>
      </c>
    </row>
    <row r="104" spans="2:21" s="13" customFormat="1" ht="20.100000000000001" customHeight="1" x14ac:dyDescent="0.2">
      <c r="B104" s="8"/>
      <c r="C104" s="8" t="str">
        <f t="shared" ref="C104:C112" si="30">C103</f>
        <v>II</v>
      </c>
      <c r="D104" s="9">
        <f t="shared" ref="D104:D112" si="31">D103</f>
        <v>76</v>
      </c>
      <c r="E104" s="8">
        <v>2</v>
      </c>
      <c r="F104" s="10" t="s">
        <v>18</v>
      </c>
      <c r="G104" s="11" t="s">
        <v>91</v>
      </c>
      <c r="H104" s="12">
        <f t="shared" si="29"/>
        <v>1.5</v>
      </c>
      <c r="I104" s="12"/>
      <c r="J104" s="12"/>
      <c r="K104" s="12">
        <f>H104</f>
        <v>1.5</v>
      </c>
      <c r="L104" s="12"/>
      <c r="M104" s="12"/>
      <c r="N104" s="12"/>
      <c r="O104" s="12"/>
      <c r="P104" s="14"/>
      <c r="R104" s="13">
        <f>(1.15*1.4)-(0.39*0.36)</f>
        <v>1.4695999999999998</v>
      </c>
    </row>
    <row r="105" spans="2:21" s="13" customFormat="1" ht="20.100000000000001" customHeight="1" x14ac:dyDescent="0.2">
      <c r="B105" s="8"/>
      <c r="C105" s="8" t="str">
        <f t="shared" si="30"/>
        <v>II</v>
      </c>
      <c r="D105" s="9">
        <f t="shared" si="31"/>
        <v>76</v>
      </c>
      <c r="E105" s="8">
        <v>3</v>
      </c>
      <c r="F105" s="10" t="s">
        <v>26</v>
      </c>
      <c r="G105" s="11" t="s">
        <v>92</v>
      </c>
      <c r="H105" s="12">
        <f t="shared" si="29"/>
        <v>3.9</v>
      </c>
      <c r="I105" s="12"/>
      <c r="J105" s="12"/>
      <c r="K105" s="12">
        <f>H105</f>
        <v>3.9</v>
      </c>
      <c r="L105" s="12"/>
      <c r="M105" s="12"/>
      <c r="N105" s="12"/>
      <c r="O105" s="12"/>
      <c r="P105" s="14"/>
      <c r="R105" s="13">
        <f>(2.1*1.86)</f>
        <v>3.9060000000000006</v>
      </c>
    </row>
    <row r="106" spans="2:21" s="13" customFormat="1" ht="38.25" x14ac:dyDescent="0.2">
      <c r="B106" s="8"/>
      <c r="C106" s="8" t="str">
        <f t="shared" si="30"/>
        <v>II</v>
      </c>
      <c r="D106" s="9">
        <f t="shared" si="31"/>
        <v>76</v>
      </c>
      <c r="E106" s="8">
        <v>4</v>
      </c>
      <c r="F106" s="10" t="s">
        <v>16</v>
      </c>
      <c r="G106" s="11" t="s">
        <v>93</v>
      </c>
      <c r="H106" s="12">
        <f>ROUND(R106,1)</f>
        <v>5.3</v>
      </c>
      <c r="I106" s="12"/>
      <c r="J106" s="12"/>
      <c r="K106" s="12">
        <f>H106</f>
        <v>5.3</v>
      </c>
      <c r="L106" s="12"/>
      <c r="M106" s="12"/>
      <c r="N106" s="12"/>
      <c r="O106" s="12"/>
      <c r="P106" s="14"/>
      <c r="R106" s="13">
        <f>(((1.57+1.57)/2)*3.4)+(0.11*1.3)-(0.28*0.5)-(0.1*0.12)</f>
        <v>5.3290000000000006</v>
      </c>
    </row>
    <row r="107" spans="2:21" s="13" customFormat="1" ht="51" x14ac:dyDescent="0.2">
      <c r="B107" s="8"/>
      <c r="C107" s="8" t="str">
        <f t="shared" si="30"/>
        <v>II</v>
      </c>
      <c r="D107" s="9">
        <f t="shared" si="31"/>
        <v>76</v>
      </c>
      <c r="E107" s="8">
        <v>5</v>
      </c>
      <c r="F107" s="10" t="s">
        <v>94</v>
      </c>
      <c r="G107" s="11" t="s">
        <v>95</v>
      </c>
      <c r="H107" s="12">
        <f t="shared" si="29"/>
        <v>16.3</v>
      </c>
      <c r="I107" s="12"/>
      <c r="J107" s="12"/>
      <c r="K107" s="12">
        <f>H107</f>
        <v>16.3</v>
      </c>
      <c r="L107" s="12"/>
      <c r="M107" s="12"/>
      <c r="N107" s="12"/>
      <c r="O107" s="12"/>
      <c r="P107" s="14"/>
      <c r="R107" s="13">
        <f>(3.41*4.54)+((1.07*1.67)/2)+((1.97*0.1)/2)-(0.89*0.06)-(0.33*0.29)-(0.11*0.5)</f>
        <v>16.269250000000003</v>
      </c>
    </row>
    <row r="108" spans="2:21" s="13" customFormat="1" ht="38.25" x14ac:dyDescent="0.2">
      <c r="B108" s="8"/>
      <c r="C108" s="8" t="str">
        <f t="shared" si="30"/>
        <v>II</v>
      </c>
      <c r="D108" s="9">
        <f t="shared" si="31"/>
        <v>76</v>
      </c>
      <c r="E108" s="8">
        <v>6</v>
      </c>
      <c r="F108" s="10" t="s">
        <v>22</v>
      </c>
      <c r="G108" s="11" t="s">
        <v>96</v>
      </c>
      <c r="H108" s="12">
        <f t="shared" si="29"/>
        <v>19.100000000000001</v>
      </c>
      <c r="I108" s="12"/>
      <c r="J108" s="12">
        <f>H108</f>
        <v>19.100000000000001</v>
      </c>
      <c r="K108" s="12"/>
      <c r="L108" s="12"/>
      <c r="M108" s="12"/>
      <c r="N108" s="12"/>
      <c r="O108" s="12"/>
      <c r="P108" s="14"/>
      <c r="R108" s="13">
        <f>((3.12+3.12)/2)*((6.23+6.23)/2)-(0.53*0.51)-(0.75*0.1)</f>
        <v>19.092300000000005</v>
      </c>
    </row>
    <row r="109" spans="2:21" s="13" customFormat="1" ht="25.5" x14ac:dyDescent="0.2">
      <c r="B109" s="8"/>
      <c r="C109" s="8" t="str">
        <f t="shared" si="30"/>
        <v>II</v>
      </c>
      <c r="D109" s="9">
        <f t="shared" si="31"/>
        <v>76</v>
      </c>
      <c r="E109" s="8">
        <v>7</v>
      </c>
      <c r="F109" s="10" t="s">
        <v>22</v>
      </c>
      <c r="G109" s="11" t="s">
        <v>97</v>
      </c>
      <c r="H109" s="12">
        <f t="shared" si="29"/>
        <v>17.7</v>
      </c>
      <c r="I109" s="12"/>
      <c r="J109" s="12">
        <f>H109</f>
        <v>17.7</v>
      </c>
      <c r="K109" s="12"/>
      <c r="L109" s="12"/>
      <c r="M109" s="12"/>
      <c r="N109" s="12"/>
      <c r="O109" s="12"/>
      <c r="P109" s="14"/>
      <c r="R109" s="13">
        <f>((3.5+3.48)/2)*((5.1+5.09)/2)-(0.1*0.74)</f>
        <v>17.707549999999998</v>
      </c>
    </row>
    <row r="110" spans="2:21" s="13" customFormat="1" ht="20.100000000000001" customHeight="1" x14ac:dyDescent="0.2">
      <c r="B110" s="8"/>
      <c r="C110" s="8" t="str">
        <f t="shared" si="30"/>
        <v>II</v>
      </c>
      <c r="D110" s="9">
        <f t="shared" si="31"/>
        <v>76</v>
      </c>
      <c r="E110" s="8"/>
      <c r="F110" s="10" t="s">
        <v>28</v>
      </c>
      <c r="G110" s="16" t="s">
        <v>29</v>
      </c>
      <c r="H110" s="12">
        <f t="shared" si="29"/>
        <v>0.6</v>
      </c>
      <c r="I110" s="12"/>
      <c r="J110" s="12"/>
      <c r="K110" s="12"/>
      <c r="L110" s="12">
        <f>H110</f>
        <v>0.6</v>
      </c>
      <c r="M110" s="12"/>
      <c r="N110" s="12"/>
      <c r="O110" s="15" t="s">
        <v>30</v>
      </c>
      <c r="P110" s="14"/>
      <c r="R110" s="13">
        <f>2.1*0.3</f>
        <v>0.63</v>
      </c>
    </row>
    <row r="111" spans="2:21" s="23" customFormat="1" ht="20.100000000000001" customHeight="1" x14ac:dyDescent="0.2">
      <c r="B111" s="17"/>
      <c r="C111" s="17" t="str">
        <f t="shared" si="30"/>
        <v>II</v>
      </c>
      <c r="D111" s="18">
        <f t="shared" si="31"/>
        <v>76</v>
      </c>
      <c r="E111" s="17"/>
      <c r="F111" s="19" t="s">
        <v>28</v>
      </c>
      <c r="G111" s="26"/>
      <c r="H111" s="21">
        <f t="shared" si="29"/>
        <v>0</v>
      </c>
      <c r="I111" s="21"/>
      <c r="J111" s="12"/>
      <c r="K111" s="12"/>
      <c r="L111" s="12">
        <f>H111</f>
        <v>0</v>
      </c>
      <c r="M111" s="21"/>
      <c r="N111" s="21"/>
      <c r="O111" s="22" t="s">
        <v>30</v>
      </c>
      <c r="P111" s="14"/>
    </row>
    <row r="112" spans="2:21" s="13" customFormat="1" ht="20.100000000000001" customHeight="1" x14ac:dyDescent="0.2">
      <c r="B112" s="8"/>
      <c r="C112" s="8" t="str">
        <f t="shared" si="30"/>
        <v>II</v>
      </c>
      <c r="D112" s="9">
        <f t="shared" si="31"/>
        <v>76</v>
      </c>
      <c r="E112" s="8"/>
      <c r="F112" s="10" t="s">
        <v>107</v>
      </c>
      <c r="G112" s="24" t="str">
        <f>"Усього по кв. №"&amp;D103&amp;":"</f>
        <v>Усього по кв. №76:</v>
      </c>
      <c r="H112" s="25">
        <f>SUMIF($D$3:$D111,$D112,H$3:H111)</f>
        <v>75.899999999999991</v>
      </c>
      <c r="I112" s="25">
        <f>SUMIF($D$3:$D111,$D112,I$3:I111)</f>
        <v>0</v>
      </c>
      <c r="J112" s="25">
        <f>SUMIF($D$3:$D111,$D112,J$3:J111)</f>
        <v>36.799999999999997</v>
      </c>
      <c r="K112" s="25">
        <f>SUMIF($D$3:$D111,$D112,K$3:K111)</f>
        <v>38.5</v>
      </c>
      <c r="L112" s="25">
        <f>SUMIF($D$3:$D111,$D112,L$3:L111)</f>
        <v>0.6</v>
      </c>
      <c r="M112" s="25">
        <f>SUM(M103:M111)</f>
        <v>0</v>
      </c>
      <c r="N112" s="25">
        <f>SUM(N103:N111)</f>
        <v>0</v>
      </c>
      <c r="O112" s="25">
        <f>SUM(O103:O111)</f>
        <v>0</v>
      </c>
      <c r="P112" s="14">
        <v>2</v>
      </c>
      <c r="U112" s="13">
        <f>D103</f>
        <v>76</v>
      </c>
    </row>
    <row r="113" spans="2:21" s="13" customFormat="1" ht="25.5" x14ac:dyDescent="0.2">
      <c r="B113" s="8" t="e">
        <f>B103</f>
        <v>#REF!</v>
      </c>
      <c r="C113" s="8" t="str">
        <f>C103</f>
        <v>II</v>
      </c>
      <c r="D113" s="9">
        <f>D103+1</f>
        <v>77</v>
      </c>
      <c r="E113" s="8">
        <v>1</v>
      </c>
      <c r="F113" s="10" t="s">
        <v>16</v>
      </c>
      <c r="G113" s="11" t="s">
        <v>98</v>
      </c>
      <c r="H113" s="12">
        <f t="shared" ref="H113:H121" si="32">ROUND(R113,1)</f>
        <v>1.8</v>
      </c>
      <c r="I113" s="12"/>
      <c r="J113" s="12"/>
      <c r="K113" s="12">
        <f>H113</f>
        <v>1.8</v>
      </c>
      <c r="L113" s="12"/>
      <c r="M113" s="12"/>
      <c r="N113" s="12"/>
      <c r="O113" s="12"/>
      <c r="P113" s="14"/>
      <c r="R113" s="13">
        <f>(1.97*0.84)+(1.27*0.11)-(0.32*0.1)</f>
        <v>1.7624999999999997</v>
      </c>
    </row>
    <row r="114" spans="2:21" s="13" customFormat="1" ht="25.5" x14ac:dyDescent="0.2">
      <c r="B114" s="8"/>
      <c r="C114" s="8" t="str">
        <f t="shared" ref="C114:C122" si="33">C113</f>
        <v>II</v>
      </c>
      <c r="D114" s="9">
        <f t="shared" ref="D114:D122" si="34">D113</f>
        <v>77</v>
      </c>
      <c r="E114" s="8">
        <v>2</v>
      </c>
      <c r="F114" s="10" t="s">
        <v>26</v>
      </c>
      <c r="G114" s="11" t="s">
        <v>99</v>
      </c>
      <c r="H114" s="12">
        <f t="shared" si="32"/>
        <v>5.5</v>
      </c>
      <c r="I114" s="12"/>
      <c r="J114" s="12"/>
      <c r="K114" s="12">
        <f t="shared" ref="K114:K119" si="35">H114</f>
        <v>5.5</v>
      </c>
      <c r="L114" s="12"/>
      <c r="M114" s="12"/>
      <c r="N114" s="12"/>
      <c r="O114" s="12"/>
      <c r="P114" s="14"/>
      <c r="R114" s="13">
        <f>(1.63*3.55)-(0.1*2.08)-(0.38*0.26)</f>
        <v>5.4796999999999993</v>
      </c>
    </row>
    <row r="115" spans="2:21" s="13" customFormat="1" ht="25.5" x14ac:dyDescent="0.2">
      <c r="B115" s="8"/>
      <c r="C115" s="8" t="str">
        <f t="shared" si="33"/>
        <v>II</v>
      </c>
      <c r="D115" s="9">
        <f t="shared" si="34"/>
        <v>77</v>
      </c>
      <c r="E115" s="8">
        <v>3</v>
      </c>
      <c r="F115" s="10" t="s">
        <v>22</v>
      </c>
      <c r="G115" s="11" t="s">
        <v>100</v>
      </c>
      <c r="H115" s="12">
        <f t="shared" si="32"/>
        <v>16.399999999999999</v>
      </c>
      <c r="I115" s="12"/>
      <c r="J115" s="12">
        <f>H115</f>
        <v>16.399999999999999</v>
      </c>
      <c r="K115" s="12"/>
      <c r="L115" s="12"/>
      <c r="M115" s="12"/>
      <c r="N115" s="12"/>
      <c r="O115" s="12"/>
      <c r="P115" s="14"/>
      <c r="R115" s="13">
        <f>((3.31+3.29)/2)*((4.99+4.98)/2)-(0.77*0.1)</f>
        <v>16.3735</v>
      </c>
    </row>
    <row r="116" spans="2:21" s="13" customFormat="1" ht="38.25" x14ac:dyDescent="0.2">
      <c r="B116" s="8"/>
      <c r="C116" s="8" t="str">
        <f t="shared" si="33"/>
        <v>II</v>
      </c>
      <c r="D116" s="9">
        <f t="shared" si="34"/>
        <v>77</v>
      </c>
      <c r="E116" s="8">
        <v>4</v>
      </c>
      <c r="F116" s="10" t="s">
        <v>22</v>
      </c>
      <c r="G116" s="11" t="s">
        <v>101</v>
      </c>
      <c r="H116" s="12">
        <f t="shared" si="32"/>
        <v>20.5</v>
      </c>
      <c r="I116" s="12"/>
      <c r="J116" s="12">
        <f>H116</f>
        <v>20.5</v>
      </c>
      <c r="K116" s="12"/>
      <c r="L116" s="12"/>
      <c r="M116" s="12"/>
      <c r="N116" s="12"/>
      <c r="O116" s="12"/>
      <c r="P116" s="14"/>
      <c r="R116" s="13">
        <f>((3.36+3.37)/2)*((6.19+6.2)/2)-(0.1*0.77)-(0.54*0.53)</f>
        <v>20.482975</v>
      </c>
    </row>
    <row r="117" spans="2:21" s="13" customFormat="1" ht="38.25" x14ac:dyDescent="0.2">
      <c r="B117" s="8"/>
      <c r="C117" s="8" t="str">
        <f t="shared" si="33"/>
        <v>II</v>
      </c>
      <c r="D117" s="9">
        <f t="shared" si="34"/>
        <v>77</v>
      </c>
      <c r="E117" s="8">
        <v>5</v>
      </c>
      <c r="F117" s="10" t="s">
        <v>20</v>
      </c>
      <c r="G117" s="11" t="s">
        <v>102</v>
      </c>
      <c r="H117" s="12">
        <f t="shared" si="32"/>
        <v>12</v>
      </c>
      <c r="I117" s="12"/>
      <c r="J117" s="12"/>
      <c r="K117" s="12">
        <f t="shared" si="35"/>
        <v>12</v>
      </c>
      <c r="L117" s="12"/>
      <c r="M117" s="12"/>
      <c r="N117" s="12"/>
      <c r="O117" s="12"/>
      <c r="P117" s="14"/>
      <c r="R117" s="13">
        <f>(((3.18+3.17)/2)*3.41)+((1.12*1.61)/2)+(((2.07+0.09)/2)*0.31)-(0.21*0.19)</f>
        <v>12.023250000000001</v>
      </c>
    </row>
    <row r="118" spans="2:21" s="13" customFormat="1" ht="25.5" x14ac:dyDescent="0.2">
      <c r="B118" s="8"/>
      <c r="C118" s="8" t="str">
        <f t="shared" si="33"/>
        <v>II</v>
      </c>
      <c r="D118" s="9">
        <f t="shared" si="34"/>
        <v>77</v>
      </c>
      <c r="E118" s="8">
        <v>6</v>
      </c>
      <c r="F118" s="10" t="s">
        <v>18</v>
      </c>
      <c r="G118" s="11" t="s">
        <v>103</v>
      </c>
      <c r="H118" s="12">
        <f t="shared" si="32"/>
        <v>2.2999999999999998</v>
      </c>
      <c r="I118" s="12"/>
      <c r="J118" s="12"/>
      <c r="K118" s="12">
        <f t="shared" si="35"/>
        <v>2.2999999999999998</v>
      </c>
      <c r="L118" s="12"/>
      <c r="M118" s="12"/>
      <c r="N118" s="12"/>
      <c r="O118" s="12"/>
      <c r="P118" s="14"/>
      <c r="R118" s="13">
        <f>(1*2.65)-(0.12*1.63)-(0.34*0.12)-(0.17*0.74)</f>
        <v>2.2878000000000003</v>
      </c>
    </row>
    <row r="119" spans="2:21" s="13" customFormat="1" ht="38.25" x14ac:dyDescent="0.2">
      <c r="B119" s="8"/>
      <c r="C119" s="8" t="str">
        <f t="shared" si="33"/>
        <v>II</v>
      </c>
      <c r="D119" s="9">
        <f t="shared" si="34"/>
        <v>77</v>
      </c>
      <c r="E119" s="8">
        <v>7</v>
      </c>
      <c r="F119" s="10" t="s">
        <v>16</v>
      </c>
      <c r="G119" s="11" t="s">
        <v>104</v>
      </c>
      <c r="H119" s="12">
        <f t="shared" si="32"/>
        <v>7.8</v>
      </c>
      <c r="I119" s="12"/>
      <c r="J119" s="12"/>
      <c r="K119" s="12">
        <f t="shared" si="35"/>
        <v>7.8</v>
      </c>
      <c r="L119" s="12"/>
      <c r="M119" s="12"/>
      <c r="N119" s="12"/>
      <c r="O119" s="12"/>
      <c r="P119" s="14"/>
      <c r="R119" s="13">
        <f>((2.37+2.37)/2)*((3.15+3.16)/2)+(0.1*1.27)+(2.11*0.12)-(0.1*0.11)</f>
        <v>7.8465500000000006</v>
      </c>
    </row>
    <row r="120" spans="2:21" s="23" customFormat="1" ht="20.100000000000001" customHeight="1" x14ac:dyDescent="0.2">
      <c r="B120" s="17"/>
      <c r="C120" s="17" t="str">
        <f t="shared" si="33"/>
        <v>II</v>
      </c>
      <c r="D120" s="18">
        <f t="shared" si="34"/>
        <v>77</v>
      </c>
      <c r="E120" s="17"/>
      <c r="F120" s="19" t="s">
        <v>28</v>
      </c>
      <c r="G120" s="26"/>
      <c r="H120" s="21">
        <f t="shared" si="32"/>
        <v>0</v>
      </c>
      <c r="I120" s="21"/>
      <c r="J120" s="12"/>
      <c r="K120" s="12"/>
      <c r="L120" s="12">
        <f>H120</f>
        <v>0</v>
      </c>
      <c r="M120" s="21"/>
      <c r="N120" s="21"/>
      <c r="O120" s="22" t="s">
        <v>30</v>
      </c>
      <c r="P120" s="14"/>
    </row>
    <row r="121" spans="2:21" s="23" customFormat="1" ht="20.100000000000001" customHeight="1" x14ac:dyDescent="0.2">
      <c r="B121" s="17"/>
      <c r="C121" s="17" t="str">
        <f t="shared" si="33"/>
        <v>II</v>
      </c>
      <c r="D121" s="18">
        <f t="shared" si="34"/>
        <v>77</v>
      </c>
      <c r="E121" s="17"/>
      <c r="F121" s="19" t="s">
        <v>28</v>
      </c>
      <c r="G121" s="26"/>
      <c r="H121" s="21">
        <f t="shared" si="32"/>
        <v>0</v>
      </c>
      <c r="I121" s="21"/>
      <c r="J121" s="12"/>
      <c r="K121" s="12"/>
      <c r="L121" s="12">
        <f>H121</f>
        <v>0</v>
      </c>
      <c r="M121" s="21"/>
      <c r="N121" s="21"/>
      <c r="O121" s="22" t="s">
        <v>30</v>
      </c>
      <c r="P121" s="14"/>
    </row>
    <row r="122" spans="2:21" s="13" customFormat="1" ht="20.100000000000001" customHeight="1" x14ac:dyDescent="0.2">
      <c r="B122" s="8"/>
      <c r="C122" s="8" t="str">
        <f t="shared" si="33"/>
        <v>II</v>
      </c>
      <c r="D122" s="9">
        <f t="shared" si="34"/>
        <v>77</v>
      </c>
      <c r="E122" s="8"/>
      <c r="F122" s="10" t="s">
        <v>107</v>
      </c>
      <c r="G122" s="24" t="str">
        <f>"Усього по кв. №"&amp;D113&amp;":"</f>
        <v>Усього по кв. №77:</v>
      </c>
      <c r="H122" s="25">
        <f>SUMIF($D$3:$D121,$D122,H$3:H121)</f>
        <v>66.3</v>
      </c>
      <c r="I122" s="25">
        <f>SUMIF($D$3:$D121,$D122,I$3:I121)</f>
        <v>0</v>
      </c>
      <c r="J122" s="25">
        <f>SUMIF($D$3:$D121,$D122,J$3:J121)</f>
        <v>36.9</v>
      </c>
      <c r="K122" s="25">
        <f>SUMIF($D$3:$D121,$D122,K$3:K121)</f>
        <v>29.400000000000002</v>
      </c>
      <c r="L122" s="25">
        <f>SUMIF($D$3:$D121,$D122,L$3:L121)</f>
        <v>0</v>
      </c>
      <c r="M122" s="25">
        <f>SUM(M113:M121)</f>
        <v>0</v>
      </c>
      <c r="N122" s="25">
        <f>SUM(N113:N121)</f>
        <v>0</v>
      </c>
      <c r="O122" s="25">
        <f>SUM(O113:O121)</f>
        <v>0</v>
      </c>
      <c r="P122" s="14">
        <v>2</v>
      </c>
      <c r="U122" s="13">
        <f>D113</f>
        <v>77</v>
      </c>
    </row>
  </sheetData>
  <sheetProtection selectLockedCells="1" selectUnlockedCells="1"/>
  <mergeCells count="1">
    <mergeCell ref="I1:K1"/>
  </mergeCells>
  <printOptions horizontalCentered="1"/>
  <pageMargins left="0.38" right="0.19685039370078741" top="0.23622047244094491" bottom="0.23622047244094491" header="0.24" footer="0.2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1.6 Журнал внутр</vt:lpstr>
      <vt:lpstr>'1.6 Журнал внутр'!Заголовки_для_печати</vt:lpstr>
      <vt:lpstr>'1.6 Журнал внутр'!Область_печати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Ахтямов Руслан Сальманович</cp:lastModifiedBy>
  <dcterms:created xsi:type="dcterms:W3CDTF">2014-03-29T00:27:38Z</dcterms:created>
  <dcterms:modified xsi:type="dcterms:W3CDTF">2014-03-29T05:58:37Z</dcterms:modified>
</cp:coreProperties>
</file>