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8580"/>
  </bookViews>
  <sheets>
    <sheet name="Податкова накладна" sheetId="2" r:id="rId1"/>
    <sheet name="Лист1" sheetId="6" r:id="rId2"/>
  </sheets>
  <definedNames>
    <definedName name="Товар">#REF!</definedName>
  </definedNames>
  <calcPr calcId="125725"/>
</workbook>
</file>

<file path=xl/calcChain.xml><?xml version="1.0" encoding="utf-8"?>
<calcChain xmlns="http://schemas.openxmlformats.org/spreadsheetml/2006/main">
  <c r="AS31" i="2"/>
  <c r="AS32"/>
  <c r="AS33"/>
  <c r="AS34"/>
  <c r="AS30"/>
  <c r="B44"/>
  <c r="E30"/>
  <c r="AZ20"/>
  <c r="AY20"/>
  <c r="AX20"/>
  <c r="AW20"/>
  <c r="AV20"/>
  <c r="AU20"/>
  <c r="AT20"/>
  <c r="AS20"/>
  <c r="AR20"/>
  <c r="AQ20"/>
  <c r="AZ18"/>
  <c r="AY18"/>
  <c r="AX18"/>
  <c r="AW18"/>
  <c r="AV18"/>
  <c r="AU18"/>
  <c r="AT18"/>
  <c r="AS18"/>
  <c r="AR18"/>
  <c r="AQ18"/>
  <c r="AQ15"/>
  <c r="AZ13"/>
  <c r="AY13"/>
  <c r="AX13"/>
  <c r="AW13"/>
  <c r="AV13"/>
  <c r="AU13"/>
  <c r="AT13"/>
  <c r="AS13"/>
  <c r="AR13"/>
  <c r="AQ13"/>
  <c r="AP13"/>
  <c r="AO13"/>
  <c r="P3"/>
  <c r="K50" l="1"/>
  <c r="J50"/>
  <c r="I50"/>
  <c r="H50"/>
  <c r="G50"/>
  <c r="F50"/>
  <c r="E50"/>
  <c r="D50"/>
  <c r="AE48"/>
  <c r="AF48"/>
  <c r="AG48"/>
  <c r="AH48"/>
  <c r="AD48"/>
  <c r="V48"/>
  <c r="W48"/>
  <c r="X48"/>
  <c r="Y48"/>
  <c r="Z48"/>
  <c r="AA48"/>
  <c r="U48"/>
  <c r="AR48"/>
  <c r="AQ48"/>
  <c r="AP48"/>
  <c r="AO48"/>
  <c r="AN48"/>
  <c r="AM48"/>
  <c r="AL48"/>
  <c r="AK48"/>
  <c r="AO35"/>
  <c r="AS35" l="1"/>
  <c r="AB57"/>
  <c r="AB56"/>
  <c r="O30"/>
  <c r="N56" s="1"/>
  <c r="W7"/>
  <c r="V7"/>
  <c r="U7"/>
  <c r="T7"/>
  <c r="S7"/>
  <c r="R7"/>
  <c r="Q7"/>
  <c r="P7"/>
  <c r="Z31" l="1"/>
  <c r="Z32"/>
  <c r="V58" s="1"/>
  <c r="Z33"/>
  <c r="V59" s="1"/>
  <c r="Z34"/>
  <c r="V60" s="1"/>
  <c r="Z30"/>
  <c r="V32"/>
  <c r="AB58" s="1"/>
  <c r="V33"/>
  <c r="AB59" s="1"/>
  <c r="V34"/>
  <c r="AB60" s="1"/>
  <c r="S31"/>
  <c r="R57" s="1"/>
  <c r="S32"/>
  <c r="R58" s="1"/>
  <c r="S33"/>
  <c r="R59" s="1"/>
  <c r="S34"/>
  <c r="S30"/>
  <c r="R56" s="1"/>
  <c r="O31"/>
  <c r="N57" s="1"/>
  <c r="O32"/>
  <c r="N58" s="1"/>
  <c r="O33"/>
  <c r="N59" s="1"/>
  <c r="O34"/>
  <c r="N60" s="1"/>
  <c r="E31"/>
  <c r="E32"/>
  <c r="E33"/>
  <c r="E34"/>
  <c r="J60" l="1"/>
  <c r="R60"/>
  <c r="AE31"/>
  <c r="V57"/>
  <c r="V56"/>
  <c r="AE30"/>
  <c r="AE34"/>
  <c r="AE33"/>
  <c r="AE32"/>
  <c r="AE35" l="1"/>
  <c r="AW30" s="1"/>
  <c r="AE37" l="1"/>
  <c r="AW37" s="1"/>
  <c r="AW38" s="1"/>
  <c r="AE38" l="1"/>
</calcChain>
</file>

<file path=xl/sharedStrings.xml><?xml version="1.0" encoding="utf-8"?>
<sst xmlns="http://schemas.openxmlformats.org/spreadsheetml/2006/main" count="330" uniqueCount="178">
  <si>
    <t>Видається покупцю</t>
  </si>
  <si>
    <t>Включено до ЄРПН</t>
  </si>
  <si>
    <t>Копія (залишається у продавця)</t>
  </si>
  <si>
    <t>/</t>
  </si>
  <si>
    <t>Продавець</t>
  </si>
  <si>
    <t>(індивідуальний податковий номер продавця)</t>
  </si>
  <si>
    <t>(індивідуальний податковий номер покупця)</t>
  </si>
  <si>
    <t>N</t>
  </si>
  <si>
    <t>3</t>
  </si>
  <si>
    <t>Х</t>
  </si>
  <si>
    <t>від</t>
  </si>
  <si>
    <t>Залишається у продавця
(тип причини)</t>
  </si>
  <si>
    <t xml:space="preserve">           (Потрібне виділити поміткою "Х")</t>
  </si>
  <si>
    <t xml:space="preserve">                 Покупець </t>
  </si>
  <si>
    <t xml:space="preserve">Номер телефону </t>
  </si>
  <si>
    <t>Вид цивільно-правового 
договору</t>
  </si>
  <si>
    <t xml:space="preserve">Особа (платник
податку) - продавець
</t>
  </si>
  <si>
    <t>(найменування; прізвище, ім'я, по батькові - для фізичної особи - підприємця)</t>
  </si>
  <si>
    <t xml:space="preserve">(найменування; прізвище, ім'я, по батькові - для фізичної особи - підприємця) </t>
  </si>
  <si>
    <t xml:space="preserve">Особа (платник
податку) - покупець
</t>
  </si>
  <si>
    <t>Код товару згідно з УКТ ЗЕД</t>
  </si>
  <si>
    <t xml:space="preserve">ЗАТВЕРДЖЕНО
Наказ Міністерства фінансів України
01.11.2011 N 1379 </t>
  </si>
  <si>
    <t xml:space="preserve">
Оригінал </t>
  </si>
  <si>
    <t>ПОДАТКОВА НАКЛАДНА</t>
  </si>
  <si>
    <t>Дата виписки податкової накладної</t>
  </si>
  <si>
    <t>Порядковий номер</t>
  </si>
  <si>
    <t xml:space="preserve">Місцезнаходження (податкова адреса)
покупця             
</t>
  </si>
  <si>
    <t xml:space="preserve">Місцезнаходження (податкова адреса) 
продавця   
</t>
  </si>
  <si>
    <t>Номер свідоцтва про реєстрацію платника 
податку на додану вартість (продавця)</t>
  </si>
  <si>
    <t>Номер свідоцтва про реєстрацію платника податку 
на додану вартість (покупця)</t>
  </si>
  <si>
    <t>(вид договору)</t>
  </si>
  <si>
    <t>(бартер, готівка, оплата з поточного рахунка, чек тощо)</t>
  </si>
  <si>
    <t>Номенклатура товарів/послуг продавця</t>
  </si>
  <si>
    <t>Кількість (об'єм, обсяг)</t>
  </si>
  <si>
    <t>Ціна постачання одиниці товару / послуги без урахування ПДВ</t>
  </si>
  <si>
    <t>Обсяги постачання (база оподаткування) без урахування ПДВ, що підлягають оподаткуванню за ставками</t>
  </si>
  <si>
    <t>основна ставка</t>
  </si>
  <si>
    <t>нульова ставка</t>
  </si>
  <si>
    <t>(постачання на митній території України)</t>
  </si>
  <si>
    <t>(експорт)</t>
  </si>
  <si>
    <t>Загальна сума коштів, що підлягає сплаті</t>
  </si>
  <si>
    <t>(підпис і прізвище особи, яка склала податкову накладну)</t>
  </si>
  <si>
    <r>
      <rPr>
        <vertAlign val="superscript"/>
        <sz val="7"/>
        <rFont val="Times New Roman"/>
        <family val="1"/>
        <charset val="204"/>
      </rPr>
      <t>2</t>
    </r>
    <r>
      <rPr>
        <sz val="7"/>
        <rFont val="Times New Roman"/>
        <family val="1"/>
        <charset val="204"/>
      </rPr>
      <t xml:space="preserve"> Дата оплати ставиться у разі попередньої оплати постачання, на яку виписується податкова накладна, для операцій з постачання товарів/послуг  відповідно до пункту 187.10 статті 187 розділу V Податкового кодексу України.</t>
    </r>
  </si>
  <si>
    <t>(відповідні пункти (підпункти), статті, підрозділи, розділи  Податкового кодексу України, якими передбачено звільнення від оподаткування)</t>
  </si>
  <si>
    <r>
      <rPr>
        <vertAlign val="superscript"/>
        <sz val="8"/>
        <rFont val="Times New Roman"/>
        <family val="1"/>
        <charset val="204"/>
      </rPr>
      <t>(1)</t>
    </r>
    <r>
      <rPr>
        <sz val="8"/>
        <rFont val="Times New Roman"/>
        <family val="1"/>
        <charset val="204"/>
      </rPr>
      <t xml:space="preserve"> (номер філії)</t>
    </r>
  </si>
  <si>
    <t>Розділ</t>
  </si>
  <si>
    <r>
      <t>Дата виникнення податкового зобов'язання (постачання (оплати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))</t>
    </r>
  </si>
  <si>
    <r>
      <t>звільнення від ПДВ</t>
    </r>
    <r>
      <rPr>
        <vertAlign val="superscript"/>
        <sz val="8"/>
        <rFont val="Times New Roman"/>
        <family val="1"/>
        <charset val="204"/>
      </rPr>
      <t>3</t>
    </r>
  </si>
  <si>
    <t>I</t>
  </si>
  <si>
    <t>II</t>
  </si>
  <si>
    <t>III</t>
  </si>
  <si>
    <t>IV</t>
  </si>
  <si>
    <t>Додаток 1 
до Податкової накладної</t>
  </si>
  <si>
    <t>Додаток до податкової накладної N</t>
  </si>
  <si>
    <t>Дата</t>
  </si>
  <si>
    <t>(дата заповнення додатка)</t>
  </si>
  <si>
    <t>N з/п</t>
  </si>
  <si>
    <t>Код товару згідно з  УКТ ЗЕД</t>
  </si>
  <si>
    <t>Належить постачанню</t>
  </si>
  <si>
    <t>Перелік частки товару/послуги, що не містить відокремленої вартості частково поставлених товарів/послуг</t>
  </si>
  <si>
    <t>Залишок частки товару/послуги, що не містить відокремленої вартості, яку слід допоставити</t>
  </si>
  <si>
    <t>один. виміру</t>
  </si>
  <si>
    <t>ціна один. товару/ послуги без урахув. ПДВ</t>
  </si>
  <si>
    <t>кількість, об'єм, обсяг</t>
  </si>
  <si>
    <t>загальна сума коштів без ПДВ</t>
  </si>
  <si>
    <t>Усього</t>
  </si>
  <si>
    <t>х</t>
  </si>
  <si>
    <t>(підпис і прізвище особи, яка склала додаток)</t>
  </si>
  <si>
    <t xml:space="preserve"> </t>
  </si>
  <si>
    <t>Одиниця виміру товару</t>
  </si>
  <si>
    <t>Суми ПДВ, нараховані (сплачені) в зв'язку з постачанням товарів/послуг, зазначених у цій накладній, визначені правильно, відповідають сумі податкових зобов'язань продавця і включені до реєстру виданих та отриманих податкових накладних.</t>
  </si>
  <si>
    <r>
      <rPr>
        <vertAlign val="superscript"/>
        <sz val="7"/>
        <rFont val="Times New Roman"/>
        <family val="1"/>
        <charset val="204"/>
      </rPr>
      <t>1</t>
    </r>
    <r>
      <rPr>
        <sz val="7"/>
        <rFont val="Times New Roman"/>
        <family val="1"/>
        <charset val="204"/>
      </rPr>
      <t xml:space="preserve"> Зазначається код виду діяльності, що передбачає спеціальний режим оподаткування (2, або 3, або 4), у разі складання податкової накладної за такою діяльністю.</t>
    </r>
  </si>
  <si>
    <t>Форма проведених розрахунків</t>
  </si>
  <si>
    <t>Номер  договору, найменування/прізвище,  ім'я,  по батькові - для фізичної особи - підприємця   продавця</t>
  </si>
  <si>
    <t>м.Вінниця, вул.Нагорна 21А</t>
  </si>
  <si>
    <t>шт</t>
  </si>
  <si>
    <t>Покупець</t>
  </si>
  <si>
    <t>Адреса</t>
  </si>
  <si>
    <t>ИНН</t>
  </si>
  <si>
    <t>Номер телефону</t>
  </si>
  <si>
    <t>Учього по розділу I</t>
  </si>
  <si>
    <t>Зворотна (заставна) тара</t>
  </si>
  <si>
    <t>Податок на додану вартiсть</t>
  </si>
  <si>
    <t>Загальна сума з ПДВ</t>
  </si>
  <si>
    <t>односторонній</t>
  </si>
  <si>
    <t>бартер</t>
  </si>
  <si>
    <t>двосторонній</t>
  </si>
  <si>
    <t>готівка</t>
  </si>
  <si>
    <t>реальний</t>
  </si>
  <si>
    <t>оплата з поточного рахунка</t>
  </si>
  <si>
    <t>консенсуальний</t>
  </si>
  <si>
    <t>чек</t>
  </si>
  <si>
    <t>відплатний</t>
  </si>
  <si>
    <t>платіжного доручення</t>
  </si>
  <si>
    <t>безвідплатний</t>
  </si>
  <si>
    <t>акредитива</t>
  </si>
  <si>
    <t>основний</t>
  </si>
  <si>
    <t>вексель</t>
  </si>
  <si>
    <t>додатковий</t>
  </si>
  <si>
    <t>інкасо</t>
  </si>
  <si>
    <t>попередній</t>
  </si>
  <si>
    <t>договір поставки</t>
  </si>
  <si>
    <t>Звільнення від сплати ПДВ на підставі пп. 197.1.27 ПКУ</t>
  </si>
  <si>
    <t>Звільнення від ПДВ</t>
  </si>
  <si>
    <t>Код товару</t>
  </si>
  <si>
    <t>Смартфон Lenovo A516 White</t>
  </si>
  <si>
    <t>Смартфон Lenovo A516 Grey</t>
  </si>
  <si>
    <t>Смартфон Lenovo S820 Red</t>
  </si>
  <si>
    <t>Смартфон Lenovo S820 Grey</t>
  </si>
  <si>
    <t>Смартфон Lenovo S820 White</t>
  </si>
  <si>
    <t>Смартфон Lenovo S920 White</t>
  </si>
  <si>
    <t>Смартфон Lenovo S920 Blue</t>
  </si>
  <si>
    <t>Смартфон Lenovo P780 Black</t>
  </si>
  <si>
    <t>Смартфон Lenovo A369i Black</t>
  </si>
  <si>
    <t>Смартфон Lenovo A680 Black</t>
  </si>
  <si>
    <t>Смартфон Lenovo A850 White</t>
  </si>
  <si>
    <t>Смартфон Lenovo S650 White</t>
  </si>
  <si>
    <t>Смартфон Lenovo S650 Silver</t>
  </si>
  <si>
    <t>Смартфон Lenovo S930 Silver</t>
  </si>
  <si>
    <t>Смартфон Lenovo Vibe X S960 Silver</t>
  </si>
  <si>
    <t>Смартфон Lenovo A706 Black</t>
  </si>
  <si>
    <t>Смартфон Lenovo A850 Black</t>
  </si>
  <si>
    <t>Смартфон Lenovo K900</t>
  </si>
  <si>
    <t>Смартфон Lenovo A390 White</t>
  </si>
  <si>
    <t>Смартфон Lenovo A390 Black</t>
  </si>
  <si>
    <t>Смартфон Lenovo A706 White</t>
  </si>
  <si>
    <t>Смартфон Lenovo K900 Steel Grey</t>
  </si>
  <si>
    <t>Присутній на складі</t>
  </si>
  <si>
    <t>так</t>
  </si>
  <si>
    <t>ні</t>
  </si>
  <si>
    <t>Гіпермаркет "ФоксМарт"</t>
  </si>
  <si>
    <t>місто Вінниця, вул. Кармелюка, 2</t>
  </si>
  <si>
    <t>0432554080</t>
  </si>
  <si>
    <t>Гіпермаркет електроніки "Техноярмарок"</t>
  </si>
  <si>
    <t>місто Вінниця, вул. Коцюбинського, 70</t>
  </si>
  <si>
    <t>0432554335</t>
  </si>
  <si>
    <t>Інтернет-магазин "Nadiyno"</t>
  </si>
  <si>
    <t>місто Вінниця, вул. Соборна, 89</t>
  </si>
  <si>
    <t xml:space="preserve">0986011188 </t>
  </si>
  <si>
    <t>Інтернет-магазин "Protoria"</t>
  </si>
  <si>
    <t>місто Вінниця, вул. 600-річчя, 17</t>
  </si>
  <si>
    <t>0432561416</t>
  </si>
  <si>
    <t>Інтернет-супермаркет "Бегемот"</t>
  </si>
  <si>
    <t>місто Вінниця, пл. Гагаріна, 4</t>
  </si>
  <si>
    <t xml:space="preserve">0672323122 </t>
  </si>
  <si>
    <t>Магазин "АБВ-техніка"</t>
  </si>
  <si>
    <t>місто Вінниця, 600-ліття вул. 17</t>
  </si>
  <si>
    <t xml:space="preserve">0432505584 </t>
  </si>
  <si>
    <t xml:space="preserve">Мережа гіпермаркетів електроніки "Ельдорадо" </t>
  </si>
  <si>
    <t>місто Вінниця, вул. Коцюбинського, 1</t>
  </si>
  <si>
    <t>0432617236</t>
  </si>
  <si>
    <t>Магазин "МегаВольт"</t>
  </si>
  <si>
    <t>місто Вінниця, Соборна вул. 97</t>
  </si>
  <si>
    <t xml:space="preserve">0432562706 </t>
  </si>
  <si>
    <t>Мережа супермаркетів "Фокстрот"</t>
  </si>
  <si>
    <t>місто Вінниця, вул. Келецька, 80</t>
  </si>
  <si>
    <t>0432554609</t>
  </si>
  <si>
    <t>НПП ТОВ "Віа"</t>
  </si>
  <si>
    <t>місто Вінниця, Матросова проезд 5а</t>
  </si>
  <si>
    <t xml:space="preserve">0432462627 </t>
  </si>
  <si>
    <t>ТОВ "Енергомера"</t>
  </si>
  <si>
    <t>місто Вінниця, вул. 600-ліття, 17</t>
  </si>
  <si>
    <t xml:space="preserve">0432438145 </t>
  </si>
  <si>
    <t>г. Винница пр-т. Юности, д. 16</t>
  </si>
  <si>
    <t>ТОВ "Lenovo"</t>
  </si>
  <si>
    <t xml:space="preserve">Вид цивільно-правового </t>
  </si>
  <si>
    <t>Залишається у продавця</t>
  </si>
  <si>
    <t>0662546985</t>
  </si>
  <si>
    <t xml:space="preserve">Номер свідоцтва про реєстрацію платника податку </t>
  </si>
  <si>
    <t>=ЕСЛИОШИБКА(ПСТР(ВПР($I$10;Лист1!$J$31:$O$32;3;0);1;1);''')</t>
  </si>
  <si>
    <t>=ЕСЛИОШИБКА(ПСТР(ВПР($I$10;Лист1!$J$31:$O$32;4;0);1;1);"")</t>
  </si>
  <si>
    <t>=ЕСЛИОШИБКА(ПСТР(ВПР($I$10;Лист1!J31:O32;5;0);1;1);"")</t>
  </si>
  <si>
    <t>Кількість на складі</t>
  </si>
  <si>
    <t>1</t>
  </si>
  <si>
    <t>2</t>
  </si>
  <si>
    <t>4</t>
  </si>
  <si>
    <t>6</t>
  </si>
  <si>
    <t>5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</si>
</sst>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0"/>
      <color theme="10"/>
      <name val="Arial Cyr"/>
      <charset val="204"/>
    </font>
    <font>
      <b/>
      <sz val="10"/>
      <name val="Arial Cyr"/>
      <charset val="204"/>
    </font>
    <font>
      <sz val="9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50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49" fontId="9" fillId="0" borderId="0" xfId="0" applyNumberFormat="1" applyFont="1" applyAlignment="1">
      <alignment horizontal="left" vertical="top"/>
    </xf>
    <xf numFmtId="0" fontId="5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4" fillId="0" borderId="1" xfId="0" applyFont="1" applyBorder="1"/>
    <xf numFmtId="0" fontId="15" fillId="0" borderId="17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4" fillId="0" borderId="40" xfId="0" applyFont="1" applyBorder="1"/>
    <xf numFmtId="4" fontId="0" fillId="0" borderId="40" xfId="0" applyNumberForma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0" fillId="0" borderId="21" xfId="0" applyBorder="1"/>
    <xf numFmtId="4" fontId="0" fillId="0" borderId="21" xfId="0" applyNumberFormat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1" applyBorder="1" applyAlignment="1" applyProtection="1"/>
    <xf numFmtId="0" fontId="13" fillId="5" borderId="0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7" xfId="0" applyBorder="1"/>
    <xf numFmtId="0" fontId="0" fillId="0" borderId="51" xfId="0" applyBorder="1"/>
    <xf numFmtId="0" fontId="0" fillId="0" borderId="41" xfId="0" applyBorder="1"/>
    <xf numFmtId="0" fontId="0" fillId="0" borderId="42" xfId="0" applyBorder="1"/>
    <xf numFmtId="0" fontId="16" fillId="0" borderId="46" xfId="0" applyFont="1" applyBorder="1"/>
    <xf numFmtId="0" fontId="16" fillId="0" borderId="21" xfId="0" applyFont="1" applyBorder="1"/>
    <xf numFmtId="1" fontId="1" fillId="0" borderId="2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7" xfId="0" applyFont="1" applyBorder="1"/>
    <xf numFmtId="0" fontId="1" fillId="0" borderId="1" xfId="0" applyFont="1" applyBorder="1"/>
    <xf numFmtId="0" fontId="1" fillId="0" borderId="18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51" xfId="0" applyFont="1" applyBorder="1"/>
    <xf numFmtId="0" fontId="1" fillId="0" borderId="40" xfId="0" applyFont="1" applyBorder="1"/>
    <xf numFmtId="1" fontId="1" fillId="0" borderId="40" xfId="0" applyNumberFormat="1" applyFont="1" applyBorder="1" applyAlignment="1">
      <alignment horizontal="center"/>
    </xf>
    <xf numFmtId="49" fontId="1" fillId="0" borderId="40" xfId="0" applyNumberFormat="1" applyFont="1" applyBorder="1" applyAlignment="1">
      <alignment horizontal="center" vertical="center"/>
    </xf>
    <xf numFmtId="0" fontId="1" fillId="0" borderId="41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0" fillId="0" borderId="46" xfId="0" applyBorder="1"/>
    <xf numFmtId="0" fontId="13" fillId="3" borderId="28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top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8" fillId="0" borderId="9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3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28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/>
    </xf>
    <xf numFmtId="49" fontId="1" fillId="0" borderId="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6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2" fontId="4" fillId="0" borderId="22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14" fontId="4" fillId="0" borderId="21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justify" vertical="center"/>
    </xf>
    <xf numFmtId="49" fontId="3" fillId="0" borderId="0" xfId="0" applyNumberFormat="1" applyFont="1"/>
    <xf numFmtId="49" fontId="3" fillId="0" borderId="0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vertical="center"/>
    </xf>
    <xf numFmtId="49" fontId="5" fillId="0" borderId="33" xfId="0" applyNumberFormat="1" applyFont="1" applyBorder="1" applyAlignment="1">
      <alignment vertical="center"/>
    </xf>
    <xf numFmtId="49" fontId="5" fillId="0" borderId="34" xfId="0" applyNumberFormat="1" applyFont="1" applyBorder="1" applyAlignment="1">
      <alignment vertical="center"/>
    </xf>
    <xf numFmtId="49" fontId="8" fillId="2" borderId="35" xfId="0" applyNumberFormat="1" applyFont="1" applyFill="1" applyBorder="1" applyAlignment="1">
      <alignment horizontal="center" vertical="top" wrapText="1"/>
    </xf>
    <xf numFmtId="49" fontId="7" fillId="0" borderId="36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top"/>
    </xf>
    <xf numFmtId="0" fontId="7" fillId="0" borderId="3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4" fillId="0" borderId="32" xfId="0" applyNumberFormat="1" applyFont="1" applyBorder="1" applyAlignment="1">
      <alignment horizontal="left" vertical="top"/>
    </xf>
    <xf numFmtId="49" fontId="4" fillId="0" borderId="33" xfId="0" applyNumberFormat="1" applyFont="1" applyBorder="1" applyAlignment="1">
      <alignment horizontal="left" vertical="top"/>
    </xf>
    <xf numFmtId="49" fontId="4" fillId="0" borderId="34" xfId="0" applyNumberFormat="1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left" vertical="top" wrapText="1"/>
    </xf>
    <xf numFmtId="49" fontId="4" fillId="0" borderId="30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49" fontId="4" fillId="0" borderId="9" xfId="0" applyNumberFormat="1" applyFont="1" applyBorder="1" applyAlignment="1">
      <alignment horizontal="left" vertical="top"/>
    </xf>
    <xf numFmtId="49" fontId="4" fillId="0" borderId="25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49" fontId="4" fillId="0" borderId="1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0" xfId="0" applyNumberFormat="1" applyFont="1" applyBorder="1" applyAlignment="1">
      <alignment horizontal="center" vertical="top" wrapText="1"/>
    </xf>
    <xf numFmtId="49" fontId="7" fillId="0" borderId="37" xfId="0" applyNumberFormat="1" applyFont="1" applyBorder="1" applyAlignment="1">
      <alignment horizontal="center" vertical="top" wrapText="1"/>
    </xf>
    <xf numFmtId="49" fontId="7" fillId="0" borderId="38" xfId="0" applyNumberFormat="1" applyFont="1" applyBorder="1" applyAlignment="1">
      <alignment horizontal="center" vertical="top" wrapText="1"/>
    </xf>
    <xf numFmtId="49" fontId="7" fillId="0" borderId="39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/>
    </xf>
    <xf numFmtId="1" fontId="7" fillId="0" borderId="2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top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top"/>
    </xf>
    <xf numFmtId="49" fontId="6" fillId="0" borderId="0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1" fillId="2" borderId="12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49" fontId="11" fillId="2" borderId="28" xfId="0" applyNumberFormat="1" applyFont="1" applyFill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top"/>
    </xf>
    <xf numFmtId="0" fontId="1" fillId="0" borderId="40" xfId="0" applyNumberFormat="1" applyFont="1" applyBorder="1" applyAlignment="1">
      <alignment horizontal="center" vertical="top"/>
    </xf>
    <xf numFmtId="49" fontId="7" fillId="0" borderId="43" xfId="0" applyNumberFormat="1" applyFont="1" applyBorder="1" applyAlignment="1">
      <alignment horizontal="center" vertical="center" wrapText="1"/>
    </xf>
    <xf numFmtId="49" fontId="7" fillId="0" borderId="44" xfId="0" applyNumberFormat="1" applyFont="1" applyBorder="1" applyAlignment="1">
      <alignment horizontal="center" vertical="center" wrapText="1"/>
    </xf>
    <xf numFmtId="49" fontId="7" fillId="0" borderId="45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11" fillId="2" borderId="35" xfId="0" applyNumberFormat="1" applyFont="1" applyFill="1" applyBorder="1" applyAlignment="1">
      <alignment horizontal="center" vertical="center" wrapText="1"/>
    </xf>
    <xf numFmtId="49" fontId="7" fillId="0" borderId="46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0" xfId="0" applyNumberFormat="1" applyFont="1" applyBorder="1" applyAlignment="1">
      <alignment horizontal="center" vertical="center" wrapText="1"/>
    </xf>
    <xf numFmtId="49" fontId="7" fillId="0" borderId="40" xfId="0" applyNumberFormat="1" applyFont="1" applyBorder="1" applyAlignment="1">
      <alignment horizontal="center" vertical="center" wrapText="1"/>
    </xf>
    <xf numFmtId="49" fontId="7" fillId="0" borderId="47" xfId="0" applyNumberFormat="1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3" borderId="36" xfId="0" applyFill="1" applyBorder="1"/>
    <xf numFmtId="0" fontId="0" fillId="3" borderId="17" xfId="0" applyFill="1" applyBorder="1"/>
    <xf numFmtId="0" fontId="0" fillId="3" borderId="51" xfId="0" applyFill="1" applyBorder="1"/>
    <xf numFmtId="1" fontId="5" fillId="0" borderId="1" xfId="0" applyNumberFormat="1" applyFont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/>
    </xf>
    <xf numFmtId="0" fontId="0" fillId="0" borderId="52" xfId="0" applyBorder="1" applyAlignment="1">
      <alignment horizontal="left" vertical="center" wrapText="1"/>
    </xf>
    <xf numFmtId="1" fontId="0" fillId="0" borderId="52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1" fontId="0" fillId="0" borderId="0" xfId="0" applyNumberFormat="1" applyBorder="1" applyAlignment="1">
      <alignment horizontal="left" vertical="center"/>
    </xf>
    <xf numFmtId="0" fontId="12" fillId="0" borderId="0" xfId="1" applyBorder="1" applyAlignment="1" applyProtection="1">
      <alignment horizontal="left" vertical="center"/>
    </xf>
    <xf numFmtId="0" fontId="0" fillId="5" borderId="0" xfId="0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67"/>
  <sheetViews>
    <sheetView showGridLines="0" tabSelected="1" workbookViewId="0">
      <selection activeCell="P1" sqref="P1:S1"/>
    </sheetView>
  </sheetViews>
  <sheetFormatPr defaultColWidth="2.7109375" defaultRowHeight="12.75"/>
  <cols>
    <col min="1" max="40" width="2.7109375" style="1" customWidth="1"/>
    <col min="41" max="16384" width="2.7109375" style="1"/>
  </cols>
  <sheetData>
    <row r="1" spans="1:52" ht="12" customHeight="1">
      <c r="A1" s="172" t="s">
        <v>22</v>
      </c>
      <c r="B1" s="170"/>
      <c r="C1" s="170"/>
      <c r="D1" s="170"/>
      <c r="E1" s="173"/>
      <c r="F1" s="180" t="s">
        <v>0</v>
      </c>
      <c r="G1" s="180"/>
      <c r="H1" s="180"/>
      <c r="I1" s="180"/>
      <c r="J1" s="180"/>
      <c r="K1" s="180"/>
      <c r="L1" s="180"/>
      <c r="M1" s="180"/>
      <c r="N1" s="180"/>
      <c r="O1" s="180"/>
      <c r="P1" s="182"/>
      <c r="Q1" s="182"/>
      <c r="R1" s="182"/>
      <c r="S1" s="182"/>
      <c r="U1" s="1" t="s">
        <v>68</v>
      </c>
      <c r="AM1" s="166" t="s">
        <v>21</v>
      </c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</row>
    <row r="2" spans="1:52" ht="12" customHeight="1">
      <c r="A2" s="174"/>
      <c r="B2" s="175"/>
      <c r="C2" s="175"/>
      <c r="D2" s="175"/>
      <c r="E2" s="176"/>
      <c r="F2" s="180" t="s">
        <v>1</v>
      </c>
      <c r="G2" s="180"/>
      <c r="H2" s="180"/>
      <c r="I2" s="180"/>
      <c r="J2" s="180"/>
      <c r="K2" s="180"/>
      <c r="L2" s="180"/>
      <c r="M2" s="180"/>
      <c r="N2" s="180"/>
      <c r="O2" s="180"/>
      <c r="P2" s="171"/>
      <c r="Q2" s="171"/>
      <c r="R2" s="171"/>
      <c r="S2" s="171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</row>
    <row r="3" spans="1:52" ht="12" customHeight="1">
      <c r="A3" s="174"/>
      <c r="B3" s="175"/>
      <c r="C3" s="175"/>
      <c r="D3" s="175"/>
      <c r="E3" s="176"/>
      <c r="F3" s="181" t="s">
        <v>11</v>
      </c>
      <c r="G3" s="181"/>
      <c r="H3" s="181"/>
      <c r="I3" s="181"/>
      <c r="J3" s="181"/>
      <c r="K3" s="181"/>
      <c r="L3" s="181"/>
      <c r="M3" s="181"/>
      <c r="N3" s="181"/>
      <c r="O3" s="181"/>
      <c r="P3" s="182" t="str">
        <f>IF(P1="х","","х")</f>
        <v>х</v>
      </c>
      <c r="Q3" s="182"/>
      <c r="R3" s="182"/>
      <c r="S3" s="182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</row>
    <row r="4" spans="1:52" ht="12" customHeight="1">
      <c r="A4" s="177"/>
      <c r="B4" s="178"/>
      <c r="C4" s="178"/>
      <c r="D4" s="178"/>
      <c r="E4" s="179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71"/>
      <c r="Q4" s="171"/>
      <c r="R4" s="171"/>
      <c r="S4" s="171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</row>
    <row r="5" spans="1:52" ht="12" customHeight="1">
      <c r="A5" s="167" t="s">
        <v>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9"/>
      <c r="P5" s="171"/>
      <c r="Q5" s="171"/>
      <c r="R5" s="171"/>
      <c r="S5" s="171"/>
    </row>
    <row r="6" spans="1:52" ht="17.25" customHeight="1">
      <c r="A6" s="170" t="s">
        <v>12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63" t="s">
        <v>23</v>
      </c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</row>
    <row r="7" spans="1:52" s="2" customFormat="1" ht="13.5" customHeight="1">
      <c r="A7" s="5"/>
      <c r="B7" s="12"/>
      <c r="C7" s="13"/>
      <c r="D7" s="75" t="s">
        <v>24</v>
      </c>
      <c r="E7" s="75"/>
      <c r="F7" s="75"/>
      <c r="G7" s="75"/>
      <c r="H7" s="75"/>
      <c r="I7" s="75"/>
      <c r="J7" s="75"/>
      <c r="K7" s="75"/>
      <c r="L7" s="75"/>
      <c r="M7" s="75"/>
      <c r="N7" s="75"/>
      <c r="P7" s="22">
        <f ca="1">1*IF(DAY(NOW())&lt;10,0,MID(DAY(NOW()),1,1))</f>
        <v>0</v>
      </c>
      <c r="Q7" s="22">
        <f ca="1">1*RIGHT(DAY(NOW()),1)</f>
        <v>3</v>
      </c>
      <c r="R7" s="22">
        <f ca="1">1*IF(MONTH(NOW())&lt;10,0,MID(MONTH(NOW()),1,1))</f>
        <v>0</v>
      </c>
      <c r="S7" s="22">
        <f ca="1">1*RIGHT(MONTH(NOW()),1)</f>
        <v>3</v>
      </c>
      <c r="T7" s="22">
        <f ca="1">1*MID(YEAR(NOW()),1,1)</f>
        <v>2</v>
      </c>
      <c r="U7" s="22">
        <f ca="1">1*MID(YEAR(NOW()),2,1)</f>
        <v>0</v>
      </c>
      <c r="V7" s="22">
        <f ca="1">1*MID(YEAR(NOW()),3,1)</f>
        <v>1</v>
      </c>
      <c r="W7" s="22">
        <f ca="1">1*MID(YEAR(NOW()),4,1)</f>
        <v>4</v>
      </c>
      <c r="X7" s="4"/>
      <c r="Y7" s="12"/>
      <c r="Z7" s="13"/>
      <c r="AC7" s="75" t="s">
        <v>25</v>
      </c>
      <c r="AD7" s="75"/>
      <c r="AE7" s="75"/>
      <c r="AF7" s="75"/>
      <c r="AG7" s="75"/>
      <c r="AH7" s="75"/>
      <c r="AJ7" s="10" t="s">
        <v>173</v>
      </c>
      <c r="AK7" s="10" t="s">
        <v>174</v>
      </c>
      <c r="AL7" s="10" t="s">
        <v>8</v>
      </c>
      <c r="AM7" s="10" t="s">
        <v>8</v>
      </c>
      <c r="AN7" s="10" t="s">
        <v>175</v>
      </c>
      <c r="AO7" s="10" t="s">
        <v>8</v>
      </c>
      <c r="AP7" s="10" t="s">
        <v>176</v>
      </c>
      <c r="AQ7" s="5" t="s">
        <v>3</v>
      </c>
      <c r="AR7" s="10" t="s">
        <v>175</v>
      </c>
      <c r="AS7" s="10" t="s">
        <v>177</v>
      </c>
      <c r="AT7" s="10" t="s">
        <v>176</v>
      </c>
      <c r="AU7" s="10" t="s">
        <v>176</v>
      </c>
      <c r="AV7" s="20" t="s">
        <v>175</v>
      </c>
      <c r="AW7" s="16"/>
      <c r="AX7" s="16"/>
      <c r="AY7" s="16"/>
      <c r="AZ7" s="13"/>
    </row>
    <row r="8" spans="1:52" ht="12" customHeight="1">
      <c r="P8" s="14"/>
      <c r="Q8" s="14"/>
      <c r="R8" s="14"/>
      <c r="S8" s="14"/>
      <c r="T8" s="14"/>
      <c r="U8" s="14"/>
      <c r="V8" s="14"/>
      <c r="W8" s="14"/>
      <c r="AJ8" s="14"/>
      <c r="AK8" s="14"/>
      <c r="AL8" s="14"/>
      <c r="AM8" s="14"/>
      <c r="AN8" s="14"/>
      <c r="AO8" s="14"/>
      <c r="AP8" s="14"/>
      <c r="AQ8" s="76" t="s">
        <v>44</v>
      </c>
      <c r="AR8" s="76"/>
      <c r="AS8" s="76"/>
      <c r="AT8" s="76"/>
      <c r="AU8" s="76"/>
      <c r="AV8" s="76"/>
    </row>
    <row r="9" spans="1:52" ht="12" customHeight="1">
      <c r="K9" s="100" t="s">
        <v>4</v>
      </c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AF9" s="100" t="s">
        <v>13</v>
      </c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</row>
    <row r="10" spans="1:52" ht="12.75" customHeight="1">
      <c r="A10" s="99" t="s">
        <v>16</v>
      </c>
      <c r="B10" s="99"/>
      <c r="C10" s="99"/>
      <c r="D10" s="99"/>
      <c r="E10" s="99"/>
      <c r="F10" s="99"/>
      <c r="G10" s="99"/>
      <c r="H10" s="99"/>
      <c r="I10" s="157" t="s">
        <v>164</v>
      </c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9"/>
      <c r="AC10" s="99" t="s">
        <v>19</v>
      </c>
      <c r="AD10" s="100"/>
      <c r="AE10" s="100"/>
      <c r="AF10" s="100"/>
      <c r="AG10" s="100"/>
      <c r="AH10" s="100"/>
      <c r="AI10" s="100"/>
      <c r="AJ10" s="98"/>
      <c r="AK10" s="146" t="s">
        <v>151</v>
      </c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</row>
    <row r="11" spans="1:52" ht="12.75" customHeight="1">
      <c r="A11" s="99"/>
      <c r="B11" s="99"/>
      <c r="C11" s="99"/>
      <c r="D11" s="99"/>
      <c r="E11" s="99"/>
      <c r="F11" s="99"/>
      <c r="G11" s="99"/>
      <c r="H11" s="99"/>
      <c r="I11" s="160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2"/>
      <c r="AC11" s="100"/>
      <c r="AD11" s="100"/>
      <c r="AE11" s="100"/>
      <c r="AF11" s="100"/>
      <c r="AG11" s="100"/>
      <c r="AH11" s="100"/>
      <c r="AI11" s="100"/>
      <c r="AJ11" s="98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52" ht="12" customHeight="1">
      <c r="H12" s="145" t="s">
        <v>17</v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AJ12" s="145" t="s">
        <v>18</v>
      </c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</row>
    <row r="13" spans="1:52" ht="12.7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 t="s">
        <v>169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23" t="str">
        <f>IFERROR(MID(VLOOKUP($AK$10,Лист1!$J$1:$O$12,3,0),1,1),"")</f>
        <v>8</v>
      </c>
      <c r="AP13" s="23" t="str">
        <f>IFERROR(MID(VLOOKUP($AK$10,Лист1!$J$1:$O$12,3,0),2,1),"")</f>
        <v>7</v>
      </c>
      <c r="AQ13" s="23" t="str">
        <f>IFERROR(MID(VLOOKUP($AK$10,Лист1!$J$1:$O$12,3,0),3,1),"")</f>
        <v>2</v>
      </c>
      <c r="AR13" s="23" t="str">
        <f>IFERROR(MID(VLOOKUP($AK$10,Лист1!$J$1:$O$12,3,0),4,1),"")</f>
        <v>6</v>
      </c>
      <c r="AS13" s="23" t="str">
        <f>IFERROR(MID(VLOOKUP($AK$10,Лист1!$J$1:$O$12,3,0),5,1),"")</f>
        <v>8</v>
      </c>
      <c r="AT13" s="23" t="str">
        <f>IFERROR(MID(VLOOKUP($AK$10,Лист1!$J$1:$O$12,3,0),6,1),"")</f>
        <v>9</v>
      </c>
      <c r="AU13" s="23" t="str">
        <f>IFERROR(MID(VLOOKUP($AK$10,Лист1!$J$1:$O$12,3,0),7,1),"")</f>
        <v>2</v>
      </c>
      <c r="AV13" s="23" t="str">
        <f>IFERROR(MID(VLOOKUP($AK$10,Лист1!$J$1:$O$12,3,0),8,1),"")</f>
        <v>1</v>
      </c>
      <c r="AW13" s="23" t="str">
        <f>IFERROR(MID(VLOOKUP($AK$10,Лист1!$J$1:$O$12,3,0),9,1),"")</f>
        <v>0</v>
      </c>
      <c r="AX13" s="23" t="str">
        <f>IFERROR(MID(VLOOKUP($AK$10,Лист1!$J$1:$O$12,3,0),10,1),"")</f>
        <v>3</v>
      </c>
      <c r="AY13" s="23" t="str">
        <f>IFERROR(MID(VLOOKUP($AK$10,Лист1!$J$1:$O$12,3,0),11,1),"")</f>
        <v>5</v>
      </c>
      <c r="AZ13" s="23" t="str">
        <f>IFERROR(MID(VLOOKUP($AK$10,Лист1!$J$1:$O$12,3,0),12,1),"")</f>
        <v>8</v>
      </c>
    </row>
    <row r="14" spans="1:52" ht="12" customHeight="1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88" t="s">
        <v>5</v>
      </c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15"/>
      <c r="Z14" s="15"/>
      <c r="AA14" s="15"/>
      <c r="AB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88" t="s">
        <v>6</v>
      </c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</row>
    <row r="15" spans="1:52">
      <c r="A15" s="99" t="s">
        <v>27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156" t="s">
        <v>74</v>
      </c>
      <c r="P15" s="156"/>
      <c r="Q15" s="156"/>
      <c r="R15" s="156"/>
      <c r="S15" s="156"/>
      <c r="T15" s="156"/>
      <c r="U15" s="156"/>
      <c r="V15" s="156"/>
      <c r="W15" s="156"/>
      <c r="X15" s="156"/>
      <c r="AB15" s="99" t="s">
        <v>26</v>
      </c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154" t="str">
        <f>VLOOKUP(AK10,Лист1!J1:O12,2,0)</f>
        <v>місто Вінниця, Соборна вул. 97</v>
      </c>
      <c r="AR15" s="154"/>
      <c r="AS15" s="154"/>
      <c r="AT15" s="154"/>
      <c r="AU15" s="154"/>
      <c r="AV15" s="154"/>
      <c r="AW15" s="154"/>
      <c r="AX15" s="154"/>
      <c r="AY15" s="154"/>
      <c r="AZ15" s="154"/>
    </row>
    <row r="16" spans="1:52" ht="12.75" customHeight="1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</row>
    <row r="17" spans="1:52" ht="4.5" customHeight="1"/>
    <row r="18" spans="1:52" ht="12.75" customHeight="1">
      <c r="A18" s="89" t="s">
        <v>14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13"/>
      <c r="N18" s="13"/>
      <c r="O18" s="3" t="s">
        <v>170</v>
      </c>
      <c r="P18" s="3"/>
      <c r="Q18" s="3"/>
      <c r="R18" s="3"/>
      <c r="S18" s="3"/>
      <c r="T18" s="3"/>
      <c r="U18" s="3"/>
      <c r="V18" s="3"/>
      <c r="W18" s="11"/>
      <c r="X18" s="11"/>
      <c r="AB18" s="89" t="s">
        <v>14</v>
      </c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98"/>
      <c r="AQ18" s="24" t="str">
        <f>IFERROR(MID(VLOOKUP($AK$10,Лист1!$J$1:$O$12,4,0),1,1),"")</f>
        <v>0</v>
      </c>
      <c r="AR18" s="24" t="str">
        <f>IFERROR(MID(VLOOKUP($AK$10,Лист1!$J$1:$O$12,4,0),2,1),"")</f>
        <v>4</v>
      </c>
      <c r="AS18" s="24" t="str">
        <f>IFERROR(MID(VLOOKUP($AK$10,Лист1!$J$1:$O$12,4,0),3,1),"")</f>
        <v>3</v>
      </c>
      <c r="AT18" s="24" t="str">
        <f>IFERROR(MID(VLOOKUP($AK$10,Лист1!$J$1:$O$12,4,0),4,1),"")</f>
        <v>2</v>
      </c>
      <c r="AU18" s="24" t="str">
        <f>IFERROR(MID(VLOOKUP($AK$10,Лист1!$J$1:$O$12,4,0),5,1),"")</f>
        <v>5</v>
      </c>
      <c r="AV18" s="24" t="str">
        <f>IFERROR(MID(VLOOKUP($AK$10,Лист1!$J$1:$O$12,4,0),6,1),"")</f>
        <v>6</v>
      </c>
      <c r="AW18" s="24" t="str">
        <f>IFERROR(MID(VLOOKUP($AK$10,Лист1!$J$1:$O$12,4,0),7,1),"")</f>
        <v>2</v>
      </c>
      <c r="AX18" s="24" t="str">
        <f>IFERROR(MID(VLOOKUP($AK$10,Лист1!$J$1:$O$12,4,0),8,1),"")</f>
        <v>7</v>
      </c>
      <c r="AY18" s="24" t="str">
        <f>IFERROR(MID(VLOOKUP($AK$10,Лист1!$J$1:$O$12,4,0),9,1),"")</f>
        <v>0</v>
      </c>
      <c r="AZ18" s="24" t="str">
        <f>IFERROR(MID(VLOOKUP($AK$10,Лист1!$J$1:$O$12,4,0),10,1),"")</f>
        <v>6</v>
      </c>
    </row>
    <row r="19" spans="1:52" ht="12" customHeight="1">
      <c r="A19" s="99" t="s">
        <v>28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7"/>
      <c r="P19" s="7"/>
      <c r="Q19" s="7"/>
      <c r="R19" s="7"/>
      <c r="S19" s="7"/>
      <c r="T19" s="7"/>
      <c r="U19" s="7"/>
      <c r="V19" s="7"/>
      <c r="W19" s="7"/>
      <c r="X19" s="7"/>
      <c r="AA19" s="99" t="s">
        <v>29</v>
      </c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7"/>
      <c r="AR19" s="7"/>
      <c r="AS19" s="7"/>
      <c r="AT19" s="7"/>
      <c r="AU19" s="7"/>
      <c r="AV19" s="7"/>
      <c r="AW19" s="7"/>
      <c r="AX19" s="7"/>
      <c r="AY19" s="7"/>
      <c r="AZ19" s="7"/>
    </row>
    <row r="20" spans="1:5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74" t="s">
        <v>171</v>
      </c>
      <c r="P20" s="9"/>
      <c r="Q20" s="9"/>
      <c r="R20" s="9"/>
      <c r="S20" s="9"/>
      <c r="T20" s="9"/>
      <c r="U20" s="9"/>
      <c r="V20" s="9"/>
      <c r="W20" s="9"/>
      <c r="X20" s="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236" t="str">
        <f>IFERROR(MID(VLOOKUP($AK$10,Лист1!$J$1:$O$12,5,0),1,1),"")</f>
        <v>3</v>
      </c>
      <c r="AR20" s="236" t="str">
        <f>IFERROR(MID(VLOOKUP($AK$10,Лист1!$J$1:$O$12,5,0),2,1),"")</f>
        <v>5</v>
      </c>
      <c r="AS20" s="236" t="str">
        <f>IFERROR(MID(VLOOKUP($AK$10,Лист1!$J$1:$O$12,5,0),3,1),"")</f>
        <v>4</v>
      </c>
      <c r="AT20" s="236" t="str">
        <f>IFERROR(MID(VLOOKUP($AK$10,Лист1!$J$1:$O$12,5,0),4,1),"")</f>
        <v>8</v>
      </c>
      <c r="AU20" s="236" t="str">
        <f>IFERROR(MID(VLOOKUP($AK$10,Лист1!$J$1:$O$12,5,0),5,1),"")</f>
        <v>2</v>
      </c>
      <c r="AV20" s="236" t="str">
        <f>IFERROR(MID(VLOOKUP($AK$10,Лист1!$J$1:$O$12,5,0),6,1),"")</f>
        <v>3</v>
      </c>
      <c r="AW20" s="236" t="str">
        <f>IFERROR(MID(VLOOKUP($AK$10,Лист1!$J$1:$O$12,5,0),7,1),"")</f>
        <v>4</v>
      </c>
      <c r="AX20" s="236" t="str">
        <f>IFERROR(MID(VLOOKUP($AK$10,Лист1!$J$1:$O$12,5,0),8,1),"")</f>
        <v>9</v>
      </c>
      <c r="AY20" s="236" t="str">
        <f>IFERROR(MID(VLOOKUP($AK$10,Лист1!$J$1:$O$12,5,0),9,1),"")</f>
        <v>8</v>
      </c>
      <c r="AZ20" s="236" t="str">
        <f>IFERROR(MID(VLOOKUP($AK$10,Лист1!$J$1:$O$12,5,0),10,1),"")</f>
        <v>1</v>
      </c>
    </row>
    <row r="21" spans="1:52">
      <c r="A21" s="99" t="s">
        <v>15</v>
      </c>
      <c r="B21" s="100"/>
      <c r="C21" s="100"/>
      <c r="D21" s="100"/>
      <c r="E21" s="100"/>
      <c r="F21" s="100"/>
      <c r="G21" s="100"/>
      <c r="H21" s="100"/>
      <c r="I21" s="100"/>
    </row>
    <row r="22" spans="1:52" ht="12.75" customHeight="1">
      <c r="A22" s="100"/>
      <c r="B22" s="100"/>
      <c r="C22" s="100"/>
      <c r="D22" s="100"/>
      <c r="E22" s="100"/>
      <c r="F22" s="100"/>
      <c r="G22" s="100"/>
      <c r="H22" s="100"/>
      <c r="I22" s="100"/>
      <c r="J22" s="101" t="s">
        <v>84</v>
      </c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0" t="s">
        <v>10</v>
      </c>
      <c r="AJ22" s="98"/>
      <c r="AK22" s="3"/>
      <c r="AL22" s="3"/>
      <c r="AM22" s="3"/>
      <c r="AN22" s="3"/>
      <c r="AO22" s="3"/>
      <c r="AP22" s="3"/>
      <c r="AQ22" s="3"/>
      <c r="AR22" s="3"/>
      <c r="AS22" s="100" t="s">
        <v>7</v>
      </c>
      <c r="AT22" s="98"/>
      <c r="AU22" s="147"/>
      <c r="AV22" s="148"/>
      <c r="AW22" s="148"/>
      <c r="AX22" s="148"/>
      <c r="AY22" s="148"/>
      <c r="AZ22" s="149"/>
    </row>
    <row r="23" spans="1:52" ht="12" customHeight="1">
      <c r="A23" s="189" t="s">
        <v>72</v>
      </c>
      <c r="B23" s="189"/>
      <c r="C23" s="189"/>
      <c r="D23" s="189"/>
      <c r="E23" s="189"/>
      <c r="F23" s="189"/>
      <c r="G23" s="189"/>
      <c r="H23" s="189"/>
      <c r="I23" s="189"/>
      <c r="J23" s="88" t="s">
        <v>30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J23" s="15"/>
      <c r="AK23" s="13"/>
      <c r="AL23" s="13"/>
      <c r="AM23" s="13"/>
      <c r="AN23" s="13"/>
      <c r="AO23" s="13"/>
      <c r="AP23" s="13"/>
      <c r="AQ23" s="13"/>
      <c r="AR23" s="13"/>
      <c r="AT23" s="15"/>
      <c r="AU23" s="13"/>
      <c r="AV23" s="13"/>
      <c r="AW23" s="13"/>
      <c r="AX23" s="13"/>
      <c r="AY23" s="13"/>
      <c r="AZ23" s="13"/>
    </row>
    <row r="24" spans="1:52" ht="15" customHeight="1">
      <c r="A24" s="189"/>
      <c r="B24" s="189"/>
      <c r="C24" s="189"/>
      <c r="D24" s="189"/>
      <c r="E24" s="189"/>
      <c r="F24" s="189"/>
      <c r="G24" s="189"/>
      <c r="H24" s="189"/>
      <c r="I24" s="189"/>
      <c r="J24" s="101" t="s">
        <v>87</v>
      </c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3"/>
      <c r="AP24" s="13"/>
      <c r="AQ24" s="13"/>
      <c r="AR24" s="13"/>
      <c r="AT24" s="15"/>
      <c r="AU24" s="13"/>
      <c r="AV24" s="13"/>
      <c r="AW24" s="13"/>
      <c r="AX24" s="13"/>
      <c r="AY24" s="13"/>
      <c r="AZ24" s="13"/>
    </row>
    <row r="25" spans="1:52" ht="12" customHeight="1" thickBot="1">
      <c r="J25" s="88" t="s">
        <v>31</v>
      </c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13"/>
      <c r="AP25" s="13"/>
      <c r="AQ25" s="13"/>
      <c r="AR25" s="13"/>
      <c r="AT25" s="15"/>
      <c r="AU25" s="13"/>
      <c r="AV25" s="13"/>
      <c r="AW25" s="13"/>
      <c r="AX25" s="13"/>
      <c r="AY25" s="13"/>
      <c r="AZ25" s="13"/>
    </row>
    <row r="26" spans="1:52" s="19" customFormat="1" ht="23.25" customHeight="1">
      <c r="A26" s="151" t="s">
        <v>45</v>
      </c>
      <c r="B26" s="90"/>
      <c r="C26" s="90"/>
      <c r="D26" s="90"/>
      <c r="E26" s="90" t="s">
        <v>46</v>
      </c>
      <c r="F26" s="90"/>
      <c r="G26" s="90"/>
      <c r="H26" s="90"/>
      <c r="I26" s="90"/>
      <c r="J26" s="90"/>
      <c r="K26" s="90" t="s">
        <v>32</v>
      </c>
      <c r="L26" s="90"/>
      <c r="M26" s="90"/>
      <c r="N26" s="90"/>
      <c r="O26" s="90" t="s">
        <v>20</v>
      </c>
      <c r="P26" s="90"/>
      <c r="Q26" s="90"/>
      <c r="R26" s="90"/>
      <c r="S26" s="90" t="s">
        <v>69</v>
      </c>
      <c r="T26" s="90"/>
      <c r="U26" s="90"/>
      <c r="V26" s="90" t="s">
        <v>33</v>
      </c>
      <c r="W26" s="90"/>
      <c r="X26" s="90"/>
      <c r="Y26" s="90"/>
      <c r="Z26" s="90" t="s">
        <v>34</v>
      </c>
      <c r="AA26" s="90"/>
      <c r="AB26" s="90"/>
      <c r="AC26" s="90"/>
      <c r="AD26" s="90"/>
      <c r="AE26" s="90" t="s">
        <v>35</v>
      </c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 t="s">
        <v>40</v>
      </c>
      <c r="AX26" s="90"/>
      <c r="AY26" s="90"/>
      <c r="AZ26" s="91"/>
    </row>
    <row r="27" spans="1:52" s="19" customFormat="1" ht="12" customHeight="1">
      <c r="A27" s="15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 t="s">
        <v>36</v>
      </c>
      <c r="AF27" s="92"/>
      <c r="AG27" s="92"/>
      <c r="AH27" s="92"/>
      <c r="AI27" s="92" t="s">
        <v>37</v>
      </c>
      <c r="AJ27" s="92"/>
      <c r="AK27" s="92"/>
      <c r="AL27" s="92"/>
      <c r="AM27" s="92"/>
      <c r="AN27" s="92"/>
      <c r="AO27" s="92"/>
      <c r="AP27" s="92"/>
      <c r="AQ27" s="92"/>
      <c r="AR27" s="92"/>
      <c r="AS27" s="183" t="s">
        <v>47</v>
      </c>
      <c r="AT27" s="184"/>
      <c r="AU27" s="184"/>
      <c r="AV27" s="185"/>
      <c r="AW27" s="92"/>
      <c r="AX27" s="92"/>
      <c r="AY27" s="92"/>
      <c r="AZ27" s="93"/>
    </row>
    <row r="28" spans="1:52" s="19" customFormat="1" ht="22.5" customHeight="1" thickBot="1">
      <c r="A28" s="15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 t="s">
        <v>38</v>
      </c>
      <c r="AJ28" s="94"/>
      <c r="AK28" s="94"/>
      <c r="AL28" s="94"/>
      <c r="AM28" s="94"/>
      <c r="AN28" s="94"/>
      <c r="AO28" s="94" t="s">
        <v>39</v>
      </c>
      <c r="AP28" s="94"/>
      <c r="AQ28" s="94"/>
      <c r="AR28" s="94"/>
      <c r="AS28" s="186"/>
      <c r="AT28" s="187"/>
      <c r="AU28" s="187"/>
      <c r="AV28" s="188"/>
      <c r="AW28" s="94"/>
      <c r="AX28" s="94"/>
      <c r="AY28" s="94"/>
      <c r="AZ28" s="95"/>
    </row>
    <row r="29" spans="1:52" s="19" customFormat="1" ht="12" customHeight="1" thickBot="1">
      <c r="A29" s="150">
        <v>1</v>
      </c>
      <c r="B29" s="96"/>
      <c r="C29" s="96"/>
      <c r="D29" s="96"/>
      <c r="E29" s="96">
        <v>2</v>
      </c>
      <c r="F29" s="96"/>
      <c r="G29" s="96"/>
      <c r="H29" s="96"/>
      <c r="I29" s="96"/>
      <c r="J29" s="96"/>
      <c r="K29" s="96">
        <v>3</v>
      </c>
      <c r="L29" s="96"/>
      <c r="M29" s="96"/>
      <c r="N29" s="96"/>
      <c r="O29" s="96">
        <v>4</v>
      </c>
      <c r="P29" s="96"/>
      <c r="Q29" s="96"/>
      <c r="R29" s="96"/>
      <c r="S29" s="96">
        <v>5</v>
      </c>
      <c r="T29" s="96"/>
      <c r="U29" s="96"/>
      <c r="V29" s="96">
        <v>6</v>
      </c>
      <c r="W29" s="96"/>
      <c r="X29" s="96"/>
      <c r="Y29" s="96"/>
      <c r="Z29" s="96">
        <v>7</v>
      </c>
      <c r="AA29" s="96"/>
      <c r="AB29" s="96"/>
      <c r="AC29" s="96"/>
      <c r="AD29" s="96"/>
      <c r="AE29" s="96">
        <v>8</v>
      </c>
      <c r="AF29" s="96"/>
      <c r="AG29" s="96"/>
      <c r="AH29" s="96"/>
      <c r="AI29" s="96">
        <v>9</v>
      </c>
      <c r="AJ29" s="96"/>
      <c r="AK29" s="96"/>
      <c r="AL29" s="96"/>
      <c r="AM29" s="96"/>
      <c r="AN29" s="96"/>
      <c r="AO29" s="96">
        <v>10</v>
      </c>
      <c r="AP29" s="96"/>
      <c r="AQ29" s="96"/>
      <c r="AR29" s="96"/>
      <c r="AS29" s="96">
        <v>11</v>
      </c>
      <c r="AT29" s="96"/>
      <c r="AU29" s="96"/>
      <c r="AV29" s="96"/>
      <c r="AW29" s="96">
        <v>12</v>
      </c>
      <c r="AX29" s="96"/>
      <c r="AY29" s="96"/>
      <c r="AZ29" s="97"/>
    </row>
    <row r="30" spans="1:52" s="19" customFormat="1" ht="12" customHeight="1">
      <c r="A30" s="77" t="s">
        <v>48</v>
      </c>
      <c r="B30" s="78"/>
      <c r="C30" s="78"/>
      <c r="D30" s="79"/>
      <c r="E30" s="135" t="str">
        <f ca="1">IF(K30&lt;&gt;"",TODAY(),"")</f>
        <v/>
      </c>
      <c r="F30" s="112"/>
      <c r="G30" s="112"/>
      <c r="H30" s="112"/>
      <c r="I30" s="112"/>
      <c r="J30" s="112"/>
      <c r="K30" s="131"/>
      <c r="L30" s="131"/>
      <c r="M30" s="131"/>
      <c r="N30" s="131"/>
      <c r="O30" s="112" t="str">
        <f>IF(ISERROR(VLOOKUP($K30,#REF!,6,0)),"",VLOOKUP($K30,#REF!,6,0))</f>
        <v/>
      </c>
      <c r="P30" s="112"/>
      <c r="Q30" s="112"/>
      <c r="R30" s="112"/>
      <c r="S30" s="112" t="str">
        <f>IF(ISERROR(VLOOKUP($K30,#REF!,2,0)),"",VLOOKUP($K30,#REF!,2,0))</f>
        <v/>
      </c>
      <c r="T30" s="112"/>
      <c r="U30" s="112"/>
      <c r="V30" s="112"/>
      <c r="W30" s="112"/>
      <c r="X30" s="112"/>
      <c r="Y30" s="112"/>
      <c r="Z30" s="112" t="str">
        <f>IF(ISERROR(VLOOKUP($K30,#REF!,4,0)),"",VLOOKUP($K30,#REF!,4,0))</f>
        <v/>
      </c>
      <c r="AA30" s="112"/>
      <c r="AB30" s="112"/>
      <c r="AC30" s="112"/>
      <c r="AD30" s="112"/>
      <c r="AE30" s="112" t="str">
        <f>IFERROR((Z30*V30),"")</f>
        <v/>
      </c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 t="str">
        <f>IF(VLOOKUP($AK$10,Лист1!J1:O12,6,0)&lt;&gt;"",IFERROR((Z30*V30),""),"")</f>
        <v/>
      </c>
      <c r="AT30" s="112"/>
      <c r="AU30" s="112"/>
      <c r="AV30" s="112"/>
      <c r="AW30" s="120">
        <f>AE35+AI35+AO35+AS35</f>
        <v>0</v>
      </c>
      <c r="AX30" s="121"/>
      <c r="AY30" s="121"/>
      <c r="AZ30" s="122"/>
    </row>
    <row r="31" spans="1:52" s="19" customFormat="1" ht="12" customHeight="1">
      <c r="A31" s="80"/>
      <c r="B31" s="81"/>
      <c r="C31" s="81"/>
      <c r="D31" s="82"/>
      <c r="E31" s="135" t="str">
        <f ca="1">IF(K31&lt;&gt;"",TODAY(),"")</f>
        <v/>
      </c>
      <c r="F31" s="112"/>
      <c r="G31" s="112"/>
      <c r="H31" s="112"/>
      <c r="I31" s="112"/>
      <c r="J31" s="112"/>
      <c r="K31" s="131"/>
      <c r="L31" s="131"/>
      <c r="M31" s="131"/>
      <c r="N31" s="131"/>
      <c r="O31" s="112" t="str">
        <f>IF(ISERROR(VLOOKUP($K31,#REF!,6,0)),"",VLOOKUP($K31,#REF!,6,0))</f>
        <v/>
      </c>
      <c r="P31" s="112"/>
      <c r="Q31" s="112"/>
      <c r="R31" s="112"/>
      <c r="S31" s="112" t="str">
        <f>IF(ISERROR(VLOOKUP($K31,#REF!,2,0)),"",VLOOKUP($K31,#REF!,2,0))</f>
        <v/>
      </c>
      <c r="T31" s="112"/>
      <c r="U31" s="112"/>
      <c r="V31" s="112"/>
      <c r="W31" s="112"/>
      <c r="X31" s="112"/>
      <c r="Y31" s="112"/>
      <c r="Z31" s="112" t="str">
        <f>IF(ISERROR(VLOOKUP($K31,#REF!,4,0)),"",VLOOKUP($K31,#REF!,4,0))</f>
        <v/>
      </c>
      <c r="AA31" s="112"/>
      <c r="AB31" s="112"/>
      <c r="AC31" s="112"/>
      <c r="AD31" s="112"/>
      <c r="AE31" s="112" t="str">
        <f t="shared" ref="AE31:AE34" si="0">IFERROR((Z31*V31),"")</f>
        <v/>
      </c>
      <c r="AF31" s="112"/>
      <c r="AG31" s="112"/>
      <c r="AH31" s="112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112" t="str">
        <f>IF(VLOOKUP($AK$10,Лист1!J2:O13,6,0)&lt;&gt;"",IFERROR((Z31*V31),""),"")</f>
        <v/>
      </c>
      <c r="AT31" s="112"/>
      <c r="AU31" s="112"/>
      <c r="AV31" s="112"/>
      <c r="AW31" s="123"/>
      <c r="AX31" s="124"/>
      <c r="AY31" s="124"/>
      <c r="AZ31" s="125"/>
    </row>
    <row r="32" spans="1:52" s="19" customFormat="1" ht="12" customHeight="1">
      <c r="A32" s="80"/>
      <c r="B32" s="81"/>
      <c r="C32" s="81"/>
      <c r="D32" s="82"/>
      <c r="E32" s="135" t="str">
        <f ca="1">IF(K32&lt;&gt;"",TODAY(),"")</f>
        <v/>
      </c>
      <c r="F32" s="112"/>
      <c r="G32" s="112"/>
      <c r="H32" s="112"/>
      <c r="I32" s="112"/>
      <c r="J32" s="112"/>
      <c r="K32" s="131"/>
      <c r="L32" s="131"/>
      <c r="M32" s="131"/>
      <c r="N32" s="131"/>
      <c r="O32" s="112" t="str">
        <f>IF(ISERROR(VLOOKUP($K32,#REF!,6,0)),"",VLOOKUP($K32,#REF!,6,0))</f>
        <v/>
      </c>
      <c r="P32" s="112"/>
      <c r="Q32" s="112"/>
      <c r="R32" s="112"/>
      <c r="S32" s="112" t="str">
        <f>IF(ISERROR(VLOOKUP($K32,#REF!,2,0)),"",VLOOKUP($K32,#REF!,2,0))</f>
        <v/>
      </c>
      <c r="T32" s="112"/>
      <c r="U32" s="112"/>
      <c r="V32" s="112" t="str">
        <f>IF(ISERROR(VLOOKUP($K32,#REF!,3,0)),"",VLOOKUP($K32,#REF!,3,0))</f>
        <v/>
      </c>
      <c r="W32" s="112"/>
      <c r="X32" s="112"/>
      <c r="Y32" s="112"/>
      <c r="Z32" s="112" t="str">
        <f>IF(ISERROR(VLOOKUP($K32,#REF!,4,0)),"",VLOOKUP($K32,#REF!,4,0))</f>
        <v/>
      </c>
      <c r="AA32" s="112"/>
      <c r="AB32" s="112"/>
      <c r="AC32" s="112"/>
      <c r="AD32" s="112"/>
      <c r="AE32" s="112" t="str">
        <f t="shared" si="0"/>
        <v/>
      </c>
      <c r="AF32" s="112"/>
      <c r="AG32" s="112"/>
      <c r="AH32" s="112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112" t="str">
        <f>IF(VLOOKUP($AK$10,Лист1!J3:O14,6,0)&lt;&gt;"",IFERROR((Z32*V32),""),"")</f>
        <v/>
      </c>
      <c r="AT32" s="112"/>
      <c r="AU32" s="112"/>
      <c r="AV32" s="112"/>
      <c r="AW32" s="123"/>
      <c r="AX32" s="124"/>
      <c r="AY32" s="124"/>
      <c r="AZ32" s="125"/>
    </row>
    <row r="33" spans="1:52" s="19" customFormat="1" ht="12" customHeight="1">
      <c r="A33" s="80"/>
      <c r="B33" s="81"/>
      <c r="C33" s="81"/>
      <c r="D33" s="82"/>
      <c r="E33" s="135" t="str">
        <f ca="1">IF(K33&lt;&gt;"",TODAY(),"")</f>
        <v/>
      </c>
      <c r="F33" s="112"/>
      <c r="G33" s="112"/>
      <c r="H33" s="112"/>
      <c r="I33" s="112"/>
      <c r="J33" s="112"/>
      <c r="K33" s="131"/>
      <c r="L33" s="131"/>
      <c r="M33" s="131"/>
      <c r="N33" s="131"/>
      <c r="O33" s="112" t="str">
        <f>IF(ISERROR(VLOOKUP($K33,#REF!,6,0)),"",VLOOKUP($K33,#REF!,6,0))</f>
        <v/>
      </c>
      <c r="P33" s="112"/>
      <c r="Q33" s="112"/>
      <c r="R33" s="112"/>
      <c r="S33" s="112" t="str">
        <f>IF(ISERROR(VLOOKUP($K33,#REF!,2,0)),"",VLOOKUP($K33,#REF!,2,0))</f>
        <v/>
      </c>
      <c r="T33" s="112"/>
      <c r="U33" s="112"/>
      <c r="V33" s="112" t="str">
        <f>IF(ISERROR(VLOOKUP($K33,#REF!,3,0)),"",VLOOKUP($K33,#REF!,3,0))</f>
        <v/>
      </c>
      <c r="W33" s="112"/>
      <c r="X33" s="112"/>
      <c r="Y33" s="112"/>
      <c r="Z33" s="112" t="str">
        <f>IF(ISERROR(VLOOKUP($K33,#REF!,4,0)),"",VLOOKUP($K33,#REF!,4,0))</f>
        <v/>
      </c>
      <c r="AA33" s="112"/>
      <c r="AB33" s="112"/>
      <c r="AC33" s="112"/>
      <c r="AD33" s="112"/>
      <c r="AE33" s="112" t="str">
        <f t="shared" si="0"/>
        <v/>
      </c>
      <c r="AF33" s="112"/>
      <c r="AG33" s="112"/>
      <c r="AH33" s="112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112" t="str">
        <f>IF(VLOOKUP($AK$10,Лист1!J4:O15,6,0)&lt;&gt;"",IFERROR((Z33*V33),""),"")</f>
        <v/>
      </c>
      <c r="AT33" s="112"/>
      <c r="AU33" s="112"/>
      <c r="AV33" s="112"/>
      <c r="AW33" s="123"/>
      <c r="AX33" s="124"/>
      <c r="AY33" s="124"/>
      <c r="AZ33" s="125"/>
    </row>
    <row r="34" spans="1:52" s="19" customFormat="1" ht="12" customHeight="1">
      <c r="A34" s="80"/>
      <c r="B34" s="81"/>
      <c r="C34" s="81"/>
      <c r="D34" s="82"/>
      <c r="E34" s="135" t="str">
        <f ca="1">IF(K34&lt;&gt;"",TODAY(),"")</f>
        <v/>
      </c>
      <c r="F34" s="112"/>
      <c r="G34" s="112"/>
      <c r="H34" s="112"/>
      <c r="I34" s="112"/>
      <c r="J34" s="112"/>
      <c r="K34" s="131"/>
      <c r="L34" s="131"/>
      <c r="M34" s="131"/>
      <c r="N34" s="131"/>
      <c r="O34" s="112" t="str">
        <f>IF(ISERROR(VLOOKUP($K34,#REF!,6,0)),"",VLOOKUP($K34,#REF!,6,0))</f>
        <v/>
      </c>
      <c r="P34" s="112"/>
      <c r="Q34" s="112"/>
      <c r="R34" s="112"/>
      <c r="S34" s="112" t="str">
        <f>IF(ISERROR(VLOOKUP($K34,#REF!,2,0)),"",VLOOKUP($K34,#REF!,2,0))</f>
        <v/>
      </c>
      <c r="T34" s="112"/>
      <c r="U34" s="112"/>
      <c r="V34" s="112" t="str">
        <f>IF(ISERROR(VLOOKUP($K34,#REF!,3,0)),"",VLOOKUP($K34,#REF!,3,0))</f>
        <v/>
      </c>
      <c r="W34" s="112"/>
      <c r="X34" s="112"/>
      <c r="Y34" s="112"/>
      <c r="Z34" s="112" t="str">
        <f>IF(ISERROR(VLOOKUP($K34,#REF!,4,0)),"",VLOOKUP($K34,#REF!,4,0))</f>
        <v/>
      </c>
      <c r="AA34" s="112"/>
      <c r="AB34" s="112"/>
      <c r="AC34" s="112"/>
      <c r="AD34" s="112"/>
      <c r="AE34" s="112" t="str">
        <f t="shared" si="0"/>
        <v/>
      </c>
      <c r="AF34" s="112"/>
      <c r="AG34" s="112"/>
      <c r="AH34" s="112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112" t="str">
        <f>IF(VLOOKUP($AK$10,Лист1!J5:O16,6,0)&lt;&gt;"",IFERROR((Z34*V34),""),"")</f>
        <v/>
      </c>
      <c r="AT34" s="112"/>
      <c r="AU34" s="112"/>
      <c r="AV34" s="112"/>
      <c r="AW34" s="123"/>
      <c r="AX34" s="124"/>
      <c r="AY34" s="124"/>
      <c r="AZ34" s="125"/>
    </row>
    <row r="35" spans="1:52" s="19" customFormat="1" ht="12" customHeight="1">
      <c r="A35" s="83"/>
      <c r="B35" s="84"/>
      <c r="C35" s="84"/>
      <c r="D35" s="85"/>
      <c r="E35" s="86" t="s">
        <v>80</v>
      </c>
      <c r="F35" s="86"/>
      <c r="G35" s="86"/>
      <c r="H35" s="86"/>
      <c r="I35" s="86"/>
      <c r="J35" s="86"/>
      <c r="K35" s="86"/>
      <c r="L35" s="86"/>
      <c r="M35" s="86"/>
      <c r="N35" s="86"/>
      <c r="O35" s="87" t="s">
        <v>9</v>
      </c>
      <c r="P35" s="87"/>
      <c r="Q35" s="87"/>
      <c r="R35" s="87"/>
      <c r="S35" s="87" t="s">
        <v>9</v>
      </c>
      <c r="T35" s="87"/>
      <c r="U35" s="87"/>
      <c r="V35" s="87" t="s">
        <v>9</v>
      </c>
      <c r="W35" s="87"/>
      <c r="X35" s="87"/>
      <c r="Y35" s="87"/>
      <c r="Z35" s="87" t="s">
        <v>9</v>
      </c>
      <c r="AA35" s="87"/>
      <c r="AB35" s="87"/>
      <c r="AC35" s="87"/>
      <c r="AD35" s="87"/>
      <c r="AE35" s="87">
        <f>IFERROR(SUM(AE30:AH34),"")</f>
        <v>0</v>
      </c>
      <c r="AF35" s="87"/>
      <c r="AG35" s="87"/>
      <c r="AH35" s="87"/>
      <c r="AI35" s="87"/>
      <c r="AJ35" s="87"/>
      <c r="AK35" s="87"/>
      <c r="AL35" s="87"/>
      <c r="AM35" s="87"/>
      <c r="AN35" s="87"/>
      <c r="AO35" s="113">
        <f>IFERROR(SUM(AO30:AR34),"")</f>
        <v>0</v>
      </c>
      <c r="AP35" s="113"/>
      <c r="AQ35" s="113"/>
      <c r="AR35" s="113"/>
      <c r="AS35" s="113">
        <f>IFERROR(SUM(AS30:AV34),"")</f>
        <v>0</v>
      </c>
      <c r="AT35" s="113"/>
      <c r="AU35" s="113"/>
      <c r="AV35" s="113"/>
      <c r="AW35" s="126"/>
      <c r="AX35" s="127"/>
      <c r="AY35" s="127"/>
      <c r="AZ35" s="128"/>
    </row>
    <row r="36" spans="1:52" s="19" customFormat="1" ht="12" customHeight="1">
      <c r="A36" s="110" t="s">
        <v>49</v>
      </c>
      <c r="B36" s="111"/>
      <c r="C36" s="111"/>
      <c r="D36" s="111"/>
      <c r="E36" s="106" t="s">
        <v>81</v>
      </c>
      <c r="F36" s="106"/>
      <c r="G36" s="106"/>
      <c r="H36" s="106"/>
      <c r="I36" s="106"/>
      <c r="J36" s="106"/>
      <c r="K36" s="106"/>
      <c r="L36" s="106"/>
      <c r="M36" s="106"/>
      <c r="N36" s="106"/>
      <c r="O36" s="86" t="s">
        <v>9</v>
      </c>
      <c r="P36" s="86"/>
      <c r="Q36" s="86"/>
      <c r="R36" s="86"/>
      <c r="S36" s="86" t="s">
        <v>9</v>
      </c>
      <c r="T36" s="86"/>
      <c r="U36" s="86"/>
      <c r="V36" s="86" t="s">
        <v>9</v>
      </c>
      <c r="W36" s="86"/>
      <c r="X36" s="86"/>
      <c r="Y36" s="86"/>
      <c r="Z36" s="86" t="s">
        <v>9</v>
      </c>
      <c r="AA36" s="86"/>
      <c r="AB36" s="86"/>
      <c r="AC36" s="86"/>
      <c r="AD36" s="86"/>
      <c r="AE36" s="86" t="s">
        <v>9</v>
      </c>
      <c r="AF36" s="86"/>
      <c r="AG36" s="86"/>
      <c r="AH36" s="86"/>
      <c r="AI36" s="86" t="s">
        <v>9</v>
      </c>
      <c r="AJ36" s="86"/>
      <c r="AK36" s="86"/>
      <c r="AL36" s="86"/>
      <c r="AM36" s="86"/>
      <c r="AN36" s="86"/>
      <c r="AO36" s="86" t="s">
        <v>9</v>
      </c>
      <c r="AP36" s="86"/>
      <c r="AQ36" s="86"/>
      <c r="AR36" s="86"/>
      <c r="AS36" s="86" t="s">
        <v>9</v>
      </c>
      <c r="AT36" s="86"/>
      <c r="AU36" s="86"/>
      <c r="AV36" s="86"/>
      <c r="AW36" s="86"/>
      <c r="AX36" s="86"/>
      <c r="AY36" s="86"/>
      <c r="AZ36" s="132"/>
    </row>
    <row r="37" spans="1:52" s="19" customFormat="1" ht="12" customHeight="1" thickBot="1">
      <c r="A37" s="129" t="s">
        <v>50</v>
      </c>
      <c r="B37" s="130"/>
      <c r="C37" s="130"/>
      <c r="D37" s="130"/>
      <c r="E37" s="107" t="s">
        <v>82</v>
      </c>
      <c r="F37" s="107"/>
      <c r="G37" s="107"/>
      <c r="H37" s="107"/>
      <c r="I37" s="107"/>
      <c r="J37" s="107"/>
      <c r="K37" s="107"/>
      <c r="L37" s="107"/>
      <c r="M37" s="107"/>
      <c r="N37" s="107"/>
      <c r="O37" s="109" t="s">
        <v>9</v>
      </c>
      <c r="P37" s="109"/>
      <c r="Q37" s="109"/>
      <c r="R37" s="109"/>
      <c r="S37" s="109" t="s">
        <v>9</v>
      </c>
      <c r="T37" s="109"/>
      <c r="U37" s="109"/>
      <c r="V37" s="109" t="s">
        <v>9</v>
      </c>
      <c r="W37" s="109"/>
      <c r="X37" s="109"/>
      <c r="Y37" s="109"/>
      <c r="Z37" s="109" t="s">
        <v>9</v>
      </c>
      <c r="AA37" s="109"/>
      <c r="AB37" s="109"/>
      <c r="AC37" s="109"/>
      <c r="AD37" s="109"/>
      <c r="AE37" s="114">
        <f>AE35*20%</f>
        <v>0</v>
      </c>
      <c r="AF37" s="114"/>
      <c r="AG37" s="114"/>
      <c r="AH37" s="114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33">
        <f>AE37</f>
        <v>0</v>
      </c>
      <c r="AX37" s="133"/>
      <c r="AY37" s="133"/>
      <c r="AZ37" s="134"/>
    </row>
    <row r="38" spans="1:52" s="19" customFormat="1" ht="12" customHeight="1" thickBot="1">
      <c r="A38" s="103" t="s">
        <v>51</v>
      </c>
      <c r="B38" s="104"/>
      <c r="C38" s="104"/>
      <c r="D38" s="105"/>
      <c r="E38" s="108" t="s">
        <v>83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2" t="s">
        <v>9</v>
      </c>
      <c r="P38" s="102"/>
      <c r="Q38" s="102"/>
      <c r="R38" s="102"/>
      <c r="S38" s="102" t="s">
        <v>9</v>
      </c>
      <c r="T38" s="102"/>
      <c r="U38" s="102"/>
      <c r="V38" s="102" t="s">
        <v>9</v>
      </c>
      <c r="W38" s="102"/>
      <c r="X38" s="102"/>
      <c r="Y38" s="102"/>
      <c r="Z38" s="102" t="s">
        <v>9</v>
      </c>
      <c r="AA38" s="102"/>
      <c r="AB38" s="102"/>
      <c r="AC38" s="102"/>
      <c r="AD38" s="102"/>
      <c r="AE38" s="115">
        <f>SUM(AE35,AE37)</f>
        <v>0</v>
      </c>
      <c r="AF38" s="115"/>
      <c r="AG38" s="115"/>
      <c r="AH38" s="115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16">
        <f>AW30+AW37</f>
        <v>0</v>
      </c>
      <c r="AX38" s="116"/>
      <c r="AY38" s="116"/>
      <c r="AZ38" s="117"/>
    </row>
    <row r="39" spans="1:52" ht="24.75" customHeight="1">
      <c r="A39" s="118" t="s">
        <v>70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52" ht="11.25" customHeight="1">
      <c r="B40" s="7"/>
      <c r="C40" s="7"/>
      <c r="E40" s="7"/>
      <c r="F40" s="136"/>
      <c r="G40" s="137"/>
      <c r="H40" s="137"/>
      <c r="I40" s="138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</row>
    <row r="41" spans="1:52" ht="15.75" customHeight="1">
      <c r="A41" s="6"/>
      <c r="B41" s="8"/>
      <c r="C41" s="8"/>
      <c r="D41" s="7"/>
      <c r="E41" s="7"/>
      <c r="F41" s="139"/>
      <c r="G41" s="101"/>
      <c r="H41" s="101"/>
      <c r="I41" s="140"/>
      <c r="V41" s="142" t="s">
        <v>41</v>
      </c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</row>
    <row r="42" spans="1:52" ht="12" customHeight="1">
      <c r="A42" s="143" t="s">
        <v>71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</row>
    <row r="43" spans="1:52" ht="12" customHeight="1">
      <c r="A43" s="144" t="s">
        <v>42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</row>
    <row r="44" spans="1:52" ht="11.25" customHeight="1">
      <c r="A44" s="21" t="s">
        <v>8</v>
      </c>
      <c r="B44" s="164">
        <f>IFERROR(VLOOKUP(AK10,Лист1!J1:O12,6,0),"")</f>
        <v>0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</row>
    <row r="45" spans="1:52" ht="12" customHeight="1">
      <c r="B45" s="165" t="s">
        <v>43</v>
      </c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</row>
    <row r="46" spans="1:52" ht="5.25" customHeight="1"/>
    <row r="47" spans="1:52" ht="33.75" customHeight="1">
      <c r="AM47" s="195" t="s">
        <v>52</v>
      </c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</row>
    <row r="48" spans="1:52" ht="18.75">
      <c r="B48" s="199" t="s">
        <v>53</v>
      </c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200"/>
      <c r="T48" s="7"/>
      <c r="U48" s="22" t="str">
        <f>IFERROR(VLOOKUP(AJ7,AJ7:AP7,1,0),"")</f>
        <v>1</v>
      </c>
      <c r="V48" s="22" t="str">
        <f t="shared" ref="V48:AA48" si="1">IFERROR(VLOOKUP(AK7,AK7:AQ7,1,0),"")</f>
        <v>2</v>
      </c>
      <c r="W48" s="22" t="str">
        <f t="shared" si="1"/>
        <v>3</v>
      </c>
      <c r="X48" s="22" t="str">
        <f t="shared" si="1"/>
        <v>3</v>
      </c>
      <c r="Y48" s="22" t="str">
        <f t="shared" si="1"/>
        <v>4</v>
      </c>
      <c r="Z48" s="22" t="str">
        <f t="shared" si="1"/>
        <v>3</v>
      </c>
      <c r="AA48" s="22" t="str">
        <f t="shared" si="1"/>
        <v>6</v>
      </c>
      <c r="AB48" s="196" t="s">
        <v>3</v>
      </c>
      <c r="AC48" s="197"/>
      <c r="AD48" s="25" t="str">
        <f>IFERROR(VLOOKUP(AR7,AR7:AV7,1,0),"")</f>
        <v>4</v>
      </c>
      <c r="AE48" s="25" t="str">
        <f t="shared" ref="AE48:AH48" si="2">IFERROR(VLOOKUP(AS7,AS7:AW7,1,0),"")</f>
        <v>5</v>
      </c>
      <c r="AF48" s="25" t="str">
        <f t="shared" si="2"/>
        <v>6</v>
      </c>
      <c r="AG48" s="25" t="str">
        <f t="shared" si="2"/>
        <v>6</v>
      </c>
      <c r="AH48" s="25" t="str">
        <f t="shared" si="2"/>
        <v>4</v>
      </c>
      <c r="AI48" s="198" t="s">
        <v>10</v>
      </c>
      <c r="AJ48" s="198"/>
      <c r="AK48" s="22">
        <f ca="1">1*IF(DAY(NOW())&lt;10,0,MID(DAY(NOW()),1,1))</f>
        <v>0</v>
      </c>
      <c r="AL48" s="22">
        <f ca="1">1*RIGHT(DAY(NOW()),1)</f>
        <v>3</v>
      </c>
      <c r="AM48" s="22">
        <f ca="1">1*IF(MONTH(NOW())&lt;10,0,MID(MONTH(NOW()),1,1))</f>
        <v>0</v>
      </c>
      <c r="AN48" s="22">
        <f ca="1">1*RIGHT(MONTH(NOW()),1)</f>
        <v>3</v>
      </c>
      <c r="AO48" s="22">
        <f ca="1">1*MID(YEAR(NOW()),1,1)</f>
        <v>2</v>
      </c>
      <c r="AP48" s="22">
        <f ca="1">1*MID(YEAR(NOW()),2,1)</f>
        <v>0</v>
      </c>
      <c r="AQ48" s="22">
        <f ca="1">1*MID(YEAR(NOW()),3,1)</f>
        <v>1</v>
      </c>
      <c r="AR48" s="22">
        <f ca="1">1*MID(YEAR(NOW()),4,1)</f>
        <v>4</v>
      </c>
    </row>
    <row r="50" spans="1:52">
      <c r="B50" s="201" t="s">
        <v>54</v>
      </c>
      <c r="C50" s="201"/>
      <c r="D50" s="22">
        <f ca="1">1*IF(DAY(NOW())&lt;10,0,MID(DAY(NOW()),1,1))</f>
        <v>0</v>
      </c>
      <c r="E50" s="22">
        <f ca="1">1*RIGHT(DAY(NOW()),1)</f>
        <v>3</v>
      </c>
      <c r="F50" s="22">
        <f ca="1">1*IF(MONTH(NOW())&lt;10,0,MID(MONTH(NOW()),1,1))</f>
        <v>0</v>
      </c>
      <c r="G50" s="22">
        <f ca="1">1*RIGHT(MONTH(NOW()),1)</f>
        <v>3</v>
      </c>
      <c r="H50" s="22">
        <f ca="1">1*MID(YEAR(NOW()),1,1)</f>
        <v>2</v>
      </c>
      <c r="I50" s="22">
        <f ca="1">1*MID(YEAR(NOW()),2,1)</f>
        <v>0</v>
      </c>
      <c r="J50" s="22">
        <f ca="1">1*MID(YEAR(NOW()),3,1)</f>
        <v>1</v>
      </c>
      <c r="K50" s="22">
        <f ca="1">1*MID(YEAR(NOW()),4,1)</f>
        <v>4</v>
      </c>
    </row>
    <row r="51" spans="1:52">
      <c r="D51" s="88" t="s">
        <v>55</v>
      </c>
      <c r="E51" s="88"/>
      <c r="F51" s="88"/>
      <c r="G51" s="88"/>
      <c r="H51" s="88"/>
      <c r="I51" s="88"/>
      <c r="J51" s="88"/>
      <c r="K51" s="88"/>
    </row>
    <row r="52" spans="1:52" ht="13.5" thickBot="1"/>
    <row r="53" spans="1:52" ht="63" customHeight="1">
      <c r="A53" s="220" t="s">
        <v>56</v>
      </c>
      <c r="B53" s="216"/>
      <c r="C53" s="214" t="s">
        <v>73</v>
      </c>
      <c r="D53" s="215"/>
      <c r="E53" s="215"/>
      <c r="F53" s="215"/>
      <c r="G53" s="215"/>
      <c r="H53" s="215"/>
      <c r="I53" s="216"/>
      <c r="J53" s="214"/>
      <c r="K53" s="215"/>
      <c r="L53" s="215"/>
      <c r="M53" s="216"/>
      <c r="N53" s="214" t="s">
        <v>57</v>
      </c>
      <c r="O53" s="215"/>
      <c r="P53" s="215"/>
      <c r="Q53" s="216"/>
      <c r="R53" s="211" t="s">
        <v>58</v>
      </c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27"/>
      <c r="AK53" s="211" t="s">
        <v>59</v>
      </c>
      <c r="AL53" s="212"/>
      <c r="AM53" s="212"/>
      <c r="AN53" s="212"/>
      <c r="AO53" s="212"/>
      <c r="AP53" s="212"/>
      <c r="AQ53" s="212"/>
      <c r="AR53" s="227"/>
      <c r="AS53" s="211" t="s">
        <v>60</v>
      </c>
      <c r="AT53" s="212"/>
      <c r="AU53" s="212"/>
      <c r="AV53" s="212"/>
      <c r="AW53" s="212"/>
      <c r="AX53" s="212"/>
      <c r="AY53" s="212"/>
      <c r="AZ53" s="213"/>
    </row>
    <row r="54" spans="1:52" ht="41.25" customHeight="1" thickBot="1">
      <c r="A54" s="221"/>
      <c r="B54" s="219"/>
      <c r="C54" s="217"/>
      <c r="D54" s="218"/>
      <c r="E54" s="218"/>
      <c r="F54" s="218"/>
      <c r="G54" s="218"/>
      <c r="H54" s="218"/>
      <c r="I54" s="219"/>
      <c r="J54" s="217"/>
      <c r="K54" s="218"/>
      <c r="L54" s="218"/>
      <c r="M54" s="219"/>
      <c r="N54" s="217"/>
      <c r="O54" s="218"/>
      <c r="P54" s="218"/>
      <c r="Q54" s="219"/>
      <c r="R54" s="203" t="s">
        <v>61</v>
      </c>
      <c r="S54" s="203"/>
      <c r="T54" s="203"/>
      <c r="U54" s="203"/>
      <c r="V54" s="203" t="s">
        <v>62</v>
      </c>
      <c r="W54" s="203"/>
      <c r="X54" s="203"/>
      <c r="Y54" s="203"/>
      <c r="Z54" s="203"/>
      <c r="AA54" s="203"/>
      <c r="AB54" s="203" t="s">
        <v>63</v>
      </c>
      <c r="AC54" s="203"/>
      <c r="AD54" s="203"/>
      <c r="AE54" s="203"/>
      <c r="AF54" s="203" t="s">
        <v>64</v>
      </c>
      <c r="AG54" s="203"/>
      <c r="AH54" s="203"/>
      <c r="AI54" s="203"/>
      <c r="AJ54" s="203"/>
      <c r="AK54" s="203" t="s">
        <v>61</v>
      </c>
      <c r="AL54" s="203"/>
      <c r="AM54" s="203"/>
      <c r="AN54" s="203"/>
      <c r="AO54" s="203" t="s">
        <v>63</v>
      </c>
      <c r="AP54" s="203"/>
      <c r="AQ54" s="203"/>
      <c r="AR54" s="203"/>
      <c r="AS54" s="203" t="s">
        <v>61</v>
      </c>
      <c r="AT54" s="203"/>
      <c r="AU54" s="203"/>
      <c r="AV54" s="203"/>
      <c r="AW54" s="203" t="s">
        <v>63</v>
      </c>
      <c r="AX54" s="203"/>
      <c r="AY54" s="203"/>
      <c r="AZ54" s="208"/>
    </row>
    <row r="55" spans="1:52" ht="13.5" customHeight="1" thickBot="1">
      <c r="A55" s="223">
        <v>1</v>
      </c>
      <c r="B55" s="202"/>
      <c r="C55" s="202">
        <v>2</v>
      </c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>
        <v>4</v>
      </c>
      <c r="O55" s="202"/>
      <c r="P55" s="202"/>
      <c r="Q55" s="202"/>
      <c r="R55" s="202">
        <v>5</v>
      </c>
      <c r="S55" s="202"/>
      <c r="T55" s="202"/>
      <c r="U55" s="202"/>
      <c r="V55" s="202">
        <v>6</v>
      </c>
      <c r="W55" s="202"/>
      <c r="X55" s="202"/>
      <c r="Y55" s="202"/>
      <c r="Z55" s="202"/>
      <c r="AA55" s="202"/>
      <c r="AB55" s="202">
        <v>7</v>
      </c>
      <c r="AC55" s="202"/>
      <c r="AD55" s="202"/>
      <c r="AE55" s="202"/>
      <c r="AF55" s="202">
        <v>8</v>
      </c>
      <c r="AG55" s="202"/>
      <c r="AH55" s="202"/>
      <c r="AI55" s="202"/>
      <c r="AJ55" s="202"/>
      <c r="AK55" s="202">
        <v>9</v>
      </c>
      <c r="AL55" s="202"/>
      <c r="AM55" s="202"/>
      <c r="AN55" s="202"/>
      <c r="AO55" s="202">
        <v>10</v>
      </c>
      <c r="AP55" s="202"/>
      <c r="AQ55" s="202"/>
      <c r="AR55" s="202"/>
      <c r="AS55" s="202">
        <v>11</v>
      </c>
      <c r="AT55" s="202"/>
      <c r="AU55" s="202"/>
      <c r="AV55" s="202"/>
      <c r="AW55" s="202">
        <v>12</v>
      </c>
      <c r="AX55" s="202"/>
      <c r="AY55" s="202"/>
      <c r="AZ55" s="206"/>
    </row>
    <row r="56" spans="1:52" ht="13.5" customHeight="1">
      <c r="A56" s="224"/>
      <c r="B56" s="222"/>
      <c r="C56" s="22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4" t="str">
        <f>O30</f>
        <v/>
      </c>
      <c r="O56" s="194"/>
      <c r="P56" s="194"/>
      <c r="Q56" s="194"/>
      <c r="R56" s="192" t="str">
        <f>S30</f>
        <v/>
      </c>
      <c r="S56" s="192"/>
      <c r="T56" s="192"/>
      <c r="U56" s="192"/>
      <c r="V56" s="192" t="str">
        <f>Z30</f>
        <v/>
      </c>
      <c r="W56" s="192"/>
      <c r="X56" s="192"/>
      <c r="Y56" s="192"/>
      <c r="Z56" s="192"/>
      <c r="AA56" s="192"/>
      <c r="AB56" s="192">
        <f>V30</f>
        <v>0</v>
      </c>
      <c r="AC56" s="192"/>
      <c r="AD56" s="192"/>
      <c r="AE56" s="192"/>
      <c r="AF56" s="209"/>
      <c r="AG56" s="209"/>
      <c r="AH56" s="209"/>
      <c r="AI56" s="209"/>
      <c r="AJ56" s="209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207"/>
    </row>
    <row r="57" spans="1:52" ht="13.5" customHeight="1">
      <c r="A57" s="225"/>
      <c r="B57" s="226"/>
      <c r="C57" s="22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4" t="str">
        <f t="shared" ref="N57:N60" si="3">O31</f>
        <v/>
      </c>
      <c r="O57" s="194"/>
      <c r="P57" s="194"/>
      <c r="Q57" s="194"/>
      <c r="R57" s="192" t="str">
        <f t="shared" ref="R57:R60" si="4">S31</f>
        <v/>
      </c>
      <c r="S57" s="192"/>
      <c r="T57" s="192"/>
      <c r="U57" s="192"/>
      <c r="V57" s="192" t="str">
        <f t="shared" ref="V57:V60" si="5">Z31</f>
        <v/>
      </c>
      <c r="W57" s="192"/>
      <c r="X57" s="192"/>
      <c r="Y57" s="192"/>
      <c r="Z57" s="192"/>
      <c r="AA57" s="192"/>
      <c r="AB57" s="192">
        <f t="shared" ref="AB57:AB60" si="6">V31</f>
        <v>0</v>
      </c>
      <c r="AC57" s="192"/>
      <c r="AD57" s="192"/>
      <c r="AE57" s="192"/>
      <c r="AF57" s="193"/>
      <c r="AG57" s="193"/>
      <c r="AH57" s="193"/>
      <c r="AI57" s="193"/>
      <c r="AJ57" s="193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1"/>
    </row>
    <row r="58" spans="1:52" ht="13.5" customHeight="1">
      <c r="A58" s="225"/>
      <c r="B58" s="226"/>
      <c r="C58" s="22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4" t="str">
        <f t="shared" si="3"/>
        <v/>
      </c>
      <c r="O58" s="194"/>
      <c r="P58" s="194"/>
      <c r="Q58" s="194"/>
      <c r="R58" s="192" t="str">
        <f t="shared" si="4"/>
        <v/>
      </c>
      <c r="S58" s="192"/>
      <c r="T58" s="192"/>
      <c r="U58" s="192"/>
      <c r="V58" s="192" t="str">
        <f t="shared" si="5"/>
        <v/>
      </c>
      <c r="W58" s="192"/>
      <c r="X58" s="192"/>
      <c r="Y58" s="192"/>
      <c r="Z58" s="192"/>
      <c r="AA58" s="192"/>
      <c r="AB58" s="192" t="str">
        <f t="shared" si="6"/>
        <v/>
      </c>
      <c r="AC58" s="192"/>
      <c r="AD58" s="192"/>
      <c r="AE58" s="192"/>
      <c r="AF58" s="193"/>
      <c r="AG58" s="193"/>
      <c r="AH58" s="193"/>
      <c r="AI58" s="193"/>
      <c r="AJ58" s="193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1"/>
    </row>
    <row r="59" spans="1:52" ht="13.5" customHeight="1">
      <c r="A59" s="225"/>
      <c r="B59" s="226"/>
      <c r="C59" s="22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4" t="str">
        <f t="shared" si="3"/>
        <v/>
      </c>
      <c r="O59" s="194"/>
      <c r="P59" s="194"/>
      <c r="Q59" s="194"/>
      <c r="R59" s="192" t="str">
        <f t="shared" si="4"/>
        <v/>
      </c>
      <c r="S59" s="192"/>
      <c r="T59" s="192"/>
      <c r="U59" s="192"/>
      <c r="V59" s="192" t="str">
        <f t="shared" si="5"/>
        <v/>
      </c>
      <c r="W59" s="192"/>
      <c r="X59" s="192"/>
      <c r="Y59" s="192"/>
      <c r="Z59" s="192"/>
      <c r="AA59" s="192"/>
      <c r="AB59" s="192" t="str">
        <f t="shared" si="6"/>
        <v/>
      </c>
      <c r="AC59" s="192"/>
      <c r="AD59" s="192"/>
      <c r="AE59" s="192"/>
      <c r="AF59" s="193"/>
      <c r="AG59" s="193"/>
      <c r="AH59" s="193"/>
      <c r="AI59" s="193"/>
      <c r="AJ59" s="193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1"/>
    </row>
    <row r="60" spans="1:52" ht="13.5" customHeight="1">
      <c r="A60" s="225"/>
      <c r="B60" s="226"/>
      <c r="C60" s="222"/>
      <c r="D60" s="192"/>
      <c r="E60" s="192"/>
      <c r="F60" s="192"/>
      <c r="G60" s="192"/>
      <c r="H60" s="192"/>
      <c r="I60" s="192"/>
      <c r="J60" s="192" t="str">
        <f t="shared" ref="J60" si="7">S34</f>
        <v/>
      </c>
      <c r="K60" s="192"/>
      <c r="L60" s="192"/>
      <c r="M60" s="192"/>
      <c r="N60" s="194" t="str">
        <f t="shared" si="3"/>
        <v/>
      </c>
      <c r="O60" s="194"/>
      <c r="P60" s="194"/>
      <c r="Q60" s="194"/>
      <c r="R60" s="192" t="str">
        <f t="shared" si="4"/>
        <v/>
      </c>
      <c r="S60" s="192"/>
      <c r="T60" s="192"/>
      <c r="U60" s="192"/>
      <c r="V60" s="192" t="str">
        <f t="shared" si="5"/>
        <v/>
      </c>
      <c r="W60" s="192"/>
      <c r="X60" s="192"/>
      <c r="Y60" s="192"/>
      <c r="Z60" s="192"/>
      <c r="AA60" s="192"/>
      <c r="AB60" s="192" t="str">
        <f t="shared" si="6"/>
        <v/>
      </c>
      <c r="AC60" s="192"/>
      <c r="AD60" s="192"/>
      <c r="AE60" s="192"/>
      <c r="AF60" s="193"/>
      <c r="AG60" s="193"/>
      <c r="AH60" s="193"/>
      <c r="AI60" s="193"/>
      <c r="AJ60" s="193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1"/>
    </row>
    <row r="61" spans="1:52" ht="13.5" customHeight="1">
      <c r="A61" s="225"/>
      <c r="B61" s="226"/>
      <c r="C61" s="22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4"/>
      <c r="O61" s="194"/>
      <c r="P61" s="194"/>
      <c r="Q61" s="194"/>
      <c r="R61" s="192"/>
      <c r="S61" s="192"/>
      <c r="T61" s="192"/>
      <c r="U61" s="192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3"/>
      <c r="AG61" s="193"/>
      <c r="AH61" s="193"/>
      <c r="AI61" s="193"/>
      <c r="AJ61" s="193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1"/>
    </row>
    <row r="62" spans="1:52" ht="13.5" customHeight="1" thickBot="1">
      <c r="A62" s="229" t="s">
        <v>65</v>
      </c>
      <c r="B62" s="230"/>
      <c r="C62" s="230"/>
      <c r="D62" s="230"/>
      <c r="E62" s="230"/>
      <c r="F62" s="230"/>
      <c r="G62" s="230"/>
      <c r="H62" s="230"/>
      <c r="I62" s="231"/>
      <c r="J62" s="228"/>
      <c r="K62" s="228"/>
      <c r="L62" s="228"/>
      <c r="M62" s="228"/>
      <c r="N62" s="228" t="s">
        <v>66</v>
      </c>
      <c r="O62" s="228"/>
      <c r="P62" s="228"/>
      <c r="Q62" s="228"/>
      <c r="R62" s="228" t="s">
        <v>66</v>
      </c>
      <c r="S62" s="228"/>
      <c r="T62" s="228"/>
      <c r="U62" s="228"/>
      <c r="V62" s="204" t="s">
        <v>66</v>
      </c>
      <c r="W62" s="204"/>
      <c r="X62" s="204"/>
      <c r="Y62" s="204"/>
      <c r="Z62" s="204"/>
      <c r="AA62" s="204"/>
      <c r="AB62" s="204" t="s">
        <v>66</v>
      </c>
      <c r="AC62" s="204"/>
      <c r="AD62" s="204"/>
      <c r="AE62" s="204"/>
      <c r="AF62" s="210"/>
      <c r="AG62" s="210"/>
      <c r="AH62" s="210"/>
      <c r="AI62" s="210"/>
      <c r="AJ62" s="210"/>
      <c r="AK62" s="204" t="s">
        <v>66</v>
      </c>
      <c r="AL62" s="204"/>
      <c r="AM62" s="204"/>
      <c r="AN62" s="204"/>
      <c r="AO62" s="204" t="s">
        <v>66</v>
      </c>
      <c r="AP62" s="204"/>
      <c r="AQ62" s="204"/>
      <c r="AR62" s="204"/>
      <c r="AS62" s="204" t="s">
        <v>66</v>
      </c>
      <c r="AT62" s="204"/>
      <c r="AU62" s="204"/>
      <c r="AV62" s="204"/>
      <c r="AW62" s="204" t="s">
        <v>66</v>
      </c>
      <c r="AX62" s="204"/>
      <c r="AY62" s="204"/>
      <c r="AZ62" s="205"/>
    </row>
    <row r="66" spans="2:19"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</row>
    <row r="67" spans="2:19">
      <c r="B67" s="88" t="s">
        <v>67</v>
      </c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</sheetData>
  <scenarios current="0" show="0">
    <scenario name="х" locked="1" count="8" user="Admin" comment="Автор: Admin , 02.03.2014">
      <inputCells r="P1" val=""/>
      <inputCells r="Q1" val=""/>
      <inputCells r="R1" val=""/>
      <inputCells r="S1" val=""/>
      <inputCells r="P2" val=""/>
      <inputCells r="Q2" val=""/>
      <inputCells r="R2" val=""/>
      <inputCells r="S2" val=""/>
    </scenario>
  </scenarios>
  <dataConsolidate>
    <dataRefs count="1">
      <dataRef ref="B25:B108" sheet="Прайс_і_покупці"/>
    </dataRefs>
  </dataConsolidate>
  <mergeCells count="290">
    <mergeCell ref="B66:S66"/>
    <mergeCell ref="R53:AJ53"/>
    <mergeCell ref="AK53:AR53"/>
    <mergeCell ref="C55:I55"/>
    <mergeCell ref="C56:I56"/>
    <mergeCell ref="R62:U62"/>
    <mergeCell ref="N55:Q55"/>
    <mergeCell ref="B67:S67"/>
    <mergeCell ref="A59:B59"/>
    <mergeCell ref="A60:B60"/>
    <mergeCell ref="A61:B61"/>
    <mergeCell ref="J59:M59"/>
    <mergeCell ref="J60:M60"/>
    <mergeCell ref="J61:M61"/>
    <mergeCell ref="J62:M62"/>
    <mergeCell ref="R59:U59"/>
    <mergeCell ref="R60:U60"/>
    <mergeCell ref="N62:Q62"/>
    <mergeCell ref="A62:I62"/>
    <mergeCell ref="AB56:AE56"/>
    <mergeCell ref="AB57:AE57"/>
    <mergeCell ref="V59:AA59"/>
    <mergeCell ref="V60:AA60"/>
    <mergeCell ref="R54:U54"/>
    <mergeCell ref="AS53:AZ53"/>
    <mergeCell ref="N53:Q54"/>
    <mergeCell ref="A53:B54"/>
    <mergeCell ref="C59:I59"/>
    <mergeCell ref="C60:I60"/>
    <mergeCell ref="C61:I61"/>
    <mergeCell ref="A55:B55"/>
    <mergeCell ref="A56:B56"/>
    <mergeCell ref="A57:B57"/>
    <mergeCell ref="A58:B58"/>
    <mergeCell ref="J53:M54"/>
    <mergeCell ref="C53:I54"/>
    <mergeCell ref="J55:M55"/>
    <mergeCell ref="J56:M56"/>
    <mergeCell ref="J57:M57"/>
    <mergeCell ref="N56:Q56"/>
    <mergeCell ref="C57:I57"/>
    <mergeCell ref="C58:I58"/>
    <mergeCell ref="N58:Q58"/>
    <mergeCell ref="N59:Q59"/>
    <mergeCell ref="N60:Q60"/>
    <mergeCell ref="N61:Q61"/>
    <mergeCell ref="AB54:AE54"/>
    <mergeCell ref="AB55:AE55"/>
    <mergeCell ref="V62:AA62"/>
    <mergeCell ref="AF59:AJ59"/>
    <mergeCell ref="AF60:AJ60"/>
    <mergeCell ref="AF61:AJ61"/>
    <mergeCell ref="AF62:AJ62"/>
    <mergeCell ref="AB59:AE59"/>
    <mergeCell ref="AB60:AE60"/>
    <mergeCell ref="AB61:AE61"/>
    <mergeCell ref="AB62:AE62"/>
    <mergeCell ref="AK62:AN62"/>
    <mergeCell ref="AS61:AV61"/>
    <mergeCell ref="AS62:AV62"/>
    <mergeCell ref="AO60:AR60"/>
    <mergeCell ref="AO61:AR61"/>
    <mergeCell ref="AF54:AJ54"/>
    <mergeCell ref="AF55:AJ55"/>
    <mergeCell ref="AF56:AJ56"/>
    <mergeCell ref="AF57:AJ57"/>
    <mergeCell ref="AO62:AR62"/>
    <mergeCell ref="AK54:AN54"/>
    <mergeCell ref="AK55:AN55"/>
    <mergeCell ref="AK56:AN56"/>
    <mergeCell ref="AK57:AN57"/>
    <mergeCell ref="AK58:AN58"/>
    <mergeCell ref="AW61:AZ61"/>
    <mergeCell ref="AO59:AR59"/>
    <mergeCell ref="AK59:AN59"/>
    <mergeCell ref="AK60:AN60"/>
    <mergeCell ref="AK61:AN61"/>
    <mergeCell ref="V61:AA61"/>
    <mergeCell ref="R61:U61"/>
    <mergeCell ref="AW62:AZ62"/>
    <mergeCell ref="D51:K51"/>
    <mergeCell ref="AW55:AZ55"/>
    <mergeCell ref="AW56:AZ56"/>
    <mergeCell ref="AW54:AZ54"/>
    <mergeCell ref="AS58:AV58"/>
    <mergeCell ref="AS59:AV59"/>
    <mergeCell ref="AS60:AV60"/>
    <mergeCell ref="AS54:AV54"/>
    <mergeCell ref="AS55:AV55"/>
    <mergeCell ref="AS56:AV56"/>
    <mergeCell ref="AS57:AV57"/>
    <mergeCell ref="AW59:AZ59"/>
    <mergeCell ref="AW60:AZ60"/>
    <mergeCell ref="AO54:AR54"/>
    <mergeCell ref="AO55:AR55"/>
    <mergeCell ref="AO56:AR56"/>
    <mergeCell ref="O29:R29"/>
    <mergeCell ref="S29:U29"/>
    <mergeCell ref="AW57:AZ57"/>
    <mergeCell ref="J58:M58"/>
    <mergeCell ref="AW58:AZ58"/>
    <mergeCell ref="AF58:AJ58"/>
    <mergeCell ref="V58:AA58"/>
    <mergeCell ref="AB58:AE58"/>
    <mergeCell ref="N57:Q57"/>
    <mergeCell ref="R58:U58"/>
    <mergeCell ref="AM47:AZ47"/>
    <mergeCell ref="AB48:AC48"/>
    <mergeCell ref="AI48:AJ48"/>
    <mergeCell ref="B48:S48"/>
    <mergeCell ref="B50:C50"/>
    <mergeCell ref="AO57:AR57"/>
    <mergeCell ref="AO58:AR58"/>
    <mergeCell ref="R55:U55"/>
    <mergeCell ref="R56:U56"/>
    <mergeCell ref="R57:U57"/>
    <mergeCell ref="V54:AA54"/>
    <mergeCell ref="V55:AA55"/>
    <mergeCell ref="V56:AA56"/>
    <mergeCell ref="V57:AA57"/>
    <mergeCell ref="O15:X16"/>
    <mergeCell ref="I10:X11"/>
    <mergeCell ref="A10:H11"/>
    <mergeCell ref="T6:AG6"/>
    <mergeCell ref="B44:AX44"/>
    <mergeCell ref="B45:AX45"/>
    <mergeCell ref="AM1:AZ4"/>
    <mergeCell ref="A5:O5"/>
    <mergeCell ref="A6:S6"/>
    <mergeCell ref="P5:S5"/>
    <mergeCell ref="A1:E4"/>
    <mergeCell ref="F1:O1"/>
    <mergeCell ref="F2:O2"/>
    <mergeCell ref="F3:O4"/>
    <mergeCell ref="P1:S1"/>
    <mergeCell ref="P2:S2"/>
    <mergeCell ref="P3:S3"/>
    <mergeCell ref="P4:Q4"/>
    <mergeCell ref="R4:S4"/>
    <mergeCell ref="AF9:AZ9"/>
    <mergeCell ref="AS27:AV28"/>
    <mergeCell ref="A23:I24"/>
    <mergeCell ref="K9:X9"/>
    <mergeCell ref="E32:J32"/>
    <mergeCell ref="AC10:AJ11"/>
    <mergeCell ref="AJ12:AZ12"/>
    <mergeCell ref="H12:X12"/>
    <mergeCell ref="AK10:AZ11"/>
    <mergeCell ref="A19:N20"/>
    <mergeCell ref="AU22:AZ22"/>
    <mergeCell ref="E26:J28"/>
    <mergeCell ref="E29:J29"/>
    <mergeCell ref="A21:I22"/>
    <mergeCell ref="K29:N29"/>
    <mergeCell ref="A15:N16"/>
    <mergeCell ref="A29:D29"/>
    <mergeCell ref="A26:D28"/>
    <mergeCell ref="J24:AN24"/>
    <mergeCell ref="J25:AN25"/>
    <mergeCell ref="V26:Y28"/>
    <mergeCell ref="AI28:AN28"/>
    <mergeCell ref="Z26:AD28"/>
    <mergeCell ref="AQ15:AZ16"/>
    <mergeCell ref="AA19:AP20"/>
    <mergeCell ref="O26:R28"/>
    <mergeCell ref="S26:U28"/>
    <mergeCell ref="K26:N28"/>
    <mergeCell ref="J23:AH23"/>
    <mergeCell ref="A42:AZ42"/>
    <mergeCell ref="A43:AZ43"/>
    <mergeCell ref="AS33:AV33"/>
    <mergeCell ref="AS34:AV34"/>
    <mergeCell ref="AS35:AV35"/>
    <mergeCell ref="AS38:AV38"/>
    <mergeCell ref="AE35:AH35"/>
    <mergeCell ref="S34:U34"/>
    <mergeCell ref="AE30:AH30"/>
    <mergeCell ref="AE31:AH31"/>
    <mergeCell ref="AE32:AH32"/>
    <mergeCell ref="AE33:AH33"/>
    <mergeCell ref="AI32:AN32"/>
    <mergeCell ref="AI33:AN33"/>
    <mergeCell ref="AE34:AH34"/>
    <mergeCell ref="O33:R33"/>
    <mergeCell ref="Z31:AD31"/>
    <mergeCell ref="Z32:AD32"/>
    <mergeCell ref="Z33:AD33"/>
    <mergeCell ref="V33:Y33"/>
    <mergeCell ref="V32:Y32"/>
    <mergeCell ref="S31:U31"/>
    <mergeCell ref="S32:U32"/>
    <mergeCell ref="S33:U33"/>
    <mergeCell ref="F40:I41"/>
    <mergeCell ref="AE29:AH29"/>
    <mergeCell ref="AI29:AN29"/>
    <mergeCell ref="AI30:AN30"/>
    <mergeCell ref="Z38:AD38"/>
    <mergeCell ref="AI38:AN38"/>
    <mergeCell ref="V29:Y29"/>
    <mergeCell ref="V30:Y30"/>
    <mergeCell ref="V31:Y31"/>
    <mergeCell ref="Z29:AD29"/>
    <mergeCell ref="Z34:AD34"/>
    <mergeCell ref="O34:R34"/>
    <mergeCell ref="S30:U30"/>
    <mergeCell ref="K30:N30"/>
    <mergeCell ref="K31:N31"/>
    <mergeCell ref="K32:N32"/>
    <mergeCell ref="O30:R30"/>
    <mergeCell ref="O31:R31"/>
    <mergeCell ref="O32:R32"/>
    <mergeCell ref="E34:J34"/>
    <mergeCell ref="E31:J31"/>
    <mergeCell ref="K33:N33"/>
    <mergeCell ref="V40:AX40"/>
    <mergeCell ref="V41:AX41"/>
    <mergeCell ref="AS30:AV30"/>
    <mergeCell ref="AE38:AH38"/>
    <mergeCell ref="AW38:AZ38"/>
    <mergeCell ref="A39:AZ39"/>
    <mergeCell ref="AO38:AR38"/>
    <mergeCell ref="V36:Y36"/>
    <mergeCell ref="S36:U36"/>
    <mergeCell ref="AW30:AZ35"/>
    <mergeCell ref="AO31:AR31"/>
    <mergeCell ref="AO32:AR32"/>
    <mergeCell ref="A37:D37"/>
    <mergeCell ref="K34:N34"/>
    <mergeCell ref="Z36:AD36"/>
    <mergeCell ref="Z37:AD37"/>
    <mergeCell ref="AE36:AH36"/>
    <mergeCell ref="V37:Y37"/>
    <mergeCell ref="AI35:AN35"/>
    <mergeCell ref="AS37:AV37"/>
    <mergeCell ref="AW36:AZ36"/>
    <mergeCell ref="AW37:AZ37"/>
    <mergeCell ref="E30:J30"/>
    <mergeCell ref="Z30:AD30"/>
    <mergeCell ref="AO30:AR30"/>
    <mergeCell ref="E33:J33"/>
    <mergeCell ref="AO37:AR37"/>
    <mergeCell ref="V34:Y34"/>
    <mergeCell ref="AO33:AR33"/>
    <mergeCell ref="AO34:AR34"/>
    <mergeCell ref="AO35:AR35"/>
    <mergeCell ref="AI31:AN31"/>
    <mergeCell ref="AS36:AV36"/>
    <mergeCell ref="AI34:AN34"/>
    <mergeCell ref="AS31:AV31"/>
    <mergeCell ref="AS32:AV32"/>
    <mergeCell ref="AI36:AN36"/>
    <mergeCell ref="AI37:AN37"/>
    <mergeCell ref="AO36:AR36"/>
    <mergeCell ref="AE37:AH37"/>
    <mergeCell ref="V35:Y35"/>
    <mergeCell ref="V38:Y38"/>
    <mergeCell ref="A38:D38"/>
    <mergeCell ref="E36:N36"/>
    <mergeCell ref="E37:N37"/>
    <mergeCell ref="E38:N38"/>
    <mergeCell ref="O36:R36"/>
    <mergeCell ref="O37:R37"/>
    <mergeCell ref="O38:R38"/>
    <mergeCell ref="A36:D36"/>
    <mergeCell ref="S37:U37"/>
    <mergeCell ref="S38:U38"/>
    <mergeCell ref="D7:N7"/>
    <mergeCell ref="AC7:AH7"/>
    <mergeCell ref="AQ8:AV8"/>
    <mergeCell ref="A30:D35"/>
    <mergeCell ref="E35:N35"/>
    <mergeCell ref="O35:R35"/>
    <mergeCell ref="S35:U35"/>
    <mergeCell ref="M14:X14"/>
    <mergeCell ref="A18:L18"/>
    <mergeCell ref="AO14:AZ14"/>
    <mergeCell ref="Z35:AD35"/>
    <mergeCell ref="AW26:AZ28"/>
    <mergeCell ref="AW29:AZ29"/>
    <mergeCell ref="AE26:AV26"/>
    <mergeCell ref="AI27:AR27"/>
    <mergeCell ref="AE27:AH28"/>
    <mergeCell ref="AO29:AR29"/>
    <mergeCell ref="AO28:AR28"/>
    <mergeCell ref="AS29:AV29"/>
    <mergeCell ref="AB18:AP18"/>
    <mergeCell ref="AB15:AP16"/>
    <mergeCell ref="AS22:AT22"/>
    <mergeCell ref="AI22:AJ22"/>
    <mergeCell ref="J22:AH22"/>
  </mergeCells>
  <phoneticPr fontId="2" type="noConversion"/>
  <dataValidations count="5">
    <dataValidation type="list" allowBlank="1" showInputMessage="1" showErrorMessage="1" sqref="AK10:AZ11">
      <formula1>Лист1!J2:J12</formula1>
    </dataValidation>
    <dataValidation type="list" allowBlank="1" showInputMessage="1" showErrorMessage="1" sqref="I10:X11">
      <formula1>Лист1!J32:J32</formula1>
    </dataValidation>
    <dataValidation type="list" allowBlank="1" showInputMessage="1" showErrorMessage="1" sqref="J22:AH22">
      <formula1>Лист1!J19:J28</formula1>
    </dataValidation>
    <dataValidation type="list" allowBlank="1" showInputMessage="1" showErrorMessage="1" sqref="J24:AN24">
      <formula1>Лист1!K19:K26</formula1>
    </dataValidation>
    <dataValidation type="list" allowBlank="1" showInputMessage="1" showErrorMessage="1" sqref="K30:N34">
      <formula1>Лист1!B2:B23</formula1>
    </dataValidation>
  </dataValidations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6"/>
  <sheetViews>
    <sheetView topLeftCell="I1" workbookViewId="0">
      <selection activeCell="B26" sqref="B26"/>
    </sheetView>
  </sheetViews>
  <sheetFormatPr defaultRowHeight="12.75"/>
  <cols>
    <col min="1" max="1" width="9.28515625" customWidth="1"/>
    <col min="2" max="2" width="30.42578125" customWidth="1"/>
    <col min="3" max="3" width="14" customWidth="1"/>
    <col min="4" max="4" width="10.7109375" customWidth="1"/>
    <col min="5" max="5" width="23.7109375" customWidth="1"/>
    <col min="6" max="6" width="10.7109375" customWidth="1"/>
    <col min="10" max="10" width="42.140625" customWidth="1"/>
    <col min="11" max="11" width="40.7109375" customWidth="1"/>
    <col min="12" max="12" width="24.7109375" customWidth="1"/>
    <col min="13" max="13" width="18.7109375" customWidth="1"/>
    <col min="14" max="14" width="26.7109375" customWidth="1"/>
    <col min="15" max="15" width="49.5703125" customWidth="1"/>
    <col min="16" max="16" width="24.42578125" customWidth="1"/>
  </cols>
  <sheetData>
    <row r="1" spans="1:16" ht="54" customHeight="1" thickBot="1">
      <c r="A1" s="46" t="s">
        <v>104</v>
      </c>
      <c r="B1" s="47" t="s">
        <v>32</v>
      </c>
      <c r="C1" s="47" t="s">
        <v>20</v>
      </c>
      <c r="D1" s="47" t="s">
        <v>69</v>
      </c>
      <c r="E1" s="47" t="s">
        <v>34</v>
      </c>
      <c r="F1" s="48" t="s">
        <v>127</v>
      </c>
      <c r="J1" s="27" t="s">
        <v>76</v>
      </c>
      <c r="K1" s="28" t="s">
        <v>77</v>
      </c>
      <c r="L1" s="28" t="s">
        <v>78</v>
      </c>
      <c r="M1" s="28" t="s">
        <v>79</v>
      </c>
      <c r="N1" s="29" t="s">
        <v>29</v>
      </c>
      <c r="O1" s="30" t="s">
        <v>103</v>
      </c>
      <c r="P1" s="51"/>
    </row>
    <row r="2" spans="1:16">
      <c r="A2" s="43">
        <v>2265136</v>
      </c>
      <c r="B2" s="44" t="s">
        <v>105</v>
      </c>
      <c r="C2" s="31">
        <v>8873815354</v>
      </c>
      <c r="D2" s="31" t="s">
        <v>75</v>
      </c>
      <c r="E2" s="45">
        <v>1599</v>
      </c>
      <c r="F2" s="32" t="s">
        <v>128</v>
      </c>
      <c r="J2" s="57" t="s">
        <v>130</v>
      </c>
      <c r="K2" s="58" t="s">
        <v>131</v>
      </c>
      <c r="L2" s="59">
        <v>862515154455</v>
      </c>
      <c r="M2" s="60" t="s">
        <v>132</v>
      </c>
      <c r="N2" s="59">
        <v>3592104265</v>
      </c>
      <c r="O2" s="71"/>
      <c r="P2" s="49"/>
    </row>
    <row r="3" spans="1:16">
      <c r="A3" s="39">
        <v>2265135</v>
      </c>
      <c r="B3" s="38" t="s">
        <v>106</v>
      </c>
      <c r="C3" s="33">
        <v>8873815355</v>
      </c>
      <c r="D3" s="33" t="s">
        <v>75</v>
      </c>
      <c r="E3" s="37">
        <v>1599</v>
      </c>
      <c r="F3" s="34" t="s">
        <v>128</v>
      </c>
      <c r="J3" s="62" t="s">
        <v>133</v>
      </c>
      <c r="K3" s="63" t="s">
        <v>134</v>
      </c>
      <c r="L3" s="25">
        <v>839824652873</v>
      </c>
      <c r="M3" s="26" t="s">
        <v>135</v>
      </c>
      <c r="N3" s="25">
        <v>3236404266</v>
      </c>
      <c r="O3" s="61"/>
      <c r="P3" s="49"/>
    </row>
    <row r="4" spans="1:16">
      <c r="A4" s="39">
        <v>2270652</v>
      </c>
      <c r="B4" s="38" t="s">
        <v>107</v>
      </c>
      <c r="C4" s="33">
        <v>8873815356</v>
      </c>
      <c r="D4" s="33" t="s">
        <v>75</v>
      </c>
      <c r="E4" s="37">
        <v>2699</v>
      </c>
      <c r="F4" s="34" t="s">
        <v>128</v>
      </c>
      <c r="J4" s="62" t="s">
        <v>136</v>
      </c>
      <c r="K4" s="63" t="s">
        <v>137</v>
      </c>
      <c r="L4" s="25">
        <v>848568927468</v>
      </c>
      <c r="M4" s="26" t="s">
        <v>138</v>
      </c>
      <c r="N4" s="25">
        <v>3013994267</v>
      </c>
      <c r="O4" s="61" t="s">
        <v>102</v>
      </c>
      <c r="P4" s="50"/>
    </row>
    <row r="5" spans="1:16">
      <c r="A5" s="39">
        <v>2265138</v>
      </c>
      <c r="B5" s="38" t="s">
        <v>108</v>
      </c>
      <c r="C5" s="33">
        <v>8873815357</v>
      </c>
      <c r="D5" s="33" t="s">
        <v>75</v>
      </c>
      <c r="E5" s="37">
        <v>2699</v>
      </c>
      <c r="F5" s="34" t="s">
        <v>128</v>
      </c>
      <c r="J5" s="62" t="s">
        <v>139</v>
      </c>
      <c r="K5" s="63" t="s">
        <v>140</v>
      </c>
      <c r="L5" s="25">
        <v>872816943856</v>
      </c>
      <c r="M5" s="26" t="s">
        <v>141</v>
      </c>
      <c r="N5" s="25">
        <v>3698321268</v>
      </c>
      <c r="O5" s="61" t="s">
        <v>102</v>
      </c>
      <c r="P5" s="49"/>
    </row>
    <row r="6" spans="1:16">
      <c r="A6" s="39">
        <v>2262224</v>
      </c>
      <c r="B6" s="38" t="s">
        <v>109</v>
      </c>
      <c r="C6" s="33">
        <v>8873815358</v>
      </c>
      <c r="D6" s="33" t="s">
        <v>75</v>
      </c>
      <c r="E6" s="37">
        <v>2699</v>
      </c>
      <c r="F6" s="34" t="s">
        <v>128</v>
      </c>
      <c r="J6" s="62" t="s">
        <v>142</v>
      </c>
      <c r="K6" s="63" t="s">
        <v>143</v>
      </c>
      <c r="L6" s="25">
        <v>882496712845</v>
      </c>
      <c r="M6" s="26" t="s">
        <v>144</v>
      </c>
      <c r="N6" s="25">
        <v>3254748369</v>
      </c>
      <c r="O6" s="61" t="s">
        <v>102</v>
      </c>
      <c r="P6" s="50"/>
    </row>
    <row r="7" spans="1:16">
      <c r="A7" s="39">
        <v>2263127</v>
      </c>
      <c r="B7" s="38" t="s">
        <v>110</v>
      </c>
      <c r="C7" s="33">
        <v>8873815359</v>
      </c>
      <c r="D7" s="33" t="s">
        <v>75</v>
      </c>
      <c r="E7" s="37">
        <v>2999</v>
      </c>
      <c r="F7" s="34" t="s">
        <v>128</v>
      </c>
      <c r="J7" s="62" t="s">
        <v>145</v>
      </c>
      <c r="K7" s="63" t="s">
        <v>146</v>
      </c>
      <c r="L7" s="25">
        <v>883971289346</v>
      </c>
      <c r="M7" s="26" t="s">
        <v>147</v>
      </c>
      <c r="N7" s="25">
        <v>3885521070</v>
      </c>
      <c r="O7" s="64"/>
      <c r="P7" s="49"/>
    </row>
    <row r="8" spans="1:16">
      <c r="A8" s="39">
        <v>2262225</v>
      </c>
      <c r="B8" s="38" t="s">
        <v>111</v>
      </c>
      <c r="C8" s="33">
        <v>8873815360</v>
      </c>
      <c r="D8" s="33" t="s">
        <v>75</v>
      </c>
      <c r="E8" s="37">
        <v>2999</v>
      </c>
      <c r="F8" s="34" t="s">
        <v>128</v>
      </c>
      <c r="J8" s="62" t="s">
        <v>148</v>
      </c>
      <c r="K8" s="63" t="s">
        <v>149</v>
      </c>
      <c r="L8" s="65">
        <v>892675943528</v>
      </c>
      <c r="M8" s="26" t="s">
        <v>150</v>
      </c>
      <c r="N8" s="65">
        <v>3564859872</v>
      </c>
      <c r="O8" s="64"/>
      <c r="P8" s="49"/>
    </row>
    <row r="9" spans="1:16">
      <c r="A9" s="39">
        <v>2264652</v>
      </c>
      <c r="B9" s="38" t="s">
        <v>112</v>
      </c>
      <c r="C9" s="33">
        <v>8873815361</v>
      </c>
      <c r="D9" s="33" t="s">
        <v>75</v>
      </c>
      <c r="E9" s="37">
        <v>3299</v>
      </c>
      <c r="F9" s="34" t="s">
        <v>128</v>
      </c>
      <c r="J9" s="62" t="s">
        <v>151</v>
      </c>
      <c r="K9" s="63" t="s">
        <v>152</v>
      </c>
      <c r="L9" s="65">
        <v>872689210358</v>
      </c>
      <c r="M9" s="26" t="s">
        <v>153</v>
      </c>
      <c r="N9" s="65">
        <v>3548234981</v>
      </c>
      <c r="O9" s="64"/>
      <c r="P9" s="49"/>
    </row>
    <row r="10" spans="1:16">
      <c r="A10" s="39">
        <v>2265134</v>
      </c>
      <c r="B10" s="38" t="s">
        <v>113</v>
      </c>
      <c r="C10" s="33">
        <v>8873815362</v>
      </c>
      <c r="D10" s="33" t="s">
        <v>75</v>
      </c>
      <c r="E10" s="37">
        <v>1099</v>
      </c>
      <c r="F10" s="34" t="s">
        <v>128</v>
      </c>
      <c r="J10" s="62" t="s">
        <v>154</v>
      </c>
      <c r="K10" s="63" t="s">
        <v>155</v>
      </c>
      <c r="L10" s="65">
        <v>869249371925</v>
      </c>
      <c r="M10" s="26" t="s">
        <v>156</v>
      </c>
      <c r="N10" s="65">
        <v>3457597167</v>
      </c>
      <c r="O10" s="64"/>
      <c r="P10" s="49"/>
    </row>
    <row r="11" spans="1:16">
      <c r="A11" s="39">
        <v>2381016</v>
      </c>
      <c r="B11" s="38" t="s">
        <v>114</v>
      </c>
      <c r="C11" s="33">
        <v>8873815363</v>
      </c>
      <c r="D11" s="33" t="s">
        <v>75</v>
      </c>
      <c r="E11" s="37">
        <v>1799</v>
      </c>
      <c r="F11" s="34" t="s">
        <v>128</v>
      </c>
      <c r="J11" s="62" t="s">
        <v>157</v>
      </c>
      <c r="K11" s="63" t="s">
        <v>158</v>
      </c>
      <c r="L11" s="65">
        <v>825864462852</v>
      </c>
      <c r="M11" s="26" t="s">
        <v>159</v>
      </c>
      <c r="N11" s="65">
        <v>3452454584</v>
      </c>
      <c r="O11" s="61" t="s">
        <v>102</v>
      </c>
      <c r="P11" s="49"/>
    </row>
    <row r="12" spans="1:16" ht="13.5" thickBot="1">
      <c r="A12" s="39">
        <v>2278913</v>
      </c>
      <c r="B12" s="38" t="s">
        <v>115</v>
      </c>
      <c r="C12" s="33">
        <v>8873815364</v>
      </c>
      <c r="D12" s="33" t="s">
        <v>75</v>
      </c>
      <c r="E12" s="37">
        <v>2299</v>
      </c>
      <c r="F12" s="34" t="s">
        <v>128</v>
      </c>
      <c r="J12" s="66" t="s">
        <v>160</v>
      </c>
      <c r="K12" s="67" t="s">
        <v>161</v>
      </c>
      <c r="L12" s="68">
        <v>813794265852</v>
      </c>
      <c r="M12" s="69" t="s">
        <v>162</v>
      </c>
      <c r="N12" s="68">
        <v>3594629548</v>
      </c>
      <c r="O12" s="70" t="s">
        <v>102</v>
      </c>
      <c r="P12" s="49"/>
    </row>
    <row r="13" spans="1:16">
      <c r="A13" s="39">
        <v>2381015</v>
      </c>
      <c r="B13" s="38" t="s">
        <v>116</v>
      </c>
      <c r="C13" s="33">
        <v>8873815365</v>
      </c>
      <c r="D13" s="33" t="s">
        <v>75</v>
      </c>
      <c r="E13" s="37">
        <v>2499</v>
      </c>
      <c r="F13" s="34" t="s">
        <v>128</v>
      </c>
      <c r="M13" s="16"/>
    </row>
    <row r="14" spans="1:16">
      <c r="A14" s="39">
        <v>2381014</v>
      </c>
      <c r="B14" s="38" t="s">
        <v>117</v>
      </c>
      <c r="C14" s="33">
        <v>8873815366</v>
      </c>
      <c r="D14" s="33" t="s">
        <v>75</v>
      </c>
      <c r="E14" s="37">
        <v>2499</v>
      </c>
      <c r="F14" s="34" t="s">
        <v>128</v>
      </c>
    </row>
    <row r="15" spans="1:16">
      <c r="A15" s="39">
        <v>2372976</v>
      </c>
      <c r="B15" s="38" t="s">
        <v>118</v>
      </c>
      <c r="C15" s="33">
        <v>8873815367</v>
      </c>
      <c r="D15" s="33" t="s">
        <v>75</v>
      </c>
      <c r="E15" s="37">
        <v>3499</v>
      </c>
      <c r="F15" s="34" t="s">
        <v>128</v>
      </c>
    </row>
    <row r="16" spans="1:16">
      <c r="A16" s="39">
        <v>2328981</v>
      </c>
      <c r="B16" s="38" t="s">
        <v>119</v>
      </c>
      <c r="C16" s="33">
        <v>8873815368</v>
      </c>
      <c r="D16" s="33" t="s">
        <v>75</v>
      </c>
      <c r="E16" s="37">
        <v>3899</v>
      </c>
      <c r="F16" s="34" t="s">
        <v>128</v>
      </c>
    </row>
    <row r="17" spans="1:15" ht="13.5" thickBot="1">
      <c r="A17" s="39">
        <v>2264653</v>
      </c>
      <c r="B17" s="38" t="s">
        <v>120</v>
      </c>
      <c r="C17" s="33">
        <v>8873815369</v>
      </c>
      <c r="D17" s="33" t="s">
        <v>75</v>
      </c>
      <c r="E17" s="37">
        <v>1799</v>
      </c>
      <c r="F17" s="34" t="s">
        <v>128</v>
      </c>
    </row>
    <row r="18" spans="1:15" ht="13.5" thickBot="1">
      <c r="A18" s="39">
        <v>2296339</v>
      </c>
      <c r="B18" s="38" t="s">
        <v>121</v>
      </c>
      <c r="C18" s="33">
        <v>8873815370</v>
      </c>
      <c r="D18" s="33" t="s">
        <v>75</v>
      </c>
      <c r="E18" s="37">
        <v>2299</v>
      </c>
      <c r="F18" s="34" t="s">
        <v>128</v>
      </c>
      <c r="J18" s="27" t="s">
        <v>165</v>
      </c>
      <c r="K18" s="73" t="s">
        <v>72</v>
      </c>
    </row>
    <row r="19" spans="1:15">
      <c r="A19" s="39">
        <v>2258509</v>
      </c>
      <c r="B19" s="38" t="s">
        <v>122</v>
      </c>
      <c r="C19" s="33">
        <v>8873815371</v>
      </c>
      <c r="D19" s="33" t="s">
        <v>75</v>
      </c>
      <c r="E19" s="37">
        <v>3799</v>
      </c>
      <c r="F19" s="34" t="s">
        <v>128</v>
      </c>
      <c r="J19" s="72" t="s">
        <v>84</v>
      </c>
      <c r="K19" s="56" t="s">
        <v>85</v>
      </c>
    </row>
    <row r="20" spans="1:15">
      <c r="A20" s="39">
        <v>2258716</v>
      </c>
      <c r="B20" s="38" t="s">
        <v>123</v>
      </c>
      <c r="C20" s="33">
        <v>8873815372</v>
      </c>
      <c r="D20" s="33" t="s">
        <v>75</v>
      </c>
      <c r="E20" s="37">
        <v>977</v>
      </c>
      <c r="F20" s="34" t="s">
        <v>129</v>
      </c>
      <c r="J20" s="53" t="s">
        <v>86</v>
      </c>
      <c r="K20" s="52" t="s">
        <v>87</v>
      </c>
    </row>
    <row r="21" spans="1:15">
      <c r="A21" s="39">
        <v>2236566</v>
      </c>
      <c r="B21" s="38" t="s">
        <v>124</v>
      </c>
      <c r="C21" s="33">
        <v>8873815373</v>
      </c>
      <c r="D21" s="33" t="s">
        <v>75</v>
      </c>
      <c r="E21" s="37">
        <v>977</v>
      </c>
      <c r="F21" s="34" t="s">
        <v>129</v>
      </c>
      <c r="J21" s="53" t="s">
        <v>88</v>
      </c>
      <c r="K21" s="52" t="s">
        <v>89</v>
      </c>
    </row>
    <row r="22" spans="1:15">
      <c r="A22" s="39">
        <v>2253115</v>
      </c>
      <c r="B22" s="38" t="s">
        <v>125</v>
      </c>
      <c r="C22" s="33">
        <v>8873815374</v>
      </c>
      <c r="D22" s="33" t="s">
        <v>75</v>
      </c>
      <c r="E22" s="37">
        <v>1799</v>
      </c>
      <c r="F22" s="34" t="s">
        <v>129</v>
      </c>
      <c r="J22" s="53" t="s">
        <v>90</v>
      </c>
      <c r="K22" s="52" t="s">
        <v>91</v>
      </c>
    </row>
    <row r="23" spans="1:15" ht="13.5" thickBot="1">
      <c r="A23" s="40">
        <v>2277100</v>
      </c>
      <c r="B23" s="41" t="s">
        <v>126</v>
      </c>
      <c r="C23" s="35">
        <v>8873815375</v>
      </c>
      <c r="D23" s="35" t="s">
        <v>75</v>
      </c>
      <c r="E23" s="42">
        <v>3999</v>
      </c>
      <c r="F23" s="36" t="s">
        <v>129</v>
      </c>
      <c r="J23" s="53" t="s">
        <v>92</v>
      </c>
      <c r="K23" s="52" t="s">
        <v>93</v>
      </c>
    </row>
    <row r="24" spans="1:15">
      <c r="J24" s="53" t="s">
        <v>94</v>
      </c>
      <c r="K24" s="52" t="s">
        <v>95</v>
      </c>
    </row>
    <row r="25" spans="1:15">
      <c r="J25" s="53" t="s">
        <v>96</v>
      </c>
      <c r="K25" s="52" t="s">
        <v>97</v>
      </c>
    </row>
    <row r="26" spans="1:15" ht="13.5" thickBot="1">
      <c r="J26" s="53" t="s">
        <v>98</v>
      </c>
      <c r="K26" s="52" t="s">
        <v>99</v>
      </c>
    </row>
    <row r="27" spans="1:15">
      <c r="A27" s="249"/>
      <c r="B27" s="245"/>
      <c r="E27" s="233" t="s">
        <v>0</v>
      </c>
      <c r="F27" s="232" t="s">
        <v>66</v>
      </c>
      <c r="J27" s="53" t="s">
        <v>100</v>
      </c>
      <c r="K27" s="52"/>
    </row>
    <row r="28" spans="1:15" ht="13.5" thickBot="1">
      <c r="A28" s="249"/>
      <c r="B28" s="246"/>
      <c r="E28" s="234" t="s">
        <v>1</v>
      </c>
      <c r="F28" s="34" t="s">
        <v>66</v>
      </c>
      <c r="J28" s="54" t="s">
        <v>101</v>
      </c>
      <c r="K28" s="55"/>
    </row>
    <row r="29" spans="1:15" ht="13.5" thickBot="1">
      <c r="A29" s="249"/>
      <c r="B29" s="247"/>
      <c r="E29" s="235" t="s">
        <v>166</v>
      </c>
      <c r="F29" s="36" t="s">
        <v>66</v>
      </c>
    </row>
    <row r="30" spans="1:15" ht="13.5" thickBot="1">
      <c r="A30" s="249"/>
      <c r="B30" s="248"/>
    </row>
    <row r="31" spans="1:15" ht="39" thickBot="1">
      <c r="A31" s="249"/>
      <c r="B31" s="248"/>
      <c r="J31" s="237" t="s">
        <v>4</v>
      </c>
      <c r="K31" s="238" t="s">
        <v>77</v>
      </c>
      <c r="L31" s="238" t="s">
        <v>78</v>
      </c>
      <c r="M31" s="238" t="s">
        <v>79</v>
      </c>
      <c r="N31" s="238" t="s">
        <v>168</v>
      </c>
      <c r="O31" s="239" t="s">
        <v>103</v>
      </c>
    </row>
    <row r="32" spans="1:15" ht="13.5" thickBot="1">
      <c r="A32" s="249"/>
      <c r="B32" s="17"/>
      <c r="J32" s="240" t="s">
        <v>164</v>
      </c>
      <c r="K32" s="241" t="s">
        <v>163</v>
      </c>
      <c r="L32" s="242">
        <v>851983284627</v>
      </c>
      <c r="M32" s="243" t="s">
        <v>167</v>
      </c>
      <c r="N32" s="244">
        <v>3258691728</v>
      </c>
      <c r="O32" s="244"/>
    </row>
    <row r="33" spans="1:4" ht="13.5" thickBot="1"/>
    <row r="34" spans="1:4" ht="39" thickBot="1">
      <c r="A34" s="46" t="s">
        <v>104</v>
      </c>
      <c r="B34" s="47" t="s">
        <v>32</v>
      </c>
      <c r="C34" s="47" t="s">
        <v>172</v>
      </c>
      <c r="D34" s="47" t="s">
        <v>69</v>
      </c>
    </row>
    <row r="35" spans="1:4">
      <c r="A35" s="43">
        <v>2265136</v>
      </c>
      <c r="B35" s="44" t="s">
        <v>105</v>
      </c>
      <c r="C35" s="31">
        <v>15</v>
      </c>
      <c r="D35" s="31" t="s">
        <v>75</v>
      </c>
    </row>
    <row r="36" spans="1:4">
      <c r="A36" s="39">
        <v>2265135</v>
      </c>
      <c r="B36" s="38" t="s">
        <v>106</v>
      </c>
      <c r="C36" s="33">
        <v>9</v>
      </c>
      <c r="D36" s="33" t="s">
        <v>75</v>
      </c>
    </row>
    <row r="37" spans="1:4">
      <c r="A37" s="39">
        <v>2270652</v>
      </c>
      <c r="B37" s="38" t="s">
        <v>107</v>
      </c>
      <c r="C37" s="33">
        <v>17</v>
      </c>
      <c r="D37" s="33" t="s">
        <v>75</v>
      </c>
    </row>
    <row r="38" spans="1:4">
      <c r="A38" s="39">
        <v>2265138</v>
      </c>
      <c r="B38" s="38" t="s">
        <v>108</v>
      </c>
      <c r="C38" s="33">
        <v>2</v>
      </c>
      <c r="D38" s="33" t="s">
        <v>75</v>
      </c>
    </row>
    <row r="39" spans="1:4">
      <c r="A39" s="39">
        <v>2262224</v>
      </c>
      <c r="B39" s="38" t="s">
        <v>109</v>
      </c>
      <c r="C39" s="33">
        <v>22</v>
      </c>
      <c r="D39" s="33" t="s">
        <v>75</v>
      </c>
    </row>
    <row r="40" spans="1:4">
      <c r="A40" s="39">
        <v>2263127</v>
      </c>
      <c r="B40" s="38" t="s">
        <v>110</v>
      </c>
      <c r="C40" s="33">
        <v>31</v>
      </c>
      <c r="D40" s="33" t="s">
        <v>75</v>
      </c>
    </row>
    <row r="41" spans="1:4">
      <c r="A41" s="39">
        <v>2262225</v>
      </c>
      <c r="B41" s="38" t="s">
        <v>111</v>
      </c>
      <c r="C41" s="33">
        <v>8</v>
      </c>
      <c r="D41" s="33" t="s">
        <v>75</v>
      </c>
    </row>
    <row r="42" spans="1:4">
      <c r="A42" s="39">
        <v>2264652</v>
      </c>
      <c r="B42" s="38" t="s">
        <v>112</v>
      </c>
      <c r="C42" s="33">
        <v>5</v>
      </c>
      <c r="D42" s="33" t="s">
        <v>75</v>
      </c>
    </row>
    <row r="43" spans="1:4">
      <c r="A43" s="39">
        <v>2265134</v>
      </c>
      <c r="B43" s="38" t="s">
        <v>113</v>
      </c>
      <c r="C43" s="33">
        <v>7</v>
      </c>
      <c r="D43" s="33" t="s">
        <v>75</v>
      </c>
    </row>
    <row r="44" spans="1:4">
      <c r="A44" s="39">
        <v>2381016</v>
      </c>
      <c r="B44" s="38" t="s">
        <v>114</v>
      </c>
      <c r="C44" s="33">
        <v>28</v>
      </c>
      <c r="D44" s="33" t="s">
        <v>75</v>
      </c>
    </row>
    <row r="45" spans="1:4">
      <c r="A45" s="39">
        <v>2278913</v>
      </c>
      <c r="B45" s="38" t="s">
        <v>115</v>
      </c>
      <c r="C45" s="33">
        <v>4</v>
      </c>
      <c r="D45" s="33" t="s">
        <v>75</v>
      </c>
    </row>
    <row r="46" spans="1:4">
      <c r="A46" s="39">
        <v>2381015</v>
      </c>
      <c r="B46" s="38" t="s">
        <v>116</v>
      </c>
      <c r="C46" s="33">
        <v>43</v>
      </c>
      <c r="D46" s="33" t="s">
        <v>75</v>
      </c>
    </row>
    <row r="47" spans="1:4">
      <c r="A47" s="39">
        <v>2381014</v>
      </c>
      <c r="B47" s="38" t="s">
        <v>117</v>
      </c>
      <c r="C47" s="33">
        <v>18</v>
      </c>
      <c r="D47" s="33" t="s">
        <v>75</v>
      </c>
    </row>
    <row r="48" spans="1:4">
      <c r="A48" s="39">
        <v>2372976</v>
      </c>
      <c r="B48" s="38" t="s">
        <v>118</v>
      </c>
      <c r="C48" s="33">
        <v>68</v>
      </c>
      <c r="D48" s="33" t="s">
        <v>75</v>
      </c>
    </row>
    <row r="49" spans="1:4">
      <c r="A49" s="39">
        <v>2328981</v>
      </c>
      <c r="B49" s="38" t="s">
        <v>119</v>
      </c>
      <c r="C49" s="33">
        <v>14</v>
      </c>
      <c r="D49" s="33" t="s">
        <v>75</v>
      </c>
    </row>
    <row r="50" spans="1:4">
      <c r="A50" s="39">
        <v>2264653</v>
      </c>
      <c r="B50" s="38" t="s">
        <v>120</v>
      </c>
      <c r="C50" s="33">
        <v>17</v>
      </c>
      <c r="D50" s="33" t="s">
        <v>75</v>
      </c>
    </row>
    <row r="51" spans="1:4">
      <c r="A51" s="39">
        <v>2296339</v>
      </c>
      <c r="B51" s="38" t="s">
        <v>121</v>
      </c>
      <c r="C51" s="33">
        <v>14</v>
      </c>
      <c r="D51" s="33" t="s">
        <v>75</v>
      </c>
    </row>
    <row r="52" spans="1:4">
      <c r="A52" s="39">
        <v>2258509</v>
      </c>
      <c r="B52" s="38" t="s">
        <v>122</v>
      </c>
      <c r="C52" s="33">
        <v>3</v>
      </c>
      <c r="D52" s="33" t="s">
        <v>75</v>
      </c>
    </row>
    <row r="53" spans="1:4">
      <c r="A53" s="39">
        <v>2258716</v>
      </c>
      <c r="B53" s="38" t="s">
        <v>123</v>
      </c>
      <c r="C53" s="33">
        <v>0</v>
      </c>
      <c r="D53" s="33" t="s">
        <v>75</v>
      </c>
    </row>
    <row r="54" spans="1:4">
      <c r="A54" s="39">
        <v>2236566</v>
      </c>
      <c r="B54" s="38" t="s">
        <v>124</v>
      </c>
      <c r="C54" s="33">
        <v>0</v>
      </c>
      <c r="D54" s="33" t="s">
        <v>75</v>
      </c>
    </row>
    <row r="55" spans="1:4">
      <c r="A55" s="39">
        <v>2253115</v>
      </c>
      <c r="B55" s="38" t="s">
        <v>125</v>
      </c>
      <c r="C55" s="33">
        <v>0</v>
      </c>
      <c r="D55" s="33" t="s">
        <v>75</v>
      </c>
    </row>
    <row r="56" spans="1:4" ht="13.5" thickBot="1">
      <c r="A56" s="40">
        <v>2277100</v>
      </c>
      <c r="B56" s="41" t="s">
        <v>126</v>
      </c>
      <c r="C56" s="35">
        <v>0</v>
      </c>
      <c r="D56" s="3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Податкова накладна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Admin</cp:lastModifiedBy>
  <cp:lastPrinted>2014-03-02T19:04:33Z</cp:lastPrinted>
  <dcterms:created xsi:type="dcterms:W3CDTF">2011-01-05T11:07:35Z</dcterms:created>
  <dcterms:modified xsi:type="dcterms:W3CDTF">2014-03-03T15:04:23Z</dcterms:modified>
</cp:coreProperties>
</file>