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Кукурудза" sheetId="1" r:id="rId1"/>
    <sheet name="Ассортимент" sheetId="2" r:id="rId2"/>
    <sheet name="Лист3" sheetId="3" r:id="rId3"/>
  </sheets>
  <definedNames>
    <definedName name="_xlnm._FilterDatabase" localSheetId="0" hidden="1">Кукурудза!$B$4:$U$14</definedName>
    <definedName name="к1">OFFSET(Ассортимент!$C$3,,,COUNTA(Ассортимент!$C:$C)-1)</definedName>
    <definedName name="смены">OFFSET(Ассортимент!$I$3,,,COUNTA(Ассортимент!$I:$I)-1)</definedName>
  </definedNames>
  <calcPr calcId="125725"/>
</workbook>
</file>

<file path=xl/calcChain.xml><?xml version="1.0" encoding="utf-8"?>
<calcChain xmlns="http://schemas.openxmlformats.org/spreadsheetml/2006/main">
  <c r="I7" i="1"/>
  <c r="I8"/>
  <c r="I9"/>
  <c r="N9" s="1"/>
  <c r="I10"/>
  <c r="I11"/>
  <c r="I12"/>
  <c r="I13"/>
  <c r="I14"/>
  <c r="I15"/>
  <c r="I16"/>
  <c r="I17"/>
  <c r="I18"/>
  <c r="I19"/>
  <c r="I20"/>
  <c r="I21"/>
  <c r="I22"/>
  <c r="I23"/>
  <c r="A6"/>
  <c r="D6"/>
  <c r="E6"/>
  <c r="F6"/>
  <c r="H6"/>
  <c r="L6" s="1"/>
  <c r="I6"/>
  <c r="N6" s="1"/>
  <c r="P6"/>
  <c r="A7"/>
  <c r="D7"/>
  <c r="E7"/>
  <c r="F7"/>
  <c r="H7"/>
  <c r="L7" s="1"/>
  <c r="M7" s="1"/>
  <c r="N7"/>
  <c r="P7"/>
  <c r="A8"/>
  <c r="D8"/>
  <c r="E8"/>
  <c r="F8"/>
  <c r="H8"/>
  <c r="L8" s="1"/>
  <c r="M8" s="1"/>
  <c r="N8"/>
  <c r="P8"/>
  <c r="A9"/>
  <c r="D9"/>
  <c r="E9"/>
  <c r="F9"/>
  <c r="H9"/>
  <c r="L9" s="1"/>
  <c r="P9"/>
  <c r="A10"/>
  <c r="D10"/>
  <c r="E10"/>
  <c r="F10"/>
  <c r="H10"/>
  <c r="L10"/>
  <c r="M10" s="1"/>
  <c r="N10"/>
  <c r="P10"/>
  <c r="A11"/>
  <c r="D11"/>
  <c r="E11"/>
  <c r="F11"/>
  <c r="H11"/>
  <c r="N11"/>
  <c r="L11"/>
  <c r="P11"/>
  <c r="A12"/>
  <c r="D12"/>
  <c r="E12"/>
  <c r="F12"/>
  <c r="H12"/>
  <c r="L12" s="1"/>
  <c r="M12" s="1"/>
  <c r="N12"/>
  <c r="P12"/>
  <c r="A13"/>
  <c r="D13"/>
  <c r="E13"/>
  <c r="F13"/>
  <c r="H13"/>
  <c r="L13" s="1"/>
  <c r="M13" s="1"/>
  <c r="N13"/>
  <c r="P13"/>
  <c r="A14"/>
  <c r="D14"/>
  <c r="E14"/>
  <c r="F14"/>
  <c r="H14"/>
  <c r="L14"/>
  <c r="M14" s="1"/>
  <c r="N14"/>
  <c r="R14" s="1"/>
  <c r="P14"/>
  <c r="I5"/>
  <c r="D5"/>
  <c r="B1"/>
  <c r="M11" l="1"/>
  <c r="Q11" s="1"/>
  <c r="M9"/>
  <c r="S9" s="1"/>
  <c r="R7"/>
  <c r="Q7"/>
  <c r="S14"/>
  <c r="Q14"/>
  <c r="R10"/>
  <c r="S10"/>
  <c r="S7"/>
  <c r="Q10"/>
  <c r="S8"/>
  <c r="R8"/>
  <c r="R13"/>
  <c r="S13"/>
  <c r="Q13"/>
  <c r="Q8"/>
  <c r="S12"/>
  <c r="R12"/>
  <c r="Q12"/>
  <c r="P5"/>
  <c r="N5"/>
  <c r="R5" s="1"/>
  <c r="H5"/>
  <c r="L5" s="1"/>
  <c r="M6" s="1"/>
  <c r="Q6" s="1"/>
  <c r="F5"/>
  <c r="E5"/>
  <c r="A5"/>
  <c r="R9" l="1"/>
  <c r="S11"/>
  <c r="R11"/>
  <c r="Q9"/>
  <c r="R6"/>
  <c r="S6"/>
  <c r="M5"/>
  <c r="S5"/>
  <c r="G3" i="2"/>
  <c r="K4" i="1" l="1"/>
  <c r="N4" l="1"/>
  <c r="L4" l="1"/>
  <c r="Q5"/>
  <c r="U5" l="1"/>
  <c r="U7"/>
  <c r="T7" s="1"/>
  <c r="U14"/>
  <c r="T14" s="1"/>
  <c r="U10"/>
  <c r="T10" s="1"/>
  <c r="U11"/>
  <c r="T11" s="1"/>
  <c r="U13"/>
  <c r="T13" s="1"/>
  <c r="U8"/>
  <c r="T8" s="1"/>
  <c r="U12"/>
  <c r="T12" s="1"/>
  <c r="U6"/>
  <c r="T6" s="1"/>
  <c r="U9"/>
  <c r="T9" s="1"/>
  <c r="T5"/>
  <c r="R4"/>
  <c r="M4"/>
  <c r="S4"/>
  <c r="U4" l="1"/>
  <c r="T4"/>
</calcChain>
</file>

<file path=xl/sharedStrings.xml><?xml version="1.0" encoding="utf-8"?>
<sst xmlns="http://schemas.openxmlformats.org/spreadsheetml/2006/main" count="59" uniqueCount="38">
  <si>
    <t>Цена</t>
  </si>
  <si>
    <t>Дата</t>
  </si>
  <si>
    <t>Смена</t>
  </si>
  <si>
    <t>Вес</t>
  </si>
  <si>
    <t>База</t>
  </si>
  <si>
    <t>Норма</t>
  </si>
  <si>
    <t>Факт</t>
  </si>
  <si>
    <t>Произв. 
шт.</t>
  </si>
  <si>
    <t>Произв. 
кг.</t>
  </si>
  <si>
    <t>Всего</t>
  </si>
  <si>
    <t>КУКУРУЗА</t>
  </si>
  <si>
    <t>Норма излишка</t>
  </si>
  <si>
    <t>№</t>
  </si>
  <si>
    <t>Ассортимент</t>
  </si>
  <si>
    <t>Смены</t>
  </si>
  <si>
    <t>День</t>
  </si>
  <si>
    <t>Ночь</t>
  </si>
  <si>
    <t>грн.</t>
  </si>
  <si>
    <t>Приход шт.</t>
  </si>
  <si>
    <t>Доприх. шт.</t>
  </si>
  <si>
    <t>Норма
 %</t>
  </si>
  <si>
    <t>Факт 
%</t>
  </si>
  <si>
    <t>Приход
 сырья кг.</t>
  </si>
  <si>
    <t>Расход  на произв. кг.</t>
  </si>
  <si>
    <t xml:space="preserve">Излишек </t>
  </si>
  <si>
    <t>%</t>
  </si>
  <si>
    <t>Конец</t>
  </si>
  <si>
    <t xml:space="preserve">Остаток 
сырья кг.
</t>
  </si>
  <si>
    <t>Начало</t>
  </si>
  <si>
    <t>Артикул
Рубикон</t>
  </si>
  <si>
    <t>Артикул
1С</t>
  </si>
  <si>
    <t>-</t>
  </si>
  <si>
    <t>кг.</t>
  </si>
  <si>
    <t>Готовая продукция</t>
  </si>
  <si>
    <t>Крупа кукурузная СД</t>
  </si>
  <si>
    <t>Крупа кукурузная ПЧ</t>
  </si>
  <si>
    <t>Крупа кукурузная ЕКОНОМКА</t>
  </si>
  <si>
    <t xml:space="preserve">Остаток сырья кг.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</si>
</sst>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0"/>
      <color theme="4" tint="-0.49998474074526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4" tint="-0.499984740745262"/>
      <name val="Calibri"/>
      <family val="2"/>
      <charset val="204"/>
      <scheme val="minor"/>
    </font>
    <font>
      <sz val="10"/>
      <color theme="4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/>
      <right/>
      <top/>
      <bottom style="double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 style="double">
        <color theme="0"/>
      </right>
      <top/>
      <bottom style="double">
        <color theme="0"/>
      </bottom>
      <diagonal/>
    </border>
    <border>
      <left style="double">
        <color theme="0"/>
      </left>
      <right style="double">
        <color theme="0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0" fontId="0" fillId="0" borderId="0" xfId="0" applyNumberFormat="1"/>
    <xf numFmtId="10" fontId="1" fillId="2" borderId="2" xfId="0" applyNumberFormat="1" applyFont="1" applyFill="1" applyBorder="1" applyAlignment="1">
      <alignment horizontal="center" vertical="center" wrapText="1"/>
    </xf>
    <xf numFmtId="10" fontId="0" fillId="0" borderId="3" xfId="0" applyNumberFormat="1" applyBorder="1"/>
    <xf numFmtId="10" fontId="0" fillId="0" borderId="4" xfId="0" applyNumberFormat="1" applyBorder="1"/>
    <xf numFmtId="10" fontId="0" fillId="0" borderId="3" xfId="0" applyNumberForma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/>
    </xf>
    <xf numFmtId="3" fontId="5" fillId="0" borderId="7" xfId="0" applyNumberFormat="1" applyFont="1" applyFill="1" applyBorder="1" applyAlignment="1" applyProtection="1">
      <alignment horizontal="center" vertical="center"/>
    </xf>
    <xf numFmtId="3" fontId="5" fillId="0" borderId="8" xfId="0" applyNumberFormat="1" applyFont="1" applyFill="1" applyBorder="1" applyAlignment="1" applyProtection="1">
      <alignment horizontal="center" vertical="center"/>
    </xf>
    <xf numFmtId="3" fontId="5" fillId="0" borderId="9" xfId="0" applyNumberFormat="1" applyFont="1" applyFill="1" applyBorder="1" applyAlignment="1" applyProtection="1">
      <alignment horizontal="center" vertical="center"/>
    </xf>
    <xf numFmtId="14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3" fontId="3" fillId="0" borderId="0" xfId="0" applyNumberFormat="1" applyFont="1" applyAlignment="1" applyProtection="1">
      <alignment horizontal="right" vertical="center"/>
      <protection locked="0"/>
    </xf>
    <xf numFmtId="3" fontId="6" fillId="0" borderId="0" xfId="0" applyNumberFormat="1" applyFont="1" applyBorder="1" applyAlignment="1" applyProtection="1">
      <alignment horizontal="right" vertical="center"/>
      <protection locked="0"/>
    </xf>
    <xf numFmtId="3" fontId="6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14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3" fontId="3" fillId="0" borderId="0" xfId="0" applyNumberFormat="1" applyFont="1" applyAlignment="1" applyProtection="1">
      <alignment horizontal="right" vertical="center"/>
    </xf>
    <xf numFmtId="10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3" fontId="4" fillId="2" borderId="2" xfId="0" applyNumberFormat="1" applyFont="1" applyFill="1" applyBorder="1" applyAlignment="1" applyProtection="1">
      <alignment horizontal="center" vertical="center"/>
    </xf>
    <xf numFmtId="10" fontId="4" fillId="2" borderId="13" xfId="0" applyNumberFormat="1" applyFont="1" applyFill="1" applyBorder="1" applyAlignment="1" applyProtection="1">
      <alignment horizontal="center" vertical="center" wrapText="1"/>
    </xf>
    <xf numFmtId="3" fontId="4" fillId="2" borderId="14" xfId="0" applyNumberFormat="1" applyFont="1" applyFill="1" applyBorder="1" applyAlignment="1" applyProtection="1">
      <alignment horizontal="center" vertical="center" wrapText="1"/>
    </xf>
    <xf numFmtId="3" fontId="4" fillId="2" borderId="14" xfId="0" applyNumberFormat="1" applyFont="1" applyFill="1" applyBorder="1" applyAlignment="1" applyProtection="1">
      <alignment horizontal="center" vertical="center"/>
    </xf>
    <xf numFmtId="10" fontId="4" fillId="2" borderId="14" xfId="0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Border="1" applyAlignment="1" applyProtection="1">
      <alignment horizontal="right" vertical="center"/>
    </xf>
    <xf numFmtId="10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3" fontId="6" fillId="0" borderId="0" xfId="0" applyNumberFormat="1" applyFont="1" applyAlignment="1" applyProtection="1">
      <alignment horizontal="right" vertical="center"/>
    </xf>
    <xf numFmtId="10" fontId="6" fillId="0" borderId="0" xfId="0" applyNumberFormat="1" applyFont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 wrapText="1"/>
    </xf>
    <xf numFmtId="3" fontId="4" fillId="2" borderId="2" xfId="0" applyNumberFormat="1" applyFont="1" applyFill="1" applyBorder="1" applyAlignment="1" applyProtection="1">
      <alignment horizontal="center" vertical="center" wrapText="1"/>
    </xf>
    <xf numFmtId="3" fontId="4" fillId="2" borderId="2" xfId="0" applyNumberFormat="1" applyFont="1" applyFill="1" applyBorder="1" applyAlignment="1" applyProtection="1">
      <alignment horizontal="center" vertical="center"/>
    </xf>
    <xf numFmtId="3" fontId="4" fillId="2" borderId="13" xfId="0" applyNumberFormat="1" applyFont="1" applyFill="1" applyBorder="1" applyAlignment="1" applyProtection="1">
      <alignment horizontal="center" vertical="center" wrapText="1"/>
    </xf>
    <xf numFmtId="3" fontId="4" fillId="2" borderId="15" xfId="0" applyNumberFormat="1" applyFont="1" applyFill="1" applyBorder="1" applyAlignment="1" applyProtection="1">
      <alignment horizontal="center" vertical="center"/>
    </xf>
    <xf numFmtId="3" fontId="4" fillId="2" borderId="10" xfId="0" applyNumberFormat="1" applyFont="1" applyFill="1" applyBorder="1" applyAlignment="1" applyProtection="1">
      <alignment horizontal="center" vertical="center"/>
    </xf>
    <xf numFmtId="3" fontId="4" fillId="2" borderId="11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3" fontId="4" fillId="2" borderId="15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7">
    <dxf>
      <font>
        <b/>
        <i val="0"/>
        <color theme="0"/>
      </font>
      <fill>
        <patternFill>
          <bgColor rgb="FFFF0000"/>
        </patternFill>
      </fill>
    </dxf>
    <dxf>
      <border>
        <left style="thin">
          <color theme="0" tint="-0.499984740745262"/>
        </left>
        <right style="thin">
          <color theme="0" tint="-0.499984740745262"/>
        </right>
        <top style="hair">
          <color theme="0" tint="-0.499984740745262"/>
        </top>
        <bottom style="hair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ill>
        <patternFill>
          <bgColor theme="0" tint="-0.14996795556505021"/>
        </patternFill>
      </fill>
    </dxf>
    <dxf>
      <border>
        <bottom style="dashed">
          <color auto="1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>
        <left style="thin">
          <color theme="0" tint="-0.499984740745262"/>
        </left>
        <right style="thin">
          <color theme="0" tint="-0.499984740745262"/>
        </right>
        <top style="hair">
          <color theme="0" tint="-0.499984740745262"/>
        </top>
        <bottom style="hair">
          <color theme="0" tint="-0.499984740745262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"/>
  <sheetViews>
    <sheetView showGridLines="0" tabSelected="1" zoomScale="115" zoomScaleNormal="115" workbookViewId="0">
      <pane ySplit="4" topLeftCell="A5" activePane="bottomLeft" state="frozen"/>
      <selection activeCell="B1" sqref="B1"/>
      <selection pane="bottomLeft" activeCell="G16" sqref="G16"/>
    </sheetView>
  </sheetViews>
  <sheetFormatPr defaultRowHeight="12.75"/>
  <cols>
    <col min="1" max="1" width="8.85546875" style="34" customWidth="1"/>
    <col min="2" max="2" width="10.7109375" style="21" customWidth="1"/>
    <col min="3" max="3" width="8.85546875" style="21" customWidth="1"/>
    <col min="4" max="4" width="8.85546875" style="34" customWidth="1"/>
    <col min="5" max="6" width="8.7109375" style="34" customWidth="1"/>
    <col min="7" max="7" width="30.7109375" style="27" customWidth="1"/>
    <col min="8" max="8" width="8.7109375" style="34" customWidth="1"/>
    <col min="9" max="9" width="10.7109375" style="47" customWidth="1"/>
    <col min="10" max="11" width="10.7109375" style="24" customWidth="1"/>
    <col min="12" max="14" width="10.7109375" style="47" customWidth="1"/>
    <col min="15" max="15" width="10.7109375" style="24" customWidth="1"/>
    <col min="16" max="17" width="8.7109375" style="48" customWidth="1"/>
    <col min="18" max="21" width="12.7109375" style="47" customWidth="1"/>
    <col min="22" max="16384" width="9.140625" style="46"/>
  </cols>
  <sheetData>
    <row r="1" spans="1:21" s="37" customFormat="1" ht="27.75" customHeight="1" thickBot="1">
      <c r="A1" s="28"/>
      <c r="B1" s="15" t="str">
        <f>Ассортимент!C2</f>
        <v>КУКУРУЗА</v>
      </c>
      <c r="C1" s="15"/>
      <c r="D1" s="28"/>
      <c r="E1" s="28"/>
      <c r="F1" s="28"/>
      <c r="G1" s="25"/>
      <c r="H1" s="28"/>
      <c r="I1" s="35"/>
      <c r="J1" s="22"/>
      <c r="K1" s="22"/>
      <c r="L1" s="35"/>
      <c r="M1" s="35"/>
      <c r="N1" s="35"/>
      <c r="O1" s="22"/>
      <c r="P1" s="36"/>
      <c r="Q1" s="36"/>
      <c r="R1" s="35"/>
      <c r="S1" s="35"/>
      <c r="T1" s="35"/>
      <c r="U1" s="35"/>
    </row>
    <row r="2" spans="1:21" s="28" customFormat="1" ht="15" customHeight="1" thickTop="1" thickBot="1">
      <c r="A2" s="49" t="s">
        <v>0</v>
      </c>
      <c r="B2" s="50" t="s">
        <v>1</v>
      </c>
      <c r="C2" s="50" t="s">
        <v>2</v>
      </c>
      <c r="D2" s="29"/>
      <c r="E2" s="50" t="s">
        <v>29</v>
      </c>
      <c r="F2" s="50" t="s">
        <v>30</v>
      </c>
      <c r="G2" s="50" t="s">
        <v>33</v>
      </c>
      <c r="H2" s="50" t="s">
        <v>3</v>
      </c>
      <c r="I2" s="55" t="s">
        <v>37</v>
      </c>
      <c r="J2" s="55" t="s">
        <v>22</v>
      </c>
      <c r="K2" s="53" t="s">
        <v>7</v>
      </c>
      <c r="L2" s="53" t="s">
        <v>8</v>
      </c>
      <c r="M2" s="54" t="s">
        <v>23</v>
      </c>
      <c r="N2" s="54"/>
      <c r="O2" s="55" t="s">
        <v>27</v>
      </c>
      <c r="P2" s="59" t="s">
        <v>24</v>
      </c>
      <c r="Q2" s="60"/>
      <c r="R2" s="60"/>
      <c r="S2" s="61"/>
      <c r="T2" s="57" t="s">
        <v>4</v>
      </c>
      <c r="U2" s="58"/>
    </row>
    <row r="3" spans="1:21" s="28" customFormat="1" ht="16.5" customHeight="1" thickTop="1" thickBot="1">
      <c r="A3" s="49"/>
      <c r="B3" s="52"/>
      <c r="C3" s="52"/>
      <c r="D3" s="30"/>
      <c r="E3" s="51"/>
      <c r="F3" s="51"/>
      <c r="G3" s="52"/>
      <c r="H3" s="52"/>
      <c r="I3" s="62"/>
      <c r="J3" s="56"/>
      <c r="K3" s="54"/>
      <c r="L3" s="54"/>
      <c r="M3" s="38" t="s">
        <v>5</v>
      </c>
      <c r="N3" s="38" t="s">
        <v>6</v>
      </c>
      <c r="O3" s="62"/>
      <c r="P3" s="39" t="s">
        <v>20</v>
      </c>
      <c r="Q3" s="39" t="s">
        <v>21</v>
      </c>
      <c r="R3" s="38" t="s">
        <v>32</v>
      </c>
      <c r="S3" s="38" t="s">
        <v>17</v>
      </c>
      <c r="T3" s="38" t="s">
        <v>18</v>
      </c>
      <c r="U3" s="38" t="s">
        <v>19</v>
      </c>
    </row>
    <row r="4" spans="1:21" s="28" customFormat="1" ht="14.25" thickTop="1" thickBot="1">
      <c r="A4" s="49"/>
      <c r="B4" s="31"/>
      <c r="C4" s="31"/>
      <c r="D4" s="31"/>
      <c r="E4" s="31"/>
      <c r="F4" s="31"/>
      <c r="G4" s="31"/>
      <c r="H4" s="31"/>
      <c r="I4" s="40" t="s">
        <v>28</v>
      </c>
      <c r="J4" s="40"/>
      <c r="K4" s="16">
        <f>SUBTOTAL(109,K5:K14)</f>
        <v>8244</v>
      </c>
      <c r="L4" s="16">
        <f>SUBTOTAL(109,L5:L14)</f>
        <v>6595.2000000000007</v>
      </c>
      <c r="M4" s="16">
        <f>SUBTOTAL(109,M5:M14)/2</f>
        <v>6595.2</v>
      </c>
      <c r="N4" s="17">
        <f>SUBTOTAL(109,N5:N14)</f>
        <v>9395</v>
      </c>
      <c r="O4" s="41" t="s">
        <v>26</v>
      </c>
      <c r="P4" s="42" t="s">
        <v>25</v>
      </c>
      <c r="Q4" s="42" t="s">
        <v>25</v>
      </c>
      <c r="R4" s="16">
        <f>SUBTOTAL(109,R5:R14)</f>
        <v>-2799.8</v>
      </c>
      <c r="S4" s="18">
        <f>SUBTOTAL(109,S5:S14)</f>
        <v>-7559.4600000000019</v>
      </c>
      <c r="T4" s="19">
        <f>SUBTOTAL(109,T5:T14)</f>
        <v>9251.0065578569865</v>
      </c>
      <c r="U4" s="16">
        <f>SUBTOTAL(109,U5:U14)</f>
        <v>-1007.0065578569871</v>
      </c>
    </row>
    <row r="5" spans="1:21" s="45" customFormat="1" ht="15" customHeight="1" thickTop="1">
      <c r="A5" s="33">
        <f>IFERROR(VLOOKUP(G5,Ассортимент!C:H,2,FALSE),0)</f>
        <v>0</v>
      </c>
      <c r="B5" s="20">
        <v>41610</v>
      </c>
      <c r="C5" s="20" t="s">
        <v>15</v>
      </c>
      <c r="D5" s="32" t="str">
        <f>CONCATENATE(B5,C5)</f>
        <v>41610День</v>
      </c>
      <c r="E5" s="33">
        <f>IFERROR(VLOOKUP(G5,Ассортимент!C:H,3,FALSE),"")</f>
        <v>480927</v>
      </c>
      <c r="F5" s="33">
        <f>IFERROR(VLOOKUP(G5,Ассортимент!C:H,4,FALSE),"")</f>
        <v>0</v>
      </c>
      <c r="G5" s="26" t="s">
        <v>34</v>
      </c>
      <c r="H5" s="33">
        <f>IFERROR(VLOOKUP(G5,Ассортимент!C:H,5,FALSE),"")</f>
        <v>0.8</v>
      </c>
      <c r="I5" s="43" t="str">
        <f>IF(G5=Ассортимент!$C$3,IF(C5=Ассортимент!$I$3,SUMIF(B:B,LOOKUP(B5-1,B:B),O:O),SUMIF(B:B,LOOKUP(B5,B:B),O:O)),"")</f>
        <v/>
      </c>
      <c r="J5" s="23"/>
      <c r="K5" s="23">
        <v>756</v>
      </c>
      <c r="L5" s="43">
        <f>IFERROR(K5*H5,"")</f>
        <v>604.80000000000007</v>
      </c>
      <c r="M5" s="43">
        <f>IF(G5=Ассортимент!$C$3,SUMIF(D:D,D5,L:L),L5)</f>
        <v>604.80000000000007</v>
      </c>
      <c r="N5" s="43" t="str">
        <f>IF(G5=Ассортимент!$C$3,I5+J5-O5,"")</f>
        <v/>
      </c>
      <c r="O5" s="23"/>
      <c r="P5" s="44" t="str">
        <f>IFERROR(VLOOKUP(G5,Ассортимент!C:H,6,FALSE),"")</f>
        <v>-</v>
      </c>
      <c r="Q5" s="44" t="str">
        <f>IFERROR(M5/N5-1,"")</f>
        <v/>
      </c>
      <c r="R5" s="43" t="str">
        <f>IF(N5="","",M5-N5)</f>
        <v/>
      </c>
      <c r="S5" s="43" t="str">
        <f t="shared" ref="S5" si="0">IF(N5="","",(M5-N5)*A5)</f>
        <v/>
      </c>
      <c r="T5" s="43">
        <f>IF(U5="","",IF(K5-U5=0,"",K5-U5))</f>
        <v>758.74003294892907</v>
      </c>
      <c r="U5" s="43">
        <f>IF(IF(G5=Ассортимент!$C$3,"",SUMIF(D:D,D5,Q:Q)*K5)=0,"",IF(G5=Ассортимент!$C$3,"",SUMIF(D:D,D5,Q:Q)*K5))</f>
        <v>-2.7400329489290458</v>
      </c>
    </row>
    <row r="6" spans="1:21" s="45" customFormat="1" ht="15" customHeight="1">
      <c r="A6" s="33">
        <f>IFERROR(VLOOKUP(G6,Ассортимент!C:H,2,FALSE),0)</f>
        <v>2.7</v>
      </c>
      <c r="B6" s="20">
        <v>41610</v>
      </c>
      <c r="C6" s="20" t="s">
        <v>15</v>
      </c>
      <c r="D6" s="32" t="str">
        <f t="shared" ref="D6:D14" si="1">CONCATENATE(B6,C6)</f>
        <v>41610День</v>
      </c>
      <c r="E6" s="33">
        <f>IFERROR(VLOOKUP(G6,Ассортимент!C:H,3,FALSE),"")</f>
        <v>72310</v>
      </c>
      <c r="F6" s="33">
        <f>IFERROR(VLOOKUP(G6,Ассортимент!C:H,4,FALSE),"")</f>
        <v>0</v>
      </c>
      <c r="G6" s="26" t="s">
        <v>9</v>
      </c>
      <c r="H6" s="33" t="str">
        <f>IFERROR(VLOOKUP(G6,Ассортимент!C:H,5,FALSE),"")</f>
        <v>-</v>
      </c>
      <c r="I6" s="43">
        <f>IF(G6=Ассортимент!$C$3,IF(C6=Ассортимент!$I$3,SUMIF(B:B,LOOKUP(B6-1,B:B),O:O),SUMIF(B:B,LOOKUP(B6,B:B),O:O)),"")</f>
        <v>0</v>
      </c>
      <c r="J6" s="23">
        <v>5407</v>
      </c>
      <c r="K6" s="23"/>
      <c r="L6" s="43" t="str">
        <f t="shared" ref="L6:L14" si="2">IFERROR(K6*H6,"")</f>
        <v/>
      </c>
      <c r="M6" s="43">
        <f>IF(G6=Ассортимент!$C$3,SUMIF(D:D,D6,L:L),L6)</f>
        <v>604.80000000000007</v>
      </c>
      <c r="N6" s="43">
        <f>IF(G6=Ассортимент!$C$3,I6+J6-O6,"")</f>
        <v>607</v>
      </c>
      <c r="O6" s="23">
        <v>4800</v>
      </c>
      <c r="P6" s="44">
        <f>IFERROR(VLOOKUP(G6,Ассортимент!C:H,6,FALSE),"")</f>
        <v>4.0000000000000001E-3</v>
      </c>
      <c r="Q6" s="44">
        <f t="shared" ref="Q6:Q14" si="3">IFERROR(M6/N6-1,"")</f>
        <v>-3.6243822075781029E-3</v>
      </c>
      <c r="R6" s="43">
        <f t="shared" ref="R6:R14" si="4">IF(N6="","",M6-N6)</f>
        <v>-2.1999999999999318</v>
      </c>
      <c r="S6" s="43">
        <f t="shared" ref="S6:S14" si="5">IF(N6="","",(M6-N6)*A6)</f>
        <v>-5.9399999999998165</v>
      </c>
      <c r="T6" s="43" t="str">
        <f t="shared" ref="T6:T14" si="6">IF(U6="","",IF(K6-U6=0,"",K6-U6))</f>
        <v/>
      </c>
      <c r="U6" s="43" t="str">
        <f>IF(IF(G6=Ассортимент!$C$3,"",SUMIF(D:D,D6,Q:Q)*K6)=0,"",IF(G6=Ассортимент!$C$3,"",SUMIF(D:D,D6,Q:Q)*K6))</f>
        <v/>
      </c>
    </row>
    <row r="7" spans="1:21" s="45" customFormat="1" ht="15" customHeight="1">
      <c r="A7" s="33">
        <f>IFERROR(VLOOKUP(G7,Ассортимент!C:H,2,FALSE),0)</f>
        <v>0</v>
      </c>
      <c r="B7" s="20">
        <v>41610</v>
      </c>
      <c r="C7" s="20" t="s">
        <v>16</v>
      </c>
      <c r="D7" s="32" t="str">
        <f t="shared" si="1"/>
        <v>41610Ночь</v>
      </c>
      <c r="E7" s="33">
        <f>IFERROR(VLOOKUP(G7,Ассортимент!C:H,3,FALSE),"")</f>
        <v>480927</v>
      </c>
      <c r="F7" s="33">
        <f>IFERROR(VLOOKUP(G7,Ассортимент!C:H,4,FALSE),"")</f>
        <v>0</v>
      </c>
      <c r="G7" s="26" t="s">
        <v>34</v>
      </c>
      <c r="H7" s="33">
        <f>IFERROR(VLOOKUP(G7,Ассортимент!C:H,5,FALSE),"")</f>
        <v>0.8</v>
      </c>
      <c r="I7" s="43" t="str">
        <f>IF(G7=Ассортимент!$C$3,IF(C7=Ассортимент!$I$3,SUMIF(B:B,LOOKUP(B7-1,B:B),O:O),SUMIF(B:B,LOOKUP(B7,B:B),O:O)),"")</f>
        <v/>
      </c>
      <c r="J7" s="23"/>
      <c r="K7" s="23">
        <v>3000</v>
      </c>
      <c r="L7" s="43">
        <f t="shared" si="2"/>
        <v>2400</v>
      </c>
      <c r="M7" s="43">
        <f>IF(G7=Ассортимент!$C$3,SUMIF(D:D,D7,L:L),L7)</f>
        <v>2400</v>
      </c>
      <c r="N7" s="43" t="str">
        <f>IF(G7=Ассортимент!$C$3,I7+J7-O7,"")</f>
        <v/>
      </c>
      <c r="O7" s="23"/>
      <c r="P7" s="44" t="str">
        <f>IFERROR(VLOOKUP(G7,Ассортимент!C:H,6,FALSE),"")</f>
        <v>-</v>
      </c>
      <c r="Q7" s="44" t="str">
        <f t="shared" si="3"/>
        <v/>
      </c>
      <c r="R7" s="43" t="str">
        <f t="shared" si="4"/>
        <v/>
      </c>
      <c r="S7" s="43" t="str">
        <f t="shared" si="5"/>
        <v/>
      </c>
      <c r="T7" s="43">
        <f t="shared" si="6"/>
        <v>2986</v>
      </c>
      <c r="U7" s="43">
        <f>IF(IF(G7=Ассортимент!$C$3,"",SUMIF(D:D,D7,Q:Q)*K7)=0,"",IF(G7=Ассортимент!$C$3,"",SUMIF(D:D,D7,Q:Q)*K7))</f>
        <v>13.99999999999979</v>
      </c>
    </row>
    <row r="8" spans="1:21" s="45" customFormat="1" ht="15" customHeight="1">
      <c r="A8" s="33">
        <f>IFERROR(VLOOKUP(G8,Ассортимент!C:H,2,FALSE),0)</f>
        <v>0</v>
      </c>
      <c r="B8" s="20">
        <v>41610</v>
      </c>
      <c r="C8" s="20" t="s">
        <v>16</v>
      </c>
      <c r="D8" s="32" t="str">
        <f t="shared" si="1"/>
        <v>41610Ночь</v>
      </c>
      <c r="E8" s="33">
        <f>IFERROR(VLOOKUP(G8,Ассортимент!C:H,3,FALSE),"")</f>
        <v>519281</v>
      </c>
      <c r="F8" s="33">
        <f>IFERROR(VLOOKUP(G8,Ассортимент!C:H,4,FALSE),"")</f>
        <v>0</v>
      </c>
      <c r="G8" s="26" t="s">
        <v>35</v>
      </c>
      <c r="H8" s="33">
        <f>IFERROR(VLOOKUP(G8,Ассортимент!C:H,5,FALSE),"")</f>
        <v>0.8</v>
      </c>
      <c r="I8" s="43" t="str">
        <f>IF(G8=Ассортимент!$C$3,IF(C8=Ассортимент!$I$3,SUMIF(B:B,LOOKUP(B8-1,B:B),O:O),SUMIF(B:B,LOOKUP(B8,B:B),O:O)),"")</f>
        <v/>
      </c>
      <c r="J8" s="23"/>
      <c r="K8" s="23">
        <v>3028</v>
      </c>
      <c r="L8" s="43">
        <f t="shared" si="2"/>
        <v>2422.4</v>
      </c>
      <c r="M8" s="43">
        <f>IF(G8=Ассортимент!$C$3,SUMIF(D:D,D8,L:L),L8)</f>
        <v>2422.4</v>
      </c>
      <c r="N8" s="43" t="str">
        <f>IF(G8=Ассортимент!$C$3,I8+J8-O8,"")</f>
        <v/>
      </c>
      <c r="O8" s="23"/>
      <c r="P8" s="44" t="str">
        <f>IFERROR(VLOOKUP(G8,Ассортимент!C:H,6,FALSE),"")</f>
        <v>-</v>
      </c>
      <c r="Q8" s="44" t="str">
        <f t="shared" si="3"/>
        <v/>
      </c>
      <c r="R8" s="43" t="str">
        <f t="shared" si="4"/>
        <v/>
      </c>
      <c r="S8" s="43" t="str">
        <f t="shared" si="5"/>
        <v/>
      </c>
      <c r="T8" s="43">
        <f t="shared" si="6"/>
        <v>3013.8693333333335</v>
      </c>
      <c r="U8" s="43">
        <f>IF(IF(G8=Ассортимент!$C$3,"",SUMIF(D:D,D8,Q:Q)*K8)=0,"",IF(G8=Ассортимент!$C$3,"",SUMIF(D:D,D8,Q:Q)*K8))</f>
        <v>14.130666666666455</v>
      </c>
    </row>
    <row r="9" spans="1:21" s="45" customFormat="1">
      <c r="A9" s="33">
        <f>IFERROR(VLOOKUP(G9,Ассортимент!C:H,2,FALSE),0)</f>
        <v>2.7</v>
      </c>
      <c r="B9" s="20">
        <v>41610</v>
      </c>
      <c r="C9" s="20" t="s">
        <v>16</v>
      </c>
      <c r="D9" s="32" t="str">
        <f t="shared" si="1"/>
        <v>41610Ночь</v>
      </c>
      <c r="E9" s="33">
        <f>IFERROR(VLOOKUP(G9,Ассортимент!C:H,3,FALSE),"")</f>
        <v>72310</v>
      </c>
      <c r="F9" s="33">
        <f>IFERROR(VLOOKUP(G9,Ассортимент!C:H,4,FALSE),"")</f>
        <v>0</v>
      </c>
      <c r="G9" s="26" t="s">
        <v>9</v>
      </c>
      <c r="H9" s="33" t="str">
        <f>IFERROR(VLOOKUP(G9,Ассортимент!C:H,5,FALSE),"")</f>
        <v>-</v>
      </c>
      <c r="I9" s="43">
        <f>IF(G9=Ассортимент!$C$3,IF(C9=Ассортимент!$I$3,SUMIF(B:B,LOOKUP(B9-1,B:B),O:O),SUMIF(B:B,LOOKUP(B9,B:B),O:O)),"")</f>
        <v>4800</v>
      </c>
      <c r="J9" s="23"/>
      <c r="K9" s="23"/>
      <c r="L9" s="43" t="str">
        <f t="shared" si="2"/>
        <v/>
      </c>
      <c r="M9" s="43">
        <f>IF(G9=Ассортимент!$C$3,SUMIF(D:D,D9,L:L),L9)</f>
        <v>4822.3999999999996</v>
      </c>
      <c r="N9" s="43">
        <f>IF(G9=Ассортимент!$C$3,I9+J9-O9,"")</f>
        <v>4800</v>
      </c>
      <c r="O9" s="23"/>
      <c r="P9" s="44">
        <f>IFERROR(VLOOKUP(G9,Ассортимент!C:H,6,FALSE),"")</f>
        <v>4.0000000000000001E-3</v>
      </c>
      <c r="Q9" s="44">
        <f t="shared" si="3"/>
        <v>4.6666666666665968E-3</v>
      </c>
      <c r="R9" s="43">
        <f t="shared" si="4"/>
        <v>22.399999999999636</v>
      </c>
      <c r="S9" s="43">
        <f t="shared" si="5"/>
        <v>60.479999999999023</v>
      </c>
      <c r="T9" s="43" t="str">
        <f t="shared" si="6"/>
        <v/>
      </c>
      <c r="U9" s="43" t="str">
        <f>IF(IF(G9=Ассортимент!$C$3,"",SUMIF(D:D,D9,Q:Q)*K9)=0,"",IF(G9=Ассортимент!$C$3,"",SUMIF(D:D,D9,Q:Q)*K9))</f>
        <v/>
      </c>
    </row>
    <row r="10" spans="1:21" s="45" customFormat="1">
      <c r="A10" s="33">
        <f>IFERROR(VLOOKUP(G10,Ассортимент!C:H,2,FALSE),0)</f>
        <v>0</v>
      </c>
      <c r="B10" s="20">
        <v>41617</v>
      </c>
      <c r="C10" s="20" t="s">
        <v>15</v>
      </c>
      <c r="D10" s="32" t="str">
        <f t="shared" si="1"/>
        <v>41617День</v>
      </c>
      <c r="E10" s="33">
        <f>IFERROR(VLOOKUP(G10,Ассортимент!C:H,3,FALSE),"")</f>
        <v>554793</v>
      </c>
      <c r="F10" s="33">
        <f>IFERROR(VLOOKUP(G10,Ассортимент!C:H,4,FALSE),"")</f>
        <v>0</v>
      </c>
      <c r="G10" s="26" t="s">
        <v>36</v>
      </c>
      <c r="H10" s="33">
        <f>IFERROR(VLOOKUP(G10,Ассортимент!C:H,5,FALSE),"")</f>
        <v>0.8</v>
      </c>
      <c r="I10" s="43" t="str">
        <f>IF(G10=Ассортимент!$C$3,IF(C10=Ассортимент!$I$3,SUMIF(B:B,LOOKUP(B10-1,B:B),O:O),SUMIF(B:B,LOOKUP(B10,B:B),O:O)),"")</f>
        <v/>
      </c>
      <c r="J10" s="23"/>
      <c r="K10" s="23">
        <v>1460</v>
      </c>
      <c r="L10" s="43">
        <f t="shared" si="2"/>
        <v>1168</v>
      </c>
      <c r="M10" s="43">
        <f>IF(G10=Ассортимент!$C$3,SUMIF(D:D,D10,L:L),L10)</f>
        <v>1168</v>
      </c>
      <c r="N10" s="43" t="str">
        <f>IF(G10=Ассортимент!$C$3,I10+J10-O10,"")</f>
        <v/>
      </c>
      <c r="O10" s="23"/>
      <c r="P10" s="44" t="str">
        <f>IFERROR(VLOOKUP(G10,Ассортимент!C:H,6,FALSE),"")</f>
        <v>-</v>
      </c>
      <c r="Q10" s="44" t="str">
        <f t="shared" si="3"/>
        <v/>
      </c>
      <c r="R10" s="43" t="str">
        <f t="shared" si="4"/>
        <v/>
      </c>
      <c r="S10" s="43" t="str">
        <f t="shared" si="5"/>
        <v/>
      </c>
      <c r="T10" s="43">
        <f t="shared" si="6"/>
        <v>2492.3971915747243</v>
      </c>
      <c r="U10" s="43">
        <f>IF(IF(G10=Ассортимент!$C$3,"",SUMIF(D:D,D10,Q:Q)*K10)=0,"",IF(G10=Ассортимент!$C$3,"",SUMIF(D:D,D10,Q:Q)*K10))</f>
        <v>-1032.3971915747243</v>
      </c>
    </row>
    <row r="11" spans="1:21" s="45" customFormat="1">
      <c r="A11" s="33">
        <f>IFERROR(VLOOKUP(G11,Ассортимент!C:H,2,FALSE),0)</f>
        <v>2.7</v>
      </c>
      <c r="B11" s="20">
        <v>41617</v>
      </c>
      <c r="C11" s="20" t="s">
        <v>15</v>
      </c>
      <c r="D11" s="32" t="str">
        <f t="shared" si="1"/>
        <v>41617День</v>
      </c>
      <c r="E11" s="33">
        <f>IFERROR(VLOOKUP(G11,Ассортимент!C:H,3,FALSE),"")</f>
        <v>72310</v>
      </c>
      <c r="F11" s="33">
        <f>IFERROR(VLOOKUP(G11,Ассортимент!C:H,4,FALSE),"")</f>
        <v>0</v>
      </c>
      <c r="G11" s="26" t="s">
        <v>9</v>
      </c>
      <c r="H11" s="33" t="str">
        <f>IFERROR(VLOOKUP(G11,Ассортимент!C:H,5,FALSE),"")</f>
        <v>-</v>
      </c>
      <c r="I11" s="43">
        <f>IF(G11=Ассортимент!$C$3,IF(C11=Ассортимент!$I$3,SUMIF(B:B,LOOKUP(B11-1,B:B),O:O),SUMIF(B:B,LOOKUP(B11,B:B),O:O)),"")</f>
        <v>4800</v>
      </c>
      <c r="J11" s="23"/>
      <c r="K11" s="23"/>
      <c r="L11" s="43" t="str">
        <f t="shared" si="2"/>
        <v/>
      </c>
      <c r="M11" s="43">
        <f>IF(G11=Ассортимент!$C$3,SUMIF(D:D,D11,L:L),L11)</f>
        <v>1168</v>
      </c>
      <c r="N11" s="43">
        <f>IF(G11=Ассортимент!$C$3,I11+J11-O11,"")</f>
        <v>3988</v>
      </c>
      <c r="O11" s="23">
        <v>812</v>
      </c>
      <c r="P11" s="44">
        <f>IFERROR(VLOOKUP(G11,Ассортимент!C:H,6,FALSE),"")</f>
        <v>4.0000000000000001E-3</v>
      </c>
      <c r="Q11" s="44">
        <f t="shared" si="3"/>
        <v>-0.70712136409227688</v>
      </c>
      <c r="R11" s="43">
        <f t="shared" si="4"/>
        <v>-2820</v>
      </c>
      <c r="S11" s="43">
        <f t="shared" si="5"/>
        <v>-7614.0000000000009</v>
      </c>
      <c r="T11" s="43" t="str">
        <f t="shared" si="6"/>
        <v/>
      </c>
      <c r="U11" s="43" t="str">
        <f>IF(IF(G11=Ассортимент!$C$3,"",SUMIF(D:D,D11,Q:Q)*K11)=0,"",IF(G11=Ассортимент!$C$3,"",SUMIF(D:D,D11,Q:Q)*K11))</f>
        <v/>
      </c>
    </row>
    <row r="12" spans="1:21" s="45" customFormat="1">
      <c r="A12" s="33">
        <f>IFERROR(VLOOKUP(G12,Ассортимент!C:H,2,FALSE),0)</f>
        <v>0</v>
      </c>
      <c r="B12" s="20"/>
      <c r="C12" s="20"/>
      <c r="D12" s="32" t="str">
        <f t="shared" si="1"/>
        <v/>
      </c>
      <c r="E12" s="33" t="str">
        <f>IFERROR(VLOOKUP(G12,Ассортимент!C:H,3,FALSE),"")</f>
        <v/>
      </c>
      <c r="F12" s="33" t="str">
        <f>IFERROR(VLOOKUP(G12,Ассортимент!C:H,4,FALSE),"")</f>
        <v/>
      </c>
      <c r="G12" s="26"/>
      <c r="H12" s="33" t="str">
        <f>IFERROR(VLOOKUP(G12,Ассортимент!C:H,5,FALSE),"")</f>
        <v/>
      </c>
      <c r="I12" s="43" t="str">
        <f>IF(G12=Ассортимент!$C$3,IF(C12=Ассортимент!$I$3,SUMIF(B:B,LOOKUP(B12-1,B:B),O:O),SUMIF(B:B,LOOKUP(B12,B:B),O:O)),"")</f>
        <v/>
      </c>
      <c r="J12" s="23"/>
      <c r="K12" s="23"/>
      <c r="L12" s="43" t="str">
        <f t="shared" si="2"/>
        <v/>
      </c>
      <c r="M12" s="43" t="str">
        <f>IF(G12=Ассортимент!$C$3,SUMIF(D:D,D12,L:L),L12)</f>
        <v/>
      </c>
      <c r="N12" s="43" t="str">
        <f>IF(G12=Ассортимент!$C$3,I12+J12-O12,"")</f>
        <v/>
      </c>
      <c r="O12" s="23"/>
      <c r="P12" s="44" t="str">
        <f>IFERROR(VLOOKUP(G12,Ассортимент!C:H,6,FALSE),"")</f>
        <v/>
      </c>
      <c r="Q12" s="44" t="str">
        <f t="shared" si="3"/>
        <v/>
      </c>
      <c r="R12" s="43" t="str">
        <f t="shared" si="4"/>
        <v/>
      </c>
      <c r="S12" s="43" t="str">
        <f t="shared" si="5"/>
        <v/>
      </c>
      <c r="T12" s="43" t="str">
        <f t="shared" si="6"/>
        <v/>
      </c>
      <c r="U12" s="43" t="str">
        <f>IF(IF(G12=Ассортимент!$C$3,"",SUMIF(D:D,D12,Q:Q)*K12)=0,"",IF(G12=Ассортимент!$C$3,"",SUMIF(D:D,D12,Q:Q)*K12))</f>
        <v/>
      </c>
    </row>
    <row r="13" spans="1:21" s="45" customFormat="1">
      <c r="A13" s="33">
        <f>IFERROR(VLOOKUP(G13,Ассортимент!C:H,2,FALSE),0)</f>
        <v>0</v>
      </c>
      <c r="B13" s="20"/>
      <c r="C13" s="20"/>
      <c r="D13" s="32" t="str">
        <f t="shared" si="1"/>
        <v/>
      </c>
      <c r="E13" s="33" t="str">
        <f>IFERROR(VLOOKUP(G13,Ассортимент!C:H,3,FALSE),"")</f>
        <v/>
      </c>
      <c r="F13" s="33" t="str">
        <f>IFERROR(VLOOKUP(G13,Ассортимент!C:H,4,FALSE),"")</f>
        <v/>
      </c>
      <c r="G13" s="26"/>
      <c r="H13" s="33" t="str">
        <f>IFERROR(VLOOKUP(G13,Ассортимент!C:H,5,FALSE),"")</f>
        <v/>
      </c>
      <c r="I13" s="43" t="str">
        <f>IF(G13=Ассортимент!$C$3,IF(C13=Ассортимент!$I$3,SUMIF(B:B,LOOKUP(B13-1,B:B),O:O),SUMIF(B:B,LOOKUP(B13,B:B),O:O)),"")</f>
        <v/>
      </c>
      <c r="J13" s="23"/>
      <c r="K13" s="23"/>
      <c r="L13" s="43" t="str">
        <f t="shared" si="2"/>
        <v/>
      </c>
      <c r="M13" s="43" t="str">
        <f>IF(G13=Ассортимент!$C$3,SUMIF(D:D,D13,L:L),L13)</f>
        <v/>
      </c>
      <c r="N13" s="43" t="str">
        <f>IF(G13=Ассортимент!$C$3,I13+J13-O13,"")</f>
        <v/>
      </c>
      <c r="O13" s="23"/>
      <c r="P13" s="44" t="str">
        <f>IFERROR(VLOOKUP(G13,Ассортимент!C:H,6,FALSE),"")</f>
        <v/>
      </c>
      <c r="Q13" s="44" t="str">
        <f t="shared" si="3"/>
        <v/>
      </c>
      <c r="R13" s="43" t="str">
        <f t="shared" si="4"/>
        <v/>
      </c>
      <c r="S13" s="43" t="str">
        <f t="shared" si="5"/>
        <v/>
      </c>
      <c r="T13" s="43" t="str">
        <f t="shared" si="6"/>
        <v/>
      </c>
      <c r="U13" s="43" t="str">
        <f>IF(IF(G13=Ассортимент!$C$3,"",SUMIF(D:D,D13,Q:Q)*K13)=0,"",IF(G13=Ассортимент!$C$3,"",SUMIF(D:D,D13,Q:Q)*K13))</f>
        <v/>
      </c>
    </row>
    <row r="14" spans="1:21">
      <c r="A14" s="33">
        <f>IFERROR(VLOOKUP(G14,Ассортимент!C:H,2,FALSE),0)</f>
        <v>0</v>
      </c>
      <c r="B14" s="20"/>
      <c r="C14" s="20"/>
      <c r="D14" s="32" t="str">
        <f t="shared" si="1"/>
        <v/>
      </c>
      <c r="E14" s="33" t="str">
        <f>IFERROR(VLOOKUP(G14,Ассортимент!C:H,3,FALSE),"")</f>
        <v/>
      </c>
      <c r="F14" s="33" t="str">
        <f>IFERROR(VLOOKUP(G14,Ассортимент!C:H,4,FALSE),"")</f>
        <v/>
      </c>
      <c r="G14" s="26"/>
      <c r="H14" s="33" t="str">
        <f>IFERROR(VLOOKUP(G14,Ассортимент!C:H,5,FALSE),"")</f>
        <v/>
      </c>
      <c r="I14" s="43" t="str">
        <f>IF(G14=Ассортимент!$C$3,IF(C14=Ассортимент!$I$3,SUMIF(B:B,LOOKUP(B14-1,B:B),O:O),SUMIF(B:B,LOOKUP(B14,B:B),O:O)),"")</f>
        <v/>
      </c>
      <c r="J14" s="23"/>
      <c r="K14" s="23"/>
      <c r="L14" s="43" t="str">
        <f t="shared" si="2"/>
        <v/>
      </c>
      <c r="M14" s="43" t="str">
        <f>IF(G14=Ассортимент!$C$3,SUMIF(D:D,D14,L:L),L14)</f>
        <v/>
      </c>
      <c r="N14" s="43" t="str">
        <f>IF(G14=Ассортимент!$C$3,I14+J14-O14,"")</f>
        <v/>
      </c>
      <c r="O14" s="23"/>
      <c r="P14" s="44" t="str">
        <f>IFERROR(VLOOKUP(G14,Ассортимент!C:H,6,FALSE),"")</f>
        <v/>
      </c>
      <c r="Q14" s="44" t="str">
        <f t="shared" si="3"/>
        <v/>
      </c>
      <c r="R14" s="43" t="str">
        <f t="shared" si="4"/>
        <v/>
      </c>
      <c r="S14" s="43" t="str">
        <f t="shared" si="5"/>
        <v/>
      </c>
      <c r="T14" s="43" t="str">
        <f t="shared" si="6"/>
        <v/>
      </c>
      <c r="U14" s="43" t="str">
        <f>IF(IF(G14=Ассортимент!$C$3,"",SUMIF(D:D,D14,Q:Q)*K14)=0,"",IF(G14=Ассортимент!$C$3,"",SUMIF(D:D,D14,Q:Q)*K14))</f>
        <v/>
      </c>
    </row>
    <row r="15" spans="1:21">
      <c r="I15" s="47" t="str">
        <f>IF(G15=Ассортимент!$C$3,IF(C15=Ассортимент!$I$3,SUMIF(B:B,LOOKUP(B15-1,B:B),O:O),SUMIF(B:B,LOOKUP(B15,B:B),O:O)),"")</f>
        <v/>
      </c>
    </row>
    <row r="16" spans="1:21">
      <c r="I16" s="47" t="str">
        <f>IF(G16=Ассортимент!$C$3,IF(C16=Ассортимент!$I$3,SUMIF(B:B,LOOKUP(B16-1,B:B),O:O),SUMIF(B:B,LOOKUP(B16,B:B),O:O)),"")</f>
        <v/>
      </c>
    </row>
    <row r="17" spans="9:9">
      <c r="I17" s="47" t="str">
        <f>IF(G17=Ассортимент!$C$3,IF(C17=Ассортимент!$I$3,SUMIF(B:B,LOOKUP(B17-1,B:B),O:O),SUMIF(B:B,LOOKUP(B17,B:B),O:O)),"")</f>
        <v/>
      </c>
    </row>
    <row r="18" spans="9:9">
      <c r="I18" s="47" t="str">
        <f>IF(G18=Ассортимент!$C$3,IF(C18=Ассортимент!$I$3,SUMIF(B:B,LOOKUP(B18-1,B:B),O:O),SUMIF(B:B,LOOKUP(B18,B:B),O:O)),"")</f>
        <v/>
      </c>
    </row>
    <row r="19" spans="9:9">
      <c r="I19" s="47" t="str">
        <f>IF(G19=Ассортимент!$C$3,IF(C19=Ассортимент!$I$3,SUMIF(B:B,LOOKUP(B19-1,B:B),O:O),SUMIF(B:B,LOOKUP(B19,B:B),O:O)),"")</f>
        <v/>
      </c>
    </row>
    <row r="20" spans="9:9">
      <c r="I20" s="47" t="str">
        <f>IF(G20=Ассортимент!$C$3,IF(C20=Ассортимент!$I$3,SUMIF(B:B,LOOKUP(B20-1,B:B),O:O),SUMIF(B:B,LOOKUP(B20,B:B),O:O)),"")</f>
        <v/>
      </c>
    </row>
    <row r="21" spans="9:9">
      <c r="I21" s="47" t="str">
        <f>IF(G21=Ассортимент!$C$3,IF(C21=Ассортимент!$I$3,SUMIF(B:B,LOOKUP(B21-1,B:B),O:O),SUMIF(B:B,LOOKUP(B21,B:B),O:O)),"")</f>
        <v/>
      </c>
    </row>
    <row r="22" spans="9:9">
      <c r="I22" s="47" t="str">
        <f>IF(G22=Ассортимент!$C$3,IF(C22=Ассортимент!$I$3,SUMIF(B:B,LOOKUP(B22-1,B:B),O:O),SUMIF(B:B,LOOKUP(B22,B:B),O:O)),"")</f>
        <v/>
      </c>
    </row>
    <row r="23" spans="9:9">
      <c r="I23" s="47" t="str">
        <f>IF(G23=Ассортимент!$C$3,IF(C23=Ассортимент!$I$3,SUMIF(B:B,LOOKUP(B23-1,B:B),O:O),SUMIF(B:B,LOOKUP(B23,B:B),O:O)),"")</f>
        <v/>
      </c>
    </row>
  </sheetData>
  <autoFilter ref="B4:U14">
    <filterColumn colId="2"/>
    <filterColumn colId="4"/>
    <filterColumn colId="13"/>
    <filterColumn colId="16"/>
  </autoFilter>
  <mergeCells count="15">
    <mergeCell ref="T2:U2"/>
    <mergeCell ref="P2:S2"/>
    <mergeCell ref="O2:O3"/>
    <mergeCell ref="I2:I3"/>
    <mergeCell ref="H2:H3"/>
    <mergeCell ref="G2:G3"/>
    <mergeCell ref="L2:L3"/>
    <mergeCell ref="J2:J3"/>
    <mergeCell ref="K2:K3"/>
    <mergeCell ref="M2:N2"/>
    <mergeCell ref="A2:A4"/>
    <mergeCell ref="E2:E3"/>
    <mergeCell ref="B2:B3"/>
    <mergeCell ref="C2:C3"/>
    <mergeCell ref="F2:F3"/>
  </mergeCells>
  <conditionalFormatting sqref="S5:U14 A5:Q14">
    <cfRule type="expression" dxfId="6" priority="14">
      <formula>$B5&lt;&gt;0</formula>
    </cfRule>
  </conditionalFormatting>
  <conditionalFormatting sqref="S5:U14 A5:Q14">
    <cfRule type="expression" dxfId="5" priority="13">
      <formula>$G5="Всего"</formula>
    </cfRule>
  </conditionalFormatting>
  <conditionalFormatting sqref="B6:B14">
    <cfRule type="expression" dxfId="4" priority="17">
      <formula>B5&lt;&gt;0</formula>
    </cfRule>
  </conditionalFormatting>
  <conditionalFormatting sqref="A5:U14">
    <cfRule type="expression" dxfId="3" priority="11">
      <formula>ISODD($B5)</formula>
    </cfRule>
  </conditionalFormatting>
  <conditionalFormatting sqref="R5:R14">
    <cfRule type="expression" dxfId="2" priority="8">
      <formula>$G5="Всего"</formula>
    </cfRule>
    <cfRule type="expression" dxfId="1" priority="9">
      <formula>$B5&lt;&gt;0</formula>
    </cfRule>
  </conditionalFormatting>
  <conditionalFormatting sqref="S1 S5:S14">
    <cfRule type="cellIs" dxfId="0" priority="5" operator="lessThan">
      <formula>0</formula>
    </cfRule>
  </conditionalFormatting>
  <dataValidations count="3">
    <dataValidation type="list" allowBlank="1" showInputMessage="1" showErrorMessage="1" sqref="G5:G1048576">
      <formula1>к1</formula1>
    </dataValidation>
    <dataValidation type="list" allowBlank="1" showInputMessage="1" showErrorMessage="1" sqref="C5:C1048576">
      <formula1>смены</formula1>
    </dataValidation>
    <dataValidation type="date" allowBlank="1" showInputMessage="1" showErrorMessage="1" sqref="B5:B14">
      <formula1>40179</formula1>
      <formula2>43831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32"/>
  <sheetViews>
    <sheetView showGridLines="0" workbookViewId="0">
      <selection activeCell="J8" sqref="J8"/>
    </sheetView>
  </sheetViews>
  <sheetFormatPr defaultRowHeight="15"/>
  <cols>
    <col min="1" max="1" width="0.85546875" customWidth="1"/>
    <col min="2" max="2" width="5.7109375" style="1" customWidth="1"/>
    <col min="3" max="3" width="36.85546875" customWidth="1"/>
    <col min="4" max="4" width="15.7109375" style="1" customWidth="1"/>
    <col min="5" max="7" width="15.7109375" customWidth="1"/>
    <col min="8" max="8" width="15.7109375" style="10" customWidth="1"/>
    <col min="9" max="9" width="10.85546875" customWidth="1"/>
  </cols>
  <sheetData>
    <row r="1" spans="2:9" ht="30" customHeight="1" thickBot="1">
      <c r="B1" s="8" t="s">
        <v>13</v>
      </c>
      <c r="C1" s="8"/>
      <c r="E1" s="9"/>
      <c r="F1" s="9"/>
    </row>
    <row r="2" spans="2:9" s="1" customFormat="1" ht="35.1" customHeight="1" thickTop="1" thickBot="1">
      <c r="B2" s="7" t="s">
        <v>12</v>
      </c>
      <c r="C2" s="7" t="s">
        <v>10</v>
      </c>
      <c r="D2" s="7" t="s">
        <v>0</v>
      </c>
      <c r="E2" s="7" t="s">
        <v>29</v>
      </c>
      <c r="F2" s="7" t="s">
        <v>30</v>
      </c>
      <c r="G2" s="7" t="s">
        <v>3</v>
      </c>
      <c r="H2" s="11" t="s">
        <v>11</v>
      </c>
      <c r="I2" s="1" t="s">
        <v>14</v>
      </c>
    </row>
    <row r="3" spans="2:9" ht="15.75" thickTop="1">
      <c r="B3" s="5">
        <v>1</v>
      </c>
      <c r="C3" s="2" t="s">
        <v>9</v>
      </c>
      <c r="D3" s="5">
        <v>2.7</v>
      </c>
      <c r="E3" s="2">
        <v>72310</v>
      </c>
      <c r="F3" s="2"/>
      <c r="G3" s="5" t="str">
        <f>"-"</f>
        <v>-</v>
      </c>
      <c r="H3" s="12">
        <v>4.0000000000000001E-3</v>
      </c>
      <c r="I3" s="1" t="s">
        <v>15</v>
      </c>
    </row>
    <row r="4" spans="2:9">
      <c r="B4" s="5">
        <v>2</v>
      </c>
      <c r="C4" s="2" t="s">
        <v>34</v>
      </c>
      <c r="D4" s="5"/>
      <c r="E4" s="2">
        <v>480927</v>
      </c>
      <c r="F4" s="2"/>
      <c r="G4" s="2">
        <v>0.8</v>
      </c>
      <c r="H4" s="14" t="s">
        <v>31</v>
      </c>
      <c r="I4" s="1" t="s">
        <v>16</v>
      </c>
    </row>
    <row r="5" spans="2:9">
      <c r="B5" s="5">
        <v>3</v>
      </c>
      <c r="C5" s="4" t="s">
        <v>35</v>
      </c>
      <c r="D5" s="5"/>
      <c r="E5" s="2">
        <v>519281</v>
      </c>
      <c r="F5" s="2"/>
      <c r="G5" s="2">
        <v>0.8</v>
      </c>
      <c r="H5" s="14" t="s">
        <v>31</v>
      </c>
    </row>
    <row r="6" spans="2:9">
      <c r="B6" s="5">
        <v>4</v>
      </c>
      <c r="C6" s="2" t="s">
        <v>36</v>
      </c>
      <c r="D6" s="5"/>
      <c r="E6" s="2">
        <v>554793</v>
      </c>
      <c r="F6" s="2"/>
      <c r="G6" s="2">
        <v>0.8</v>
      </c>
      <c r="H6" s="14" t="s">
        <v>31</v>
      </c>
    </row>
    <row r="7" spans="2:9">
      <c r="B7" s="5">
        <v>5</v>
      </c>
      <c r="C7" s="2"/>
      <c r="D7" s="5"/>
      <c r="E7" s="2"/>
      <c r="F7" s="2"/>
      <c r="G7" s="2"/>
      <c r="H7" s="14"/>
    </row>
    <row r="8" spans="2:9">
      <c r="B8" s="5">
        <v>6</v>
      </c>
      <c r="C8" s="2"/>
      <c r="D8" s="5"/>
      <c r="E8" s="2"/>
      <c r="F8" s="2"/>
      <c r="G8" s="2"/>
      <c r="H8" s="12"/>
    </row>
    <row r="9" spans="2:9">
      <c r="B9" s="5">
        <v>7</v>
      </c>
      <c r="C9" s="4"/>
      <c r="D9" s="5"/>
      <c r="E9" s="2"/>
      <c r="F9" s="2"/>
      <c r="G9" s="2"/>
      <c r="H9" s="12"/>
    </row>
    <row r="10" spans="2:9">
      <c r="B10" s="5">
        <v>8</v>
      </c>
      <c r="C10" s="2"/>
      <c r="D10" s="5"/>
      <c r="E10" s="2"/>
      <c r="F10" s="2"/>
      <c r="G10" s="2"/>
      <c r="H10" s="12"/>
    </row>
    <row r="11" spans="2:9">
      <c r="B11" s="5">
        <v>9</v>
      </c>
      <c r="C11" s="2"/>
      <c r="D11" s="5"/>
      <c r="E11" s="2"/>
      <c r="F11" s="2"/>
      <c r="G11" s="2"/>
      <c r="H11" s="12"/>
    </row>
    <row r="12" spans="2:9">
      <c r="B12" s="5">
        <v>10</v>
      </c>
      <c r="C12" s="2"/>
      <c r="D12" s="5"/>
      <c r="E12" s="2"/>
      <c r="F12" s="2"/>
      <c r="G12" s="2"/>
      <c r="H12" s="12"/>
    </row>
    <row r="13" spans="2:9">
      <c r="B13" s="5">
        <v>11</v>
      </c>
      <c r="C13" s="2"/>
      <c r="D13" s="5"/>
      <c r="E13" s="2"/>
      <c r="F13" s="2"/>
      <c r="G13" s="2"/>
      <c r="H13" s="12"/>
    </row>
    <row r="14" spans="2:9">
      <c r="B14" s="5">
        <v>12</v>
      </c>
      <c r="C14" s="2"/>
      <c r="D14" s="5"/>
      <c r="E14" s="2"/>
      <c r="F14" s="2"/>
      <c r="G14" s="2"/>
      <c r="H14" s="12"/>
    </row>
    <row r="15" spans="2:9">
      <c r="B15" s="5">
        <v>13</v>
      </c>
      <c r="C15" s="2"/>
      <c r="D15" s="5"/>
      <c r="E15" s="2"/>
      <c r="F15" s="2"/>
      <c r="G15" s="2"/>
      <c r="H15" s="12"/>
    </row>
    <row r="16" spans="2:9">
      <c r="B16" s="5">
        <v>14</v>
      </c>
      <c r="C16" s="2"/>
      <c r="D16" s="5"/>
      <c r="E16" s="2"/>
      <c r="F16" s="2"/>
      <c r="G16" s="2"/>
      <c r="H16" s="12"/>
    </row>
    <row r="17" spans="2:8">
      <c r="B17" s="5">
        <v>15</v>
      </c>
      <c r="C17" s="2"/>
      <c r="D17" s="5"/>
      <c r="E17" s="2"/>
      <c r="F17" s="2"/>
      <c r="G17" s="2"/>
      <c r="H17" s="12"/>
    </row>
    <row r="18" spans="2:8">
      <c r="B18" s="5">
        <v>16</v>
      </c>
      <c r="C18" s="2"/>
      <c r="D18" s="5"/>
      <c r="E18" s="2"/>
      <c r="F18" s="2"/>
      <c r="G18" s="2"/>
      <c r="H18" s="12"/>
    </row>
    <row r="19" spans="2:8">
      <c r="B19" s="5">
        <v>17</v>
      </c>
      <c r="C19" s="2"/>
      <c r="D19" s="5"/>
      <c r="E19" s="2"/>
      <c r="F19" s="2"/>
      <c r="G19" s="2"/>
      <c r="H19" s="12"/>
    </row>
    <row r="20" spans="2:8">
      <c r="B20" s="5">
        <v>18</v>
      </c>
      <c r="C20" s="2"/>
      <c r="D20" s="5"/>
      <c r="E20" s="2"/>
      <c r="F20" s="2"/>
      <c r="G20" s="2"/>
      <c r="H20" s="12"/>
    </row>
    <row r="21" spans="2:8">
      <c r="B21" s="5">
        <v>19</v>
      </c>
      <c r="C21" s="2"/>
      <c r="D21" s="5"/>
      <c r="E21" s="2"/>
      <c r="F21" s="2"/>
      <c r="G21" s="2"/>
      <c r="H21" s="12"/>
    </row>
    <row r="22" spans="2:8">
      <c r="B22" s="5">
        <v>20</v>
      </c>
      <c r="C22" s="2"/>
      <c r="D22" s="5"/>
      <c r="E22" s="2"/>
      <c r="F22" s="2"/>
      <c r="G22" s="2"/>
      <c r="H22" s="12"/>
    </row>
    <row r="23" spans="2:8">
      <c r="B23" s="5">
        <v>21</v>
      </c>
      <c r="C23" s="2"/>
      <c r="D23" s="5"/>
      <c r="E23" s="2"/>
      <c r="F23" s="2"/>
      <c r="G23" s="2"/>
      <c r="H23" s="12"/>
    </row>
    <row r="24" spans="2:8">
      <c r="B24" s="5">
        <v>22</v>
      </c>
      <c r="C24" s="2"/>
      <c r="D24" s="5"/>
      <c r="E24" s="2"/>
      <c r="F24" s="2"/>
      <c r="G24" s="2"/>
      <c r="H24" s="12"/>
    </row>
    <row r="25" spans="2:8">
      <c r="B25" s="5">
        <v>23</v>
      </c>
      <c r="C25" s="2"/>
      <c r="D25" s="5"/>
      <c r="E25" s="2"/>
      <c r="F25" s="2"/>
      <c r="G25" s="2"/>
      <c r="H25" s="12"/>
    </row>
    <row r="26" spans="2:8">
      <c r="B26" s="5">
        <v>24</v>
      </c>
      <c r="C26" s="2"/>
      <c r="D26" s="5"/>
      <c r="E26" s="2"/>
      <c r="F26" s="2"/>
      <c r="G26" s="2"/>
      <c r="H26" s="12"/>
    </row>
    <row r="27" spans="2:8">
      <c r="B27" s="5">
        <v>25</v>
      </c>
      <c r="C27" s="2"/>
      <c r="D27" s="5"/>
      <c r="E27" s="2"/>
      <c r="F27" s="2"/>
      <c r="G27" s="2"/>
      <c r="H27" s="12"/>
    </row>
    <row r="28" spans="2:8">
      <c r="B28" s="5">
        <v>26</v>
      </c>
      <c r="C28" s="2"/>
      <c r="D28" s="5"/>
      <c r="E28" s="2"/>
      <c r="F28" s="2"/>
      <c r="G28" s="2"/>
      <c r="H28" s="12"/>
    </row>
    <row r="29" spans="2:8">
      <c r="B29" s="5">
        <v>27</v>
      </c>
      <c r="C29" s="2"/>
      <c r="D29" s="5"/>
      <c r="E29" s="2"/>
      <c r="F29" s="2"/>
      <c r="G29" s="2"/>
      <c r="H29" s="12"/>
    </row>
    <row r="30" spans="2:8">
      <c r="B30" s="5">
        <v>28</v>
      </c>
      <c r="C30" s="2"/>
      <c r="D30" s="5"/>
      <c r="E30" s="2"/>
      <c r="F30" s="2"/>
      <c r="G30" s="2"/>
      <c r="H30" s="12"/>
    </row>
    <row r="31" spans="2:8">
      <c r="B31" s="5">
        <v>29</v>
      </c>
      <c r="C31" s="2"/>
      <c r="D31" s="5"/>
      <c r="E31" s="2"/>
      <c r="F31" s="2"/>
      <c r="G31" s="2"/>
      <c r="H31" s="12"/>
    </row>
    <row r="32" spans="2:8">
      <c r="B32" s="6">
        <v>30</v>
      </c>
      <c r="C32" s="3"/>
      <c r="D32" s="6"/>
      <c r="E32" s="3"/>
      <c r="F32" s="3"/>
      <c r="G32" s="3"/>
      <c r="H32" s="13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Кукурудза</vt:lpstr>
      <vt:lpstr>Ассортимент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2013-12-19T15:51:15Z</dcterms:modified>
</cp:coreProperties>
</file>