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195" windowHeight="8505" tabRatio="1000" activeTab="9"/>
  </bookViews>
  <sheets>
    <sheet name="Справочник" sheetId="2" r:id="rId1"/>
    <sheet name="Справочник Ф" sheetId="12" r:id="rId2"/>
    <sheet name="Расчеты по оплате труда" sheetId="9" r:id="rId3"/>
    <sheet name="Расчеты по оплате труда Ф" sheetId="13" r:id="rId4"/>
    <sheet name="РПВ" sheetId="8" r:id="rId5"/>
    <sheet name="РПВ Ф" sheetId="14" r:id="rId6"/>
    <sheet name="Взносы в Фонды" sheetId="10" r:id="rId7"/>
    <sheet name="Взносы в Фонды Ф" sheetId="15" r:id="rId8"/>
    <sheet name="Ж-О" sheetId="11" r:id="rId9"/>
    <sheet name="Ж-О Ф" sheetId="16" r:id="rId10"/>
  </sheets>
  <externalReferences>
    <externalReference r:id="rId11"/>
    <externalReference r:id="rId12"/>
  </externalReferences>
  <definedNames>
    <definedName name="едПФР">[1]Справочники!$C$45</definedName>
    <definedName name="Лимит_взносы">[1]Справочники!$C$36</definedName>
    <definedName name="на_детей_предел">[1]Справочники!$G$30</definedName>
    <definedName name="НДФЛ">[1]Справочники!$C$38</definedName>
    <definedName name="Организация">[1]Справочники!$C$1</definedName>
    <definedName name="Процент_аванса" localSheetId="1">'Справочник Ф'!$G$31</definedName>
    <definedName name="Процент_аванса">Справочник!$G$31</definedName>
    <definedName name="Процент_по_колдоговору" localSheetId="1">'Справочник Ф'!$G$31</definedName>
    <definedName name="Процент_по_колдоговору">Справочник!$G$31</definedName>
    <definedName name="Таб_номер">[2]Справочники!$A$7:$A$16</definedName>
    <definedName name="ФСС">[1]Справочники!$C$40</definedName>
    <definedName name="ФСС_НСиПЗ">[1]Справочники!$C$39</definedName>
    <definedName name="ФФОМС">[1]Справочники!$C$41</definedName>
  </definedNames>
  <calcPr calcId="145621"/>
</workbook>
</file>

<file path=xl/calcChain.xml><?xml version="1.0" encoding="utf-8"?>
<calcChain xmlns="http://schemas.openxmlformats.org/spreadsheetml/2006/main">
  <c r="J9" i="16" l="1"/>
  <c r="J10" i="16" s="1"/>
  <c r="F9" i="16"/>
  <c r="F10" i="16" s="1"/>
  <c r="E9" i="16"/>
  <c r="E10" i="16" s="1"/>
  <c r="D9" i="16"/>
  <c r="D10" i="16" s="1"/>
  <c r="C9" i="16"/>
  <c r="C10" i="16" s="1"/>
  <c r="I8" i="16"/>
  <c r="H8" i="16"/>
  <c r="G8" i="16"/>
  <c r="K8" i="16" s="1"/>
  <c r="I7" i="16"/>
  <c r="H7" i="16"/>
  <c r="G7" i="16"/>
  <c r="K7" i="16" s="1"/>
  <c r="I6" i="16"/>
  <c r="I10" i="16" s="1"/>
  <c r="H6" i="16"/>
  <c r="H10" i="16" s="1"/>
  <c r="G6" i="16"/>
  <c r="G10" i="16" s="1"/>
  <c r="J21" i="15"/>
  <c r="I21" i="15"/>
  <c r="H21" i="15"/>
  <c r="G21" i="15"/>
  <c r="F21" i="15"/>
  <c r="K21" i="15" s="1"/>
  <c r="E21" i="15"/>
  <c r="D21" i="15"/>
  <c r="C21" i="15"/>
  <c r="B21" i="15"/>
  <c r="A21" i="15"/>
  <c r="J20" i="15"/>
  <c r="I20" i="15"/>
  <c r="H20" i="15"/>
  <c r="G20" i="15"/>
  <c r="K20" i="15" s="1"/>
  <c r="F20" i="15"/>
  <c r="E20" i="15"/>
  <c r="D20" i="15"/>
  <c r="C20" i="15"/>
  <c r="B20" i="15"/>
  <c r="A20" i="15"/>
  <c r="J19" i="15"/>
  <c r="I19" i="15"/>
  <c r="H19" i="15"/>
  <c r="G19" i="15"/>
  <c r="F19" i="15"/>
  <c r="K19" i="15" s="1"/>
  <c r="E19" i="15"/>
  <c r="D19" i="15"/>
  <c r="C19" i="15"/>
  <c r="B19" i="15"/>
  <c r="A19" i="15"/>
  <c r="J18" i="15"/>
  <c r="I18" i="15"/>
  <c r="H18" i="15"/>
  <c r="G18" i="15"/>
  <c r="K18" i="15" s="1"/>
  <c r="F18" i="15"/>
  <c r="E18" i="15"/>
  <c r="D18" i="15"/>
  <c r="C18" i="15"/>
  <c r="B18" i="15"/>
  <c r="A18" i="15"/>
  <c r="J17" i="15"/>
  <c r="J22" i="15" s="1"/>
  <c r="I17" i="15"/>
  <c r="I22" i="15" s="1"/>
  <c r="H17" i="15"/>
  <c r="H22" i="15" s="1"/>
  <c r="G17" i="15"/>
  <c r="G22" i="15" s="1"/>
  <c r="F17" i="15"/>
  <c r="K17" i="15" s="1"/>
  <c r="K22" i="15" s="1"/>
  <c r="E17" i="15"/>
  <c r="E22" i="15" s="1"/>
  <c r="D17" i="15"/>
  <c r="D22" i="15" s="1"/>
  <c r="C17" i="15"/>
  <c r="B17" i="15"/>
  <c r="A17" i="15"/>
  <c r="J14" i="15"/>
  <c r="I14" i="15"/>
  <c r="H14" i="15"/>
  <c r="G14" i="15"/>
  <c r="K14" i="15" s="1"/>
  <c r="F14" i="15"/>
  <c r="E14" i="15"/>
  <c r="D14" i="15"/>
  <c r="C14" i="15"/>
  <c r="B14" i="15"/>
  <c r="A14" i="15"/>
  <c r="J13" i="15"/>
  <c r="J15" i="15" s="1"/>
  <c r="I13" i="15"/>
  <c r="I15" i="15" s="1"/>
  <c r="H13" i="15"/>
  <c r="H15" i="15" s="1"/>
  <c r="G13" i="15"/>
  <c r="G15" i="15" s="1"/>
  <c r="F13" i="15"/>
  <c r="F15" i="15" s="1"/>
  <c r="E13" i="15"/>
  <c r="E15" i="15" s="1"/>
  <c r="D13" i="15"/>
  <c r="D15" i="15" s="1"/>
  <c r="C13" i="15"/>
  <c r="B13" i="15"/>
  <c r="A13" i="15"/>
  <c r="J10" i="15"/>
  <c r="I10" i="15"/>
  <c r="H10" i="15"/>
  <c r="G10" i="15"/>
  <c r="K10" i="15" s="1"/>
  <c r="F10" i="15"/>
  <c r="E10" i="15"/>
  <c r="D10" i="15"/>
  <c r="C10" i="15"/>
  <c r="B10" i="15"/>
  <c r="A10" i="15"/>
  <c r="J9" i="15"/>
  <c r="I9" i="15"/>
  <c r="H9" i="15"/>
  <c r="G9" i="15"/>
  <c r="F9" i="15"/>
  <c r="K9" i="15" s="1"/>
  <c r="E9" i="15"/>
  <c r="D9" i="15"/>
  <c r="C9" i="15"/>
  <c r="B9" i="15"/>
  <c r="A9" i="15"/>
  <c r="J8" i="15"/>
  <c r="J11" i="15" s="1"/>
  <c r="J23" i="15" s="1"/>
  <c r="I8" i="15"/>
  <c r="I11" i="15" s="1"/>
  <c r="I23" i="15" s="1"/>
  <c r="H8" i="15"/>
  <c r="H11" i="15" s="1"/>
  <c r="H23" i="15" s="1"/>
  <c r="G8" i="15"/>
  <c r="G11" i="15" s="1"/>
  <c r="G23" i="15" s="1"/>
  <c r="F8" i="15"/>
  <c r="F11" i="15" s="1"/>
  <c r="E8" i="15"/>
  <c r="E11" i="15" s="1"/>
  <c r="E23" i="15" s="1"/>
  <c r="D8" i="15"/>
  <c r="D11" i="15" s="1"/>
  <c r="D23" i="15" s="1"/>
  <c r="C8" i="15"/>
  <c r="B8" i="15"/>
  <c r="A8" i="15"/>
  <c r="R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R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R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R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R17" i="14"/>
  <c r="N17" i="14"/>
  <c r="M17" i="14"/>
  <c r="M22" i="14" s="1"/>
  <c r="L17" i="14"/>
  <c r="L22" i="14" s="1"/>
  <c r="K17" i="14"/>
  <c r="K22" i="14" s="1"/>
  <c r="J17" i="14"/>
  <c r="J22" i="14" s="1"/>
  <c r="I17" i="14"/>
  <c r="I22" i="14" s="1"/>
  <c r="H17" i="14"/>
  <c r="H22" i="14" s="1"/>
  <c r="G17" i="14"/>
  <c r="G22" i="14" s="1"/>
  <c r="F17" i="14"/>
  <c r="F22" i="14" s="1"/>
  <c r="E17" i="14"/>
  <c r="E22" i="14" s="1"/>
  <c r="D17" i="14"/>
  <c r="D22" i="14" s="1"/>
  <c r="C17" i="14"/>
  <c r="B17" i="14"/>
  <c r="R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R13" i="14"/>
  <c r="N13" i="14"/>
  <c r="N15" i="14" s="1"/>
  <c r="M13" i="14"/>
  <c r="L13" i="14"/>
  <c r="L15" i="14" s="1"/>
  <c r="K13" i="14"/>
  <c r="K15" i="14" s="1"/>
  <c r="J13" i="14"/>
  <c r="J15" i="14" s="1"/>
  <c r="I13" i="14"/>
  <c r="I15" i="14" s="1"/>
  <c r="H13" i="14"/>
  <c r="H15" i="14" s="1"/>
  <c r="G13" i="14"/>
  <c r="G15" i="14" s="1"/>
  <c r="F13" i="14"/>
  <c r="F15" i="14" s="1"/>
  <c r="E13" i="14"/>
  <c r="E15" i="14" s="1"/>
  <c r="D13" i="14"/>
  <c r="D15" i="14" s="1"/>
  <c r="C13" i="14"/>
  <c r="B13" i="14"/>
  <c r="R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R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R8" i="14"/>
  <c r="N8" i="14"/>
  <c r="N11" i="14" s="1"/>
  <c r="M8" i="14"/>
  <c r="M11" i="14" s="1"/>
  <c r="L8" i="14"/>
  <c r="L11" i="14" s="1"/>
  <c r="L23" i="14" s="1"/>
  <c r="K8" i="14"/>
  <c r="K11" i="14" s="1"/>
  <c r="K23" i="14" s="1"/>
  <c r="J8" i="14"/>
  <c r="J11" i="14" s="1"/>
  <c r="J23" i="14" s="1"/>
  <c r="I8" i="14"/>
  <c r="I11" i="14" s="1"/>
  <c r="I23" i="14" s="1"/>
  <c r="H8" i="14"/>
  <c r="H11" i="14" s="1"/>
  <c r="H23" i="14" s="1"/>
  <c r="G8" i="14"/>
  <c r="G11" i="14" s="1"/>
  <c r="G23" i="14" s="1"/>
  <c r="F8" i="14"/>
  <c r="F11" i="14" s="1"/>
  <c r="F23" i="14" s="1"/>
  <c r="E8" i="14"/>
  <c r="E11" i="14" s="1"/>
  <c r="E23" i="14" s="1"/>
  <c r="D8" i="14"/>
  <c r="D11" i="14" s="1"/>
  <c r="D23" i="14" s="1"/>
  <c r="C8" i="14"/>
  <c r="B8" i="14"/>
  <c r="V8" i="13"/>
  <c r="P13" i="13"/>
  <c r="M13" i="13"/>
  <c r="D13" i="13"/>
  <c r="C13" i="13"/>
  <c r="E13" i="13" s="1"/>
  <c r="B13" i="13"/>
  <c r="P12" i="13"/>
  <c r="M12" i="13"/>
  <c r="I12" i="13"/>
  <c r="D12" i="13"/>
  <c r="C12" i="13"/>
  <c r="E12" i="13" s="1"/>
  <c r="B12" i="13"/>
  <c r="P11" i="13"/>
  <c r="D11" i="13"/>
  <c r="C11" i="13" s="1"/>
  <c r="E11" i="13" s="1"/>
  <c r="B11" i="13"/>
  <c r="P10" i="13"/>
  <c r="M10" i="13"/>
  <c r="J10" i="13"/>
  <c r="D10" i="13"/>
  <c r="C10" i="13"/>
  <c r="E10" i="13" s="1"/>
  <c r="B10" i="13"/>
  <c r="M9" i="13"/>
  <c r="I9" i="13"/>
  <c r="P9" i="13" s="1"/>
  <c r="D9" i="13"/>
  <c r="C9" i="13" s="1"/>
  <c r="E9" i="13" s="1"/>
  <c r="B9" i="13"/>
  <c r="P8" i="13"/>
  <c r="M8" i="13"/>
  <c r="D8" i="13"/>
  <c r="B8" i="13"/>
  <c r="P7" i="13"/>
  <c r="M7" i="13"/>
  <c r="H7" i="13"/>
  <c r="K7" i="13" s="1"/>
  <c r="D7" i="13"/>
  <c r="C7" i="13" s="1"/>
  <c r="E7" i="13" s="1"/>
  <c r="B7" i="13"/>
  <c r="I6" i="13"/>
  <c r="I14" i="13" s="1"/>
  <c r="D6" i="13"/>
  <c r="B6" i="13"/>
  <c r="P5" i="13"/>
  <c r="M5" i="13"/>
  <c r="J5" i="13"/>
  <c r="J14" i="13" s="1"/>
  <c r="D5" i="13"/>
  <c r="C5" i="13"/>
  <c r="E5" i="13" s="1"/>
  <c r="B5" i="13"/>
  <c r="P4" i="13"/>
  <c r="M4" i="13"/>
  <c r="M14" i="13" s="1"/>
  <c r="K4" i="13"/>
  <c r="K14" i="13" s="1"/>
  <c r="H4" i="13"/>
  <c r="D4" i="13"/>
  <c r="C4" i="13"/>
  <c r="B4" i="13"/>
  <c r="M64" i="12"/>
  <c r="L64" i="12"/>
  <c r="K64" i="12"/>
  <c r="J64" i="12"/>
  <c r="I64" i="12"/>
  <c r="H64" i="12"/>
  <c r="G64" i="12"/>
  <c r="F64" i="12"/>
  <c r="E64" i="12"/>
  <c r="D64" i="12"/>
  <c r="N64" i="12" s="1"/>
  <c r="N63" i="12"/>
  <c r="M61" i="12"/>
  <c r="L61" i="12"/>
  <c r="K61" i="12"/>
  <c r="J61" i="12"/>
  <c r="I61" i="12"/>
  <c r="H61" i="12"/>
  <c r="G61" i="12"/>
  <c r="F61" i="12"/>
  <c r="E61" i="12"/>
  <c r="D61" i="12"/>
  <c r="I55" i="12"/>
  <c r="I54" i="12"/>
  <c r="I53" i="12"/>
  <c r="I52" i="12"/>
  <c r="I51" i="12"/>
  <c r="I50" i="12"/>
  <c r="I49" i="12"/>
  <c r="I48" i="12"/>
  <c r="I47" i="12"/>
  <c r="I46" i="12"/>
  <c r="E37" i="12"/>
  <c r="P35" i="12"/>
  <c r="O35" i="12"/>
  <c r="N35" i="12"/>
  <c r="M35" i="12"/>
  <c r="L35" i="12"/>
  <c r="K35" i="12"/>
  <c r="J35" i="12"/>
  <c r="I35" i="12"/>
  <c r="H35" i="12"/>
  <c r="G35" i="12"/>
  <c r="P34" i="12"/>
  <c r="O34" i="12"/>
  <c r="N34" i="12"/>
  <c r="M34" i="12"/>
  <c r="L34" i="12"/>
  <c r="K34" i="12"/>
  <c r="J34" i="12"/>
  <c r="I34" i="12"/>
  <c r="H34" i="12"/>
  <c r="G34" i="12"/>
  <c r="P32" i="12"/>
  <c r="O32" i="12"/>
  <c r="N32" i="12"/>
  <c r="M32" i="12"/>
  <c r="L32" i="12"/>
  <c r="K32" i="12"/>
  <c r="J32" i="12"/>
  <c r="I32" i="12"/>
  <c r="H32" i="12"/>
  <c r="G32" i="12"/>
  <c r="A29" i="12"/>
  <c r="A28" i="12"/>
  <c r="A27" i="12"/>
  <c r="A26" i="12"/>
  <c r="A25" i="12"/>
  <c r="A24" i="12"/>
  <c r="A23" i="12"/>
  <c r="A22" i="12"/>
  <c r="A21" i="12"/>
  <c r="A20" i="12"/>
  <c r="P11" i="12"/>
  <c r="O11" i="12"/>
  <c r="N11" i="12"/>
  <c r="M11" i="12"/>
  <c r="L11" i="12"/>
  <c r="K11" i="12"/>
  <c r="J11" i="12"/>
  <c r="I11" i="12"/>
  <c r="H11" i="12"/>
  <c r="G11" i="12"/>
  <c r="P6" i="12"/>
  <c r="M62" i="12" s="1"/>
  <c r="O6" i="12"/>
  <c r="L62" i="12" s="1"/>
  <c r="N6" i="12"/>
  <c r="K62" i="12" s="1"/>
  <c r="M6" i="12"/>
  <c r="J62" i="12" s="1"/>
  <c r="L6" i="12"/>
  <c r="I62" i="12" s="1"/>
  <c r="K6" i="12"/>
  <c r="H62" i="12" s="1"/>
  <c r="J6" i="12"/>
  <c r="G62" i="12" s="1"/>
  <c r="I6" i="12"/>
  <c r="F62" i="12" s="1"/>
  <c r="H6" i="12"/>
  <c r="E62" i="12" s="1"/>
  <c r="G6" i="12"/>
  <c r="D62" i="12" s="1"/>
  <c r="K6" i="16" l="1"/>
  <c r="K10" i="16" s="1"/>
  <c r="K9" i="16"/>
  <c r="K8" i="15"/>
  <c r="K11" i="15" s="1"/>
  <c r="F22" i="15"/>
  <c r="F23" i="15" s="1"/>
  <c r="K13" i="15"/>
  <c r="K15" i="15" s="1"/>
  <c r="N23" i="14"/>
  <c r="M15" i="14"/>
  <c r="M23" i="14" s="1"/>
  <c r="N22" i="14"/>
  <c r="G5" i="13"/>
  <c r="F5" i="13"/>
  <c r="L5" i="13" s="1"/>
  <c r="G7" i="13"/>
  <c r="L7" i="13"/>
  <c r="F7" i="13"/>
  <c r="E4" i="13"/>
  <c r="D14" i="13"/>
  <c r="C6" i="13"/>
  <c r="E6" i="13" s="1"/>
  <c r="F12" i="13"/>
  <c r="L12" i="13" s="1"/>
  <c r="G12" i="13"/>
  <c r="G13" i="13"/>
  <c r="L13" i="13"/>
  <c r="F13" i="13"/>
  <c r="P6" i="13"/>
  <c r="P14" i="13" s="1"/>
  <c r="G9" i="13"/>
  <c r="F9" i="13"/>
  <c r="L9" i="13" s="1"/>
  <c r="F10" i="13"/>
  <c r="L10" i="13" s="1"/>
  <c r="G10" i="13"/>
  <c r="G11" i="13"/>
  <c r="L11" i="13"/>
  <c r="F11" i="13"/>
  <c r="C8" i="13"/>
  <c r="E8" i="13" s="1"/>
  <c r="D10" i="11"/>
  <c r="E10" i="11"/>
  <c r="F10" i="11"/>
  <c r="G10" i="11"/>
  <c r="H10" i="11"/>
  <c r="I10" i="11"/>
  <c r="J10" i="11"/>
  <c r="K10" i="11"/>
  <c r="C10" i="11"/>
  <c r="K7" i="11"/>
  <c r="K8" i="11"/>
  <c r="K9" i="11"/>
  <c r="K6" i="11"/>
  <c r="J9" i="11"/>
  <c r="F9" i="11"/>
  <c r="E9" i="11"/>
  <c r="D9" i="11"/>
  <c r="C9" i="11"/>
  <c r="I8" i="11"/>
  <c r="I7" i="11"/>
  <c r="I6" i="11"/>
  <c r="H8" i="11"/>
  <c r="H7" i="11"/>
  <c r="H6" i="11"/>
  <c r="G8" i="11"/>
  <c r="G7" i="11"/>
  <c r="G6" i="11"/>
  <c r="K18" i="10"/>
  <c r="K19" i="10"/>
  <c r="K20" i="10"/>
  <c r="K21" i="10"/>
  <c r="K17" i="10"/>
  <c r="K22" i="10" s="1"/>
  <c r="K14" i="10"/>
  <c r="K13" i="10"/>
  <c r="K9" i="10"/>
  <c r="K10" i="10"/>
  <c r="K8" i="10"/>
  <c r="G8" i="10"/>
  <c r="H8" i="10"/>
  <c r="I8" i="10"/>
  <c r="J8" i="10"/>
  <c r="J18" i="10"/>
  <c r="J19" i="10"/>
  <c r="J20" i="10"/>
  <c r="J21" i="10"/>
  <c r="J17" i="10"/>
  <c r="J22" i="10" s="1"/>
  <c r="J14" i="10"/>
  <c r="J15" i="10" s="1"/>
  <c r="J13" i="10"/>
  <c r="J9" i="10"/>
  <c r="J10" i="10"/>
  <c r="I18" i="10"/>
  <c r="I19" i="10"/>
  <c r="I20" i="10"/>
  <c r="I21" i="10"/>
  <c r="I17" i="10"/>
  <c r="I22" i="10" s="1"/>
  <c r="I14" i="10"/>
  <c r="I15" i="10" s="1"/>
  <c r="I13" i="10"/>
  <c r="I9" i="10"/>
  <c r="I10" i="10"/>
  <c r="H18" i="10"/>
  <c r="H19" i="10"/>
  <c r="H20" i="10"/>
  <c r="H21" i="10"/>
  <c r="H17" i="10"/>
  <c r="H22" i="10" s="1"/>
  <c r="H14" i="10"/>
  <c r="H15" i="10" s="1"/>
  <c r="H13" i="10"/>
  <c r="H9" i="10"/>
  <c r="H10" i="10"/>
  <c r="H11" i="10"/>
  <c r="G18" i="10"/>
  <c r="G19" i="10"/>
  <c r="G20" i="10"/>
  <c r="G21" i="10"/>
  <c r="G17" i="10"/>
  <c r="G22" i="10" s="1"/>
  <c r="G14" i="10"/>
  <c r="G15" i="10" s="1"/>
  <c r="G13" i="10"/>
  <c r="G9" i="10"/>
  <c r="G11" i="10" s="1"/>
  <c r="G10" i="10"/>
  <c r="F18" i="10"/>
  <c r="F19" i="10"/>
  <c r="F20" i="10"/>
  <c r="F21" i="10"/>
  <c r="F17" i="10"/>
  <c r="F22" i="10" s="1"/>
  <c r="F14" i="10"/>
  <c r="F13" i="10"/>
  <c r="F9" i="10"/>
  <c r="F10" i="10"/>
  <c r="F8" i="10"/>
  <c r="E23" i="10"/>
  <c r="E22" i="10"/>
  <c r="E18" i="10"/>
  <c r="E19" i="10"/>
  <c r="E20" i="10"/>
  <c r="E21" i="10"/>
  <c r="E17" i="10"/>
  <c r="E14" i="10"/>
  <c r="E13" i="10"/>
  <c r="E9" i="10"/>
  <c r="E10" i="10"/>
  <c r="E8" i="10"/>
  <c r="D23" i="10"/>
  <c r="D22" i="10"/>
  <c r="D18" i="10"/>
  <c r="D19" i="10"/>
  <c r="D20" i="10"/>
  <c r="D21" i="10"/>
  <c r="D17" i="10"/>
  <c r="K15" i="10"/>
  <c r="D15" i="10"/>
  <c r="D14" i="10"/>
  <c r="D13" i="10"/>
  <c r="E11" i="10"/>
  <c r="F11" i="10"/>
  <c r="I11" i="10"/>
  <c r="J11" i="10"/>
  <c r="K11" i="10"/>
  <c r="D11" i="10"/>
  <c r="D9" i="10"/>
  <c r="D10" i="10"/>
  <c r="D8" i="10"/>
  <c r="C21" i="10"/>
  <c r="C20" i="10"/>
  <c r="C19" i="10"/>
  <c r="C18" i="10"/>
  <c r="C17" i="10"/>
  <c r="C14" i="10"/>
  <c r="C13" i="10"/>
  <c r="C10" i="10"/>
  <c r="C9" i="10"/>
  <c r="C8" i="10"/>
  <c r="B18" i="10"/>
  <c r="B19" i="10"/>
  <c r="B20" i="10"/>
  <c r="B21" i="10"/>
  <c r="B17" i="10"/>
  <c r="B14" i="10"/>
  <c r="B13" i="10"/>
  <c r="B9" i="10"/>
  <c r="B10" i="10"/>
  <c r="B8" i="10"/>
  <c r="A13" i="10"/>
  <c r="A21" i="10"/>
  <c r="A9" i="10"/>
  <c r="A10" i="10"/>
  <c r="A14" i="10"/>
  <c r="A17" i="10"/>
  <c r="A18" i="10"/>
  <c r="A19" i="10"/>
  <c r="A20" i="10"/>
  <c r="A8" i="10"/>
  <c r="K23" i="15" l="1"/>
  <c r="AA10" i="13"/>
  <c r="W10" i="13"/>
  <c r="U10" i="13"/>
  <c r="S10" i="13"/>
  <c r="Q10" i="13"/>
  <c r="AB10" i="13" s="1"/>
  <c r="X10" i="13"/>
  <c r="V10" i="13"/>
  <c r="T10" i="13"/>
  <c r="N10" i="13"/>
  <c r="R10" i="13" s="1"/>
  <c r="AC10" i="13" s="1"/>
  <c r="AA12" i="13"/>
  <c r="W12" i="13"/>
  <c r="U12" i="13"/>
  <c r="S12" i="13"/>
  <c r="Q12" i="13"/>
  <c r="AB12" i="13" s="1"/>
  <c r="X12" i="13"/>
  <c r="V12" i="13"/>
  <c r="T12" i="13"/>
  <c r="N12" i="13"/>
  <c r="R12" i="13" s="1"/>
  <c r="AC12" i="13" s="1"/>
  <c r="X9" i="13"/>
  <c r="V9" i="13"/>
  <c r="T9" i="13"/>
  <c r="N9" i="13"/>
  <c r="R9" i="13" s="1"/>
  <c r="AC9" i="13" s="1"/>
  <c r="AA9" i="13"/>
  <c r="W9" i="13"/>
  <c r="U9" i="13"/>
  <c r="S9" i="13"/>
  <c r="Q9" i="13"/>
  <c r="AB9" i="13" s="1"/>
  <c r="O9" i="13"/>
  <c r="X5" i="13"/>
  <c r="V5" i="13"/>
  <c r="T5" i="13"/>
  <c r="N5" i="13"/>
  <c r="R5" i="13" s="1"/>
  <c r="AC5" i="13" s="1"/>
  <c r="AA5" i="13"/>
  <c r="W5" i="13"/>
  <c r="U5" i="13"/>
  <c r="S5" i="13"/>
  <c r="Q5" i="13"/>
  <c r="AB5" i="13" s="1"/>
  <c r="O5" i="13"/>
  <c r="V11" i="13"/>
  <c r="T11" i="13"/>
  <c r="N11" i="13"/>
  <c r="R11" i="13" s="1"/>
  <c r="AC11" i="13" s="1"/>
  <c r="AA11" i="13"/>
  <c r="W11" i="13"/>
  <c r="U11" i="13"/>
  <c r="S11" i="13"/>
  <c r="Q11" i="13"/>
  <c r="AB11" i="13" s="1"/>
  <c r="O11" i="13"/>
  <c r="E14" i="13"/>
  <c r="F4" i="13"/>
  <c r="L4" i="13" s="1"/>
  <c r="G4" i="13"/>
  <c r="G8" i="13"/>
  <c r="F8" i="13"/>
  <c r="L8" i="13" s="1"/>
  <c r="AA13" i="13"/>
  <c r="W13" i="13"/>
  <c r="U13" i="13"/>
  <c r="S13" i="13"/>
  <c r="Q13" i="13"/>
  <c r="AB13" i="13" s="1"/>
  <c r="V13" i="13"/>
  <c r="T13" i="13"/>
  <c r="N13" i="13"/>
  <c r="R13" i="13" s="1"/>
  <c r="AC13" i="13" s="1"/>
  <c r="F6" i="13"/>
  <c r="L6" i="13"/>
  <c r="G6" i="13"/>
  <c r="C14" i="13"/>
  <c r="AA7" i="13"/>
  <c r="W7" i="13"/>
  <c r="U7" i="13"/>
  <c r="S7" i="13"/>
  <c r="Q7" i="13"/>
  <c r="AB7" i="13" s="1"/>
  <c r="T7" i="13"/>
  <c r="V7" i="13"/>
  <c r="N7" i="13"/>
  <c r="R7" i="13" s="1"/>
  <c r="AC7" i="13" s="1"/>
  <c r="K23" i="10"/>
  <c r="J23" i="10"/>
  <c r="I23" i="10"/>
  <c r="H23" i="10"/>
  <c r="G23" i="10"/>
  <c r="F15" i="10"/>
  <c r="F23" i="10" s="1"/>
  <c r="E15" i="10"/>
  <c r="K18" i="8"/>
  <c r="K19" i="8"/>
  <c r="K20" i="8"/>
  <c r="K21" i="8"/>
  <c r="K17" i="8"/>
  <c r="K14" i="8"/>
  <c r="K9" i="8"/>
  <c r="K10" i="8"/>
  <c r="J19" i="8"/>
  <c r="J20" i="8"/>
  <c r="J21" i="8"/>
  <c r="J17" i="8"/>
  <c r="J14" i="8"/>
  <c r="J13" i="8"/>
  <c r="J10" i="8"/>
  <c r="J8" i="8"/>
  <c r="I18" i="8"/>
  <c r="I19" i="8"/>
  <c r="I21" i="8"/>
  <c r="I14" i="8"/>
  <c r="I13" i="8"/>
  <c r="I15" i="8" s="1"/>
  <c r="I9" i="8"/>
  <c r="I8" i="8"/>
  <c r="L14" i="13" l="1"/>
  <c r="AA14" i="13" s="1"/>
  <c r="AA4" i="13"/>
  <c r="S4" i="13"/>
  <c r="V4" i="13"/>
  <c r="T4" i="13"/>
  <c r="T14" i="13" s="1"/>
  <c r="N4" i="13"/>
  <c r="W4" i="13"/>
  <c r="U4" i="13"/>
  <c r="Q4" i="13"/>
  <c r="AA8" i="13"/>
  <c r="W8" i="13"/>
  <c r="U8" i="13"/>
  <c r="S8" i="13"/>
  <c r="Q8" i="13"/>
  <c r="AB8" i="13" s="1"/>
  <c r="T8" i="13"/>
  <c r="N8" i="13"/>
  <c r="R8" i="13" s="1"/>
  <c r="AC8" i="13" s="1"/>
  <c r="X7" i="13"/>
  <c r="X13" i="13"/>
  <c r="G14" i="13"/>
  <c r="O12" i="13"/>
  <c r="O10" i="13"/>
  <c r="O7" i="13"/>
  <c r="V6" i="13"/>
  <c r="T6" i="13"/>
  <c r="N6" i="13"/>
  <c r="R6" i="13" s="1"/>
  <c r="AC6" i="13" s="1"/>
  <c r="AA6" i="13"/>
  <c r="W6" i="13"/>
  <c r="U6" i="13"/>
  <c r="S6" i="13"/>
  <c r="Q6" i="13"/>
  <c r="AB6" i="13" s="1"/>
  <c r="O13" i="13"/>
  <c r="F14" i="13"/>
  <c r="X11" i="13"/>
  <c r="J15" i="8"/>
  <c r="K22" i="8"/>
  <c r="M5" i="9"/>
  <c r="M7" i="9"/>
  <c r="M8" i="9"/>
  <c r="M9" i="9"/>
  <c r="M10" i="9"/>
  <c r="M12" i="9"/>
  <c r="M13" i="9"/>
  <c r="M4" i="9"/>
  <c r="X6" i="13" l="1"/>
  <c r="X8" i="13"/>
  <c r="U14" i="13"/>
  <c r="N14" i="13"/>
  <c r="R14" i="13" s="1"/>
  <c r="AC14" i="13" s="1"/>
  <c r="R4" i="13"/>
  <c r="V14" i="13"/>
  <c r="O6" i="13"/>
  <c r="O8" i="13"/>
  <c r="Q14" i="13"/>
  <c r="AB14" i="13" s="1"/>
  <c r="AB4" i="13"/>
  <c r="W14" i="13"/>
  <c r="S14" i="13"/>
  <c r="M14" i="9"/>
  <c r="J10" i="9"/>
  <c r="J18" i="8" s="1"/>
  <c r="J22" i="8" s="1"/>
  <c r="J5" i="9"/>
  <c r="I12" i="9"/>
  <c r="I20" i="8" s="1"/>
  <c r="I9" i="9"/>
  <c r="I17" i="8" s="1"/>
  <c r="I6" i="9"/>
  <c r="I10" i="8" s="1"/>
  <c r="I11" i="8" s="1"/>
  <c r="AC4" i="13" l="1"/>
  <c r="O4" i="13"/>
  <c r="O14" i="13" s="1"/>
  <c r="J9" i="8"/>
  <c r="J11" i="8" s="1"/>
  <c r="J23" i="8" s="1"/>
  <c r="I22" i="8"/>
  <c r="I23" i="8" s="1"/>
  <c r="H32" i="2"/>
  <c r="Y5" i="13" s="1"/>
  <c r="Z5" i="13" s="1"/>
  <c r="I32" i="2"/>
  <c r="Y6" i="13" s="1"/>
  <c r="Z6" i="13" s="1"/>
  <c r="J32" i="2"/>
  <c r="Y7" i="13" s="1"/>
  <c r="Z7" i="13" s="1"/>
  <c r="K32" i="2"/>
  <c r="Y8" i="13" s="1"/>
  <c r="Z8" i="13" s="1"/>
  <c r="L32" i="2"/>
  <c r="Y9" i="13" s="1"/>
  <c r="Z9" i="13" s="1"/>
  <c r="M32" i="2"/>
  <c r="Y10" i="13" s="1"/>
  <c r="Z10" i="13" s="1"/>
  <c r="N32" i="2"/>
  <c r="Y11" i="13" s="1"/>
  <c r="Z11" i="13" s="1"/>
  <c r="O32" i="2"/>
  <c r="Y12" i="13" s="1"/>
  <c r="Z12" i="13" s="1"/>
  <c r="P32" i="2"/>
  <c r="Y13" i="13" s="1"/>
  <c r="Z13" i="13" s="1"/>
  <c r="G32" i="2"/>
  <c r="Y4" i="13" s="1"/>
  <c r="G6" i="2"/>
  <c r="A25" i="2"/>
  <c r="A26" i="2"/>
  <c r="A27" i="2"/>
  <c r="A28" i="2"/>
  <c r="A29" i="2"/>
  <c r="A21" i="2"/>
  <c r="A22" i="2"/>
  <c r="A23" i="2"/>
  <c r="A24" i="2"/>
  <c r="A20" i="2"/>
  <c r="D64" i="2"/>
  <c r="K6" i="2"/>
  <c r="H62" i="2" s="1"/>
  <c r="M6" i="2"/>
  <c r="J62" i="2" s="1"/>
  <c r="G11" i="2"/>
  <c r="H11" i="2"/>
  <c r="I11" i="2"/>
  <c r="J11" i="2"/>
  <c r="K11" i="2"/>
  <c r="L11" i="2"/>
  <c r="M11" i="2"/>
  <c r="N11" i="2"/>
  <c r="G34" i="2"/>
  <c r="H34" i="2"/>
  <c r="I34" i="2"/>
  <c r="J34" i="2"/>
  <c r="K34" i="2"/>
  <c r="L34" i="2"/>
  <c r="M34" i="2"/>
  <c r="N34" i="2"/>
  <c r="G35" i="2"/>
  <c r="H35" i="2"/>
  <c r="I35" i="2"/>
  <c r="J35" i="2"/>
  <c r="K35" i="2"/>
  <c r="L35" i="2"/>
  <c r="M35" i="2"/>
  <c r="N35" i="2"/>
  <c r="E37" i="2"/>
  <c r="I46" i="2"/>
  <c r="I47" i="2"/>
  <c r="I48" i="2"/>
  <c r="I49" i="2"/>
  <c r="I50" i="2"/>
  <c r="I51" i="2"/>
  <c r="I52" i="2"/>
  <c r="I53" i="2"/>
  <c r="I54" i="2"/>
  <c r="I55" i="2"/>
  <c r="D61" i="2"/>
  <c r="E61" i="2"/>
  <c r="F61" i="2"/>
  <c r="G61" i="2"/>
  <c r="H61" i="2"/>
  <c r="I61" i="2"/>
  <c r="J61" i="2"/>
  <c r="K61" i="2"/>
  <c r="L61" i="2"/>
  <c r="M61" i="2"/>
  <c r="N63" i="2"/>
  <c r="E64" i="2"/>
  <c r="F64" i="2"/>
  <c r="G64" i="2"/>
  <c r="H64" i="2"/>
  <c r="I64" i="2"/>
  <c r="J64" i="2"/>
  <c r="K64" i="2"/>
  <c r="L64" i="2"/>
  <c r="M64" i="2"/>
  <c r="Y14" i="13" l="1"/>
  <c r="X4" i="13"/>
  <c r="D62" i="2"/>
  <c r="I6" i="2"/>
  <c r="F62" i="2" s="1"/>
  <c r="H6" i="2"/>
  <c r="E62" i="2" s="1"/>
  <c r="N6" i="2"/>
  <c r="K62" i="2" s="1"/>
  <c r="L6" i="2"/>
  <c r="I62" i="2" s="1"/>
  <c r="J6" i="2"/>
  <c r="G62" i="2" s="1"/>
  <c r="N64" i="2"/>
  <c r="X14" i="13" l="1"/>
  <c r="Z4" i="13"/>
  <c r="Z14" i="13" s="1"/>
  <c r="R18" i="8"/>
  <c r="R19" i="8"/>
  <c r="R20" i="8"/>
  <c r="R21" i="8"/>
  <c r="R17" i="8"/>
  <c r="R14" i="8"/>
  <c r="R13" i="8"/>
  <c r="R9" i="8"/>
  <c r="R10" i="8"/>
  <c r="R8" i="8"/>
  <c r="P13" i="9"/>
  <c r="D13" i="9"/>
  <c r="E21" i="8" s="1"/>
  <c r="P12" i="9"/>
  <c r="D12" i="9"/>
  <c r="E20" i="8" s="1"/>
  <c r="P11" i="9"/>
  <c r="D11" i="9"/>
  <c r="P10" i="9"/>
  <c r="D10" i="9"/>
  <c r="P9" i="9"/>
  <c r="D9" i="9"/>
  <c r="E17" i="8" s="1"/>
  <c r="P8" i="9"/>
  <c r="D8" i="9"/>
  <c r="P7" i="9"/>
  <c r="H7" i="9"/>
  <c r="K7" i="9" s="1"/>
  <c r="K13" i="8" s="1"/>
  <c r="K15" i="8" s="1"/>
  <c r="D7" i="9"/>
  <c r="E13" i="8" s="1"/>
  <c r="D6" i="9"/>
  <c r="E10" i="8" s="1"/>
  <c r="P5" i="9"/>
  <c r="D5" i="9"/>
  <c r="E9" i="8" s="1"/>
  <c r="P4" i="9"/>
  <c r="H4" i="9"/>
  <c r="K4" i="9" s="1"/>
  <c r="K8" i="8" s="1"/>
  <c r="K11" i="8" s="1"/>
  <c r="K23" i="8" s="1"/>
  <c r="D4" i="9"/>
  <c r="C8" i="9" l="1"/>
  <c r="E14" i="8"/>
  <c r="E15" i="8" s="1"/>
  <c r="C10" i="9"/>
  <c r="E18" i="8"/>
  <c r="C11" i="9"/>
  <c r="E19" i="8"/>
  <c r="C4" i="9"/>
  <c r="D8" i="8" s="1"/>
  <c r="E8" i="8"/>
  <c r="E11" i="8" s="1"/>
  <c r="C9" i="9"/>
  <c r="D17" i="8" s="1"/>
  <c r="J14" i="9"/>
  <c r="I14" i="9"/>
  <c r="D14" i="9"/>
  <c r="C5" i="9"/>
  <c r="D9" i="8" s="1"/>
  <c r="C6" i="9"/>
  <c r="D10" i="8" s="1"/>
  <c r="C7" i="9"/>
  <c r="D13" i="8" s="1"/>
  <c r="K14" i="9"/>
  <c r="P6" i="9"/>
  <c r="P14" i="9" s="1"/>
  <c r="C12" i="9"/>
  <c r="D20" i="8" s="1"/>
  <c r="C13" i="9"/>
  <c r="D21" i="8" s="1"/>
  <c r="C21" i="8"/>
  <c r="B21" i="8"/>
  <c r="C9" i="8"/>
  <c r="C10" i="8"/>
  <c r="C13" i="8"/>
  <c r="C14" i="8"/>
  <c r="C17" i="8"/>
  <c r="C18" i="8"/>
  <c r="C19" i="8"/>
  <c r="C20" i="8"/>
  <c r="C8" i="8"/>
  <c r="B9" i="8"/>
  <c r="B10" i="8"/>
  <c r="B13" i="8"/>
  <c r="B14" i="8"/>
  <c r="B17" i="8"/>
  <c r="B18" i="8"/>
  <c r="B19" i="8"/>
  <c r="B20" i="8"/>
  <c r="B8" i="8"/>
  <c r="E4" i="9" l="1"/>
  <c r="F8" i="8" s="1"/>
  <c r="E22" i="8"/>
  <c r="E23" i="8"/>
  <c r="D11" i="8"/>
  <c r="E11" i="9"/>
  <c r="D19" i="8"/>
  <c r="E10" i="9"/>
  <c r="D18" i="8"/>
  <c r="D22" i="8" s="1"/>
  <c r="E8" i="9"/>
  <c r="D14" i="8"/>
  <c r="D15" i="8" s="1"/>
  <c r="E13" i="9"/>
  <c r="F21" i="8" s="1"/>
  <c r="E6" i="9"/>
  <c r="F10" i="8" s="1"/>
  <c r="E12" i="9"/>
  <c r="F20" i="8" s="1"/>
  <c r="E7" i="9"/>
  <c r="F13" i="8" s="1"/>
  <c r="E5" i="9"/>
  <c r="F9" i="8" s="1"/>
  <c r="F11" i="8" s="1"/>
  <c r="E9" i="9"/>
  <c r="F17" i="8" s="1"/>
  <c r="F12" i="9"/>
  <c r="G20" i="8" s="1"/>
  <c r="C14" i="9"/>
  <c r="Y4" i="9"/>
  <c r="Y5" i="9"/>
  <c r="Y6" i="9"/>
  <c r="Y7" i="9"/>
  <c r="Y8" i="9"/>
  <c r="Y9" i="9"/>
  <c r="Y10" i="9"/>
  <c r="Y11" i="9"/>
  <c r="Y12" i="9"/>
  <c r="Y13" i="9"/>
  <c r="P35" i="2"/>
  <c r="O35" i="2"/>
  <c r="P34" i="2"/>
  <c r="O34" i="2"/>
  <c r="P11" i="2"/>
  <c r="O11" i="2"/>
  <c r="P6" i="2"/>
  <c r="O6" i="2"/>
  <c r="B11" i="9"/>
  <c r="B10" i="9"/>
  <c r="B9" i="9"/>
  <c r="B8" i="9"/>
  <c r="B7" i="9"/>
  <c r="B6" i="9"/>
  <c r="B5" i="9"/>
  <c r="B4" i="9"/>
  <c r="O20" i="8" l="1"/>
  <c r="O20" i="14"/>
  <c r="P20" i="14" s="1"/>
  <c r="Q20" i="14" s="1"/>
  <c r="O14" i="8"/>
  <c r="O14" i="14"/>
  <c r="P14" i="14" s="1"/>
  <c r="Q14" i="14" s="1"/>
  <c r="O10" i="8"/>
  <c r="O10" i="14"/>
  <c r="P10" i="14" s="1"/>
  <c r="Q10" i="14" s="1"/>
  <c r="O8" i="8"/>
  <c r="O8" i="14"/>
  <c r="O21" i="8"/>
  <c r="O21" i="14"/>
  <c r="P21" i="14" s="1"/>
  <c r="Q21" i="14" s="1"/>
  <c r="O19" i="8"/>
  <c r="O19" i="14"/>
  <c r="P19" i="14" s="1"/>
  <c r="Q19" i="14" s="1"/>
  <c r="O17" i="8"/>
  <c r="O17" i="14"/>
  <c r="O13" i="8"/>
  <c r="O13" i="14"/>
  <c r="O9" i="8"/>
  <c r="O9" i="14"/>
  <c r="P9" i="14" s="1"/>
  <c r="Q9" i="14" s="1"/>
  <c r="O18" i="8"/>
  <c r="O18" i="14"/>
  <c r="P18" i="14" s="1"/>
  <c r="Q18" i="14" s="1"/>
  <c r="G4" i="9"/>
  <c r="H8" i="8" s="1"/>
  <c r="F4" i="9"/>
  <c r="G8" i="8" s="1"/>
  <c r="O15" i="8"/>
  <c r="D23" i="8"/>
  <c r="O22" i="8"/>
  <c r="G8" i="9"/>
  <c r="H14" i="8" s="1"/>
  <c r="F14" i="8"/>
  <c r="F8" i="9"/>
  <c r="G14" i="8" s="1"/>
  <c r="O11" i="8"/>
  <c r="O23" i="8" s="1"/>
  <c r="F22" i="8"/>
  <c r="F15" i="8"/>
  <c r="F10" i="9"/>
  <c r="F18" i="8"/>
  <c r="G10" i="9"/>
  <c r="H18" i="8" s="1"/>
  <c r="F19" i="8"/>
  <c r="F11" i="9"/>
  <c r="G11" i="9"/>
  <c r="H19" i="8" s="1"/>
  <c r="B13" i="9"/>
  <c r="M62" i="2"/>
  <c r="B12" i="9"/>
  <c r="L62" i="2"/>
  <c r="F6" i="9"/>
  <c r="G10" i="8" s="1"/>
  <c r="G13" i="9"/>
  <c r="H21" i="8" s="1"/>
  <c r="G6" i="9"/>
  <c r="H10" i="8" s="1"/>
  <c r="F13" i="9"/>
  <c r="G21" i="8" s="1"/>
  <c r="G5" i="9"/>
  <c r="H9" i="8" s="1"/>
  <c r="H11" i="8" s="1"/>
  <c r="E14" i="9"/>
  <c r="F7" i="9"/>
  <c r="G13" i="8" s="1"/>
  <c r="G15" i="8" s="1"/>
  <c r="F5" i="9"/>
  <c r="G9" i="8" s="1"/>
  <c r="G7" i="9"/>
  <c r="H13" i="8" s="1"/>
  <c r="G12" i="9"/>
  <c r="H20" i="8" s="1"/>
  <c r="L6" i="9"/>
  <c r="F9" i="9"/>
  <c r="G17" i="8" s="1"/>
  <c r="G9" i="9"/>
  <c r="H17" i="8" s="1"/>
  <c r="H22" i="8" s="1"/>
  <c r="Y14" i="9"/>
  <c r="O15" i="14" l="1"/>
  <c r="P13" i="14"/>
  <c r="O22" i="14"/>
  <c r="P17" i="14"/>
  <c r="O11" i="14"/>
  <c r="O23" i="14" s="1"/>
  <c r="P8" i="14"/>
  <c r="U6" i="9"/>
  <c r="W6" i="9"/>
  <c r="V6" i="9"/>
  <c r="L4" i="9"/>
  <c r="L10" i="8"/>
  <c r="T6" i="9"/>
  <c r="S6" i="9"/>
  <c r="T4" i="9"/>
  <c r="S4" i="9"/>
  <c r="G11" i="8"/>
  <c r="G18" i="8"/>
  <c r="L10" i="9"/>
  <c r="H15" i="8"/>
  <c r="H23" i="8" s="1"/>
  <c r="L8" i="8"/>
  <c r="G19" i="8"/>
  <c r="L11" i="9"/>
  <c r="L7" i="9"/>
  <c r="F23" i="8"/>
  <c r="L8" i="9"/>
  <c r="Q6" i="9"/>
  <c r="AB6" i="9" s="1"/>
  <c r="G14" i="9"/>
  <c r="AA6" i="9"/>
  <c r="N6" i="9" s="1"/>
  <c r="F14" i="9"/>
  <c r="Q4" i="9"/>
  <c r="AB4" i="9" s="1"/>
  <c r="L13" i="9"/>
  <c r="L5" i="9"/>
  <c r="L12" i="9"/>
  <c r="L9" i="9"/>
  <c r="Q13" i="9"/>
  <c r="AB13" i="9" s="1"/>
  <c r="AA7" i="9"/>
  <c r="N7" i="9" s="1"/>
  <c r="AA4" i="9"/>
  <c r="N4" i="9" s="1"/>
  <c r="P11" i="14" l="1"/>
  <c r="Q8" i="14"/>
  <c r="Q11" i="14" s="1"/>
  <c r="P22" i="14"/>
  <c r="Q17" i="14"/>
  <c r="Q22" i="14" s="1"/>
  <c r="P15" i="14"/>
  <c r="Q13" i="14"/>
  <c r="Q15" i="14" s="1"/>
  <c r="V9" i="9"/>
  <c r="W9" i="9"/>
  <c r="U9" i="9"/>
  <c r="V5" i="9"/>
  <c r="W5" i="9"/>
  <c r="U5" i="9"/>
  <c r="V11" i="9"/>
  <c r="W11" i="9"/>
  <c r="U11" i="9"/>
  <c r="U10" i="9"/>
  <c r="W10" i="9"/>
  <c r="V10" i="9"/>
  <c r="U4" i="9"/>
  <c r="W4" i="9"/>
  <c r="V4" i="9"/>
  <c r="U12" i="9"/>
  <c r="V12" i="9"/>
  <c r="W12" i="9"/>
  <c r="V13" i="9"/>
  <c r="W13" i="9"/>
  <c r="U13" i="9"/>
  <c r="U8" i="9"/>
  <c r="W8" i="9"/>
  <c r="V8" i="9"/>
  <c r="Q7" i="9"/>
  <c r="AB7" i="9" s="1"/>
  <c r="V7" i="9"/>
  <c r="W7" i="9"/>
  <c r="U7" i="9"/>
  <c r="G22" i="8"/>
  <c r="G23" i="8" s="1"/>
  <c r="L17" i="8"/>
  <c r="T9" i="9"/>
  <c r="S9" i="9"/>
  <c r="T5" i="9"/>
  <c r="S5" i="9"/>
  <c r="T8" i="9"/>
  <c r="S8" i="9"/>
  <c r="T11" i="9"/>
  <c r="S11" i="9"/>
  <c r="T10" i="9"/>
  <c r="S10" i="9"/>
  <c r="L20" i="8"/>
  <c r="T12" i="9"/>
  <c r="S12" i="9"/>
  <c r="L21" i="8"/>
  <c r="T13" i="9"/>
  <c r="S13" i="9"/>
  <c r="L13" i="8"/>
  <c r="T7" i="9"/>
  <c r="S7" i="9"/>
  <c r="L14" i="8"/>
  <c r="AA8" i="9"/>
  <c r="Q8" i="9"/>
  <c r="N8" i="9"/>
  <c r="R8" i="9" s="1"/>
  <c r="L19" i="8"/>
  <c r="Q11" i="9"/>
  <c r="AA11" i="9"/>
  <c r="N11" i="9"/>
  <c r="R11" i="9" s="1"/>
  <c r="X11" i="9" s="1"/>
  <c r="Z11" i="9" s="1"/>
  <c r="L18" i="8"/>
  <c r="AA10" i="9"/>
  <c r="N10" i="9" s="1"/>
  <c r="R10" i="9" s="1"/>
  <c r="M18" i="8" s="1"/>
  <c r="Q10" i="9"/>
  <c r="AA5" i="9"/>
  <c r="N5" i="9" s="1"/>
  <c r="R5" i="9" s="1"/>
  <c r="M9" i="8" s="1"/>
  <c r="L9" i="8"/>
  <c r="L15" i="8"/>
  <c r="L14" i="9"/>
  <c r="AC10" i="9"/>
  <c r="R6" i="9"/>
  <c r="M10" i="8" s="1"/>
  <c r="R7" i="9"/>
  <c r="M13" i="8" s="1"/>
  <c r="R4" i="9"/>
  <c r="M8" i="8" s="1"/>
  <c r="AA13" i="9"/>
  <c r="N13" i="9" s="1"/>
  <c r="AA12" i="9"/>
  <c r="Q12" i="9"/>
  <c r="N12" i="9"/>
  <c r="Q5" i="9"/>
  <c r="Q9" i="9"/>
  <c r="AA9" i="9"/>
  <c r="Q23" i="14" l="1"/>
  <c r="P23" i="14"/>
  <c r="X10" i="9"/>
  <c r="Z10" i="9" s="1"/>
  <c r="W14" i="9"/>
  <c r="U14" i="9"/>
  <c r="O10" i="9"/>
  <c r="N18" i="8" s="1"/>
  <c r="L22" i="8"/>
  <c r="M11" i="8"/>
  <c r="L11" i="8"/>
  <c r="L23" i="8" s="1"/>
  <c r="AB10" i="9"/>
  <c r="O8" i="9"/>
  <c r="N14" i="8" s="1"/>
  <c r="M14" i="8"/>
  <c r="M15" i="8" s="1"/>
  <c r="AC8" i="9"/>
  <c r="P18" i="8"/>
  <c r="Q18" i="8" s="1"/>
  <c r="O11" i="9"/>
  <c r="N19" i="8" s="1"/>
  <c r="M19" i="8"/>
  <c r="AC11" i="9"/>
  <c r="AB11" i="9"/>
  <c r="X8" i="9"/>
  <c r="Z8" i="9" s="1"/>
  <c r="AB8" i="9"/>
  <c r="O6" i="9"/>
  <c r="N10" i="8" s="1"/>
  <c r="P10" i="8" s="1"/>
  <c r="Q10" i="8" s="1"/>
  <c r="X7" i="9"/>
  <c r="Z7" i="9" s="1"/>
  <c r="O7" i="9"/>
  <c r="N13" i="8" s="1"/>
  <c r="X5" i="9"/>
  <c r="Z5" i="9" s="1"/>
  <c r="O5" i="9"/>
  <c r="N9" i="8" s="1"/>
  <c r="P9" i="8" s="1"/>
  <c r="Q9" i="8" s="1"/>
  <c r="O4" i="9"/>
  <c r="AC7" i="9"/>
  <c r="AC5" i="9"/>
  <c r="AC6" i="9"/>
  <c r="X6" i="9"/>
  <c r="Z6" i="9" s="1"/>
  <c r="R12" i="9"/>
  <c r="M20" i="8" s="1"/>
  <c r="R13" i="9"/>
  <c r="M21" i="8" s="1"/>
  <c r="AC4" i="9"/>
  <c r="AB5" i="9"/>
  <c r="AB12" i="9"/>
  <c r="N9" i="9"/>
  <c r="R9" i="9" s="1"/>
  <c r="AA14" i="9"/>
  <c r="AB9" i="9"/>
  <c r="Q14" i="9"/>
  <c r="AB14" i="9" s="1"/>
  <c r="O9" i="9" l="1"/>
  <c r="N17" i="8" s="1"/>
  <c r="M17" i="8"/>
  <c r="X4" i="9"/>
  <c r="Z4" i="9" s="1"/>
  <c r="N8" i="8"/>
  <c r="N15" i="8"/>
  <c r="P19" i="8"/>
  <c r="Q19" i="8" s="1"/>
  <c r="P14" i="8"/>
  <c r="Q14" i="8" s="1"/>
  <c r="P13" i="8"/>
  <c r="X13" i="9"/>
  <c r="Z13" i="9" s="1"/>
  <c r="O13" i="9"/>
  <c r="N21" i="8" s="1"/>
  <c r="P21" i="8" s="1"/>
  <c r="Q21" i="8" s="1"/>
  <c r="X12" i="9"/>
  <c r="Z12" i="9" s="1"/>
  <c r="O12" i="9"/>
  <c r="N20" i="8" s="1"/>
  <c r="P20" i="8" s="1"/>
  <c r="Q20" i="8" s="1"/>
  <c r="AC13" i="9"/>
  <c r="AC12" i="9"/>
  <c r="N14" i="9"/>
  <c r="R14" i="9" s="1"/>
  <c r="S14" i="9"/>
  <c r="O14" i="9" l="1"/>
  <c r="P15" i="8"/>
  <c r="Q13" i="8"/>
  <c r="Q15" i="8" s="1"/>
  <c r="N11" i="8"/>
  <c r="P8" i="8"/>
  <c r="P17" i="8"/>
  <c r="M22" i="8"/>
  <c r="M23" i="8" s="1"/>
  <c r="N22" i="8"/>
  <c r="T14" i="9"/>
  <c r="AC9" i="9"/>
  <c r="X9" i="9"/>
  <c r="V14" i="9"/>
  <c r="AC14" i="9"/>
  <c r="P22" i="8" l="1"/>
  <c r="Q17" i="8"/>
  <c r="Q22" i="8" s="1"/>
  <c r="N23" i="8"/>
  <c r="P11" i="8"/>
  <c r="Q8" i="8"/>
  <c r="Q11" i="8" s="1"/>
  <c r="Z9" i="9"/>
  <c r="Z14" i="9" s="1"/>
  <c r="X14" i="9"/>
  <c r="P23" i="8" l="1"/>
  <c r="Q23" i="8"/>
</calcChain>
</file>

<file path=xl/comments1.xml><?xml version="1.0" encoding="utf-8"?>
<comments xmlns="http://schemas.openxmlformats.org/spreadsheetml/2006/main">
  <authors>
    <author>Sol</author>
    <author>Федянина</author>
  </authors>
  <commentList>
    <comment ref="A6" authorId="0">
      <text>
        <r>
          <rPr>
            <b/>
            <sz val="8"/>
            <color indexed="81"/>
            <rFont val="Tahoma"/>
            <family val="2"/>
            <charset val="204"/>
          </rPr>
          <t>Обязательно должны вводиться в порядке возрастания</t>
        </r>
      </text>
    </comment>
    <comment ref="B60" authorId="1">
      <text>
        <r>
          <rPr>
            <b/>
            <sz val="9"/>
            <color indexed="81"/>
            <rFont val="Tahoma"/>
            <family val="2"/>
            <charset val="204"/>
          </rPr>
          <t>Федянина:</t>
        </r>
        <r>
          <rPr>
            <sz val="9"/>
            <color indexed="81"/>
            <rFont val="Tahoma"/>
            <family val="2"/>
            <charset val="204"/>
          </rPr>
          <t xml:space="preserve">
Обязателен к заполнению</t>
        </r>
      </text>
    </comment>
  </commentList>
</comments>
</file>

<file path=xl/comments2.xml><?xml version="1.0" encoding="utf-8"?>
<comments xmlns="http://schemas.openxmlformats.org/spreadsheetml/2006/main">
  <authors>
    <author>Sol</author>
    <author>Федянина</author>
  </authors>
  <commentList>
    <comment ref="A6" authorId="0">
      <text>
        <r>
          <rPr>
            <b/>
            <sz val="8"/>
            <color indexed="81"/>
            <rFont val="Tahoma"/>
            <family val="2"/>
            <charset val="204"/>
          </rPr>
          <t>Обязательно должны вводиться в порядке возрастания</t>
        </r>
      </text>
    </comment>
    <comment ref="B60" authorId="1">
      <text>
        <r>
          <rPr>
            <b/>
            <sz val="9"/>
            <color indexed="81"/>
            <rFont val="Tahoma"/>
            <family val="2"/>
            <charset val="204"/>
          </rPr>
          <t>Федянина:</t>
        </r>
        <r>
          <rPr>
            <sz val="9"/>
            <color indexed="81"/>
            <rFont val="Tahoma"/>
            <family val="2"/>
            <charset val="204"/>
          </rPr>
          <t xml:space="preserve">
Обязателен к заполнению</t>
        </r>
      </text>
    </comment>
  </commentList>
</comments>
</file>

<file path=xl/comments3.xml><?xml version="1.0" encoding="utf-8"?>
<comments xmlns="http://schemas.openxmlformats.org/spreadsheetml/2006/main">
  <authors>
    <author>Федянина</author>
  </authors>
  <commentList>
    <comment ref="Y3" authorId="0">
      <text>
        <r>
          <rPr>
            <b/>
            <sz val="9"/>
            <color indexed="81"/>
            <rFont val="Tahoma"/>
            <family val="2"/>
            <charset val="204"/>
          </rPr>
          <t>Федянина:</t>
        </r>
        <r>
          <rPr>
            <sz val="9"/>
            <color indexed="81"/>
            <rFont val="Tahoma"/>
            <family val="2"/>
            <charset val="204"/>
          </rPr>
          <t xml:space="preserve">
автоматически равен плановому авансу из справочника</t>
        </r>
      </text>
    </comment>
  </commentList>
</comments>
</file>

<file path=xl/comments4.xml><?xml version="1.0" encoding="utf-8"?>
<comments xmlns="http://schemas.openxmlformats.org/spreadsheetml/2006/main">
  <authors>
    <author>Федянина</author>
  </authors>
  <commentList>
    <comment ref="Y3" authorId="0">
      <text>
        <r>
          <rPr>
            <b/>
            <sz val="9"/>
            <color indexed="81"/>
            <rFont val="Tahoma"/>
            <family val="2"/>
            <charset val="204"/>
          </rPr>
          <t>Федянина:</t>
        </r>
        <r>
          <rPr>
            <sz val="9"/>
            <color indexed="81"/>
            <rFont val="Tahoma"/>
            <family val="2"/>
            <charset val="204"/>
          </rPr>
          <t xml:space="preserve">
автоматически равен плановому авансу из справочника</t>
        </r>
      </text>
    </comment>
  </commentList>
</comments>
</file>

<file path=xl/sharedStrings.xml><?xml version="1.0" encoding="utf-8"?>
<sst xmlns="http://schemas.openxmlformats.org/spreadsheetml/2006/main" count="398" uniqueCount="171">
  <si>
    <t>Итого дохода</t>
  </si>
  <si>
    <t>База по страховым взносам</t>
  </si>
  <si>
    <t>Итого НДФЛ</t>
  </si>
  <si>
    <t xml:space="preserve">Оклад </t>
  </si>
  <si>
    <t>Отработано дней по табелю</t>
  </si>
  <si>
    <t>Дней для оплаты по среднему (командировка)</t>
  </si>
  <si>
    <t>Больничный лист</t>
  </si>
  <si>
    <t>Вычеты по НДФЛ</t>
  </si>
  <si>
    <t>Справочно: начисления необлагаемые страховыми взносами</t>
  </si>
  <si>
    <t xml:space="preserve">НДФЛ </t>
  </si>
  <si>
    <t xml:space="preserve">ФСС НСиПЗ </t>
  </si>
  <si>
    <t xml:space="preserve">ФСС </t>
  </si>
  <si>
    <t xml:space="preserve">ФФОМС </t>
  </si>
  <si>
    <t>К выплате</t>
  </si>
  <si>
    <t>Аванс</t>
  </si>
  <si>
    <t>Оплачено по среднему, прочие начисления (командировка)</t>
  </si>
  <si>
    <t>Удержания</t>
  </si>
  <si>
    <t>Наименование организации</t>
  </si>
  <si>
    <t>ОАО "Шанс"</t>
  </si>
  <si>
    <t>Период</t>
  </si>
  <si>
    <t xml:space="preserve">Сведения о сотрудниках </t>
  </si>
  <si>
    <t>Список сотрудников организации</t>
  </si>
  <si>
    <t>Табельный номер</t>
  </si>
  <si>
    <t>Табельные номера</t>
  </si>
  <si>
    <t>ФИО</t>
  </si>
  <si>
    <r>
      <t xml:space="preserve">Количество детей </t>
    </r>
    <r>
      <rPr>
        <sz val="10"/>
        <color indexed="8"/>
        <rFont val="Calibri"/>
        <family val="2"/>
        <charset val="204"/>
      </rPr>
      <t>(первые два)</t>
    </r>
  </si>
  <si>
    <r>
      <t xml:space="preserve">Количество детей 
</t>
    </r>
    <r>
      <rPr>
        <sz val="10"/>
        <color indexed="8"/>
        <rFont val="Calibri"/>
        <family val="2"/>
        <charset val="204"/>
      </rPr>
      <t>(третий и последующие)</t>
    </r>
  </si>
  <si>
    <t>На детей</t>
  </si>
  <si>
    <t>Антонов С. Ю</t>
  </si>
  <si>
    <t>Евген П. Л</t>
  </si>
  <si>
    <t>Год рождения</t>
  </si>
  <si>
    <t>Оклад</t>
  </si>
  <si>
    <t>Плановый аванс</t>
  </si>
  <si>
    <t xml:space="preserve">Плановый аванс </t>
  </si>
  <si>
    <t>Применяемые ставки в ПФ</t>
  </si>
  <si>
    <t>Страховая</t>
  </si>
  <si>
    <t>Накопительная</t>
  </si>
  <si>
    <t>Производственный календарь на</t>
  </si>
  <si>
    <t>месяц</t>
  </si>
  <si>
    <t>ЯНВАРЬ</t>
  </si>
  <si>
    <t>количество рабочих дней</t>
  </si>
  <si>
    <t>Размеры стандартных вычетов по НК</t>
  </si>
  <si>
    <t>Предельная сумма дохода с начала налогового периода, облагаемого по ставке 13% для предоставления стандартных вычетов:</t>
  </si>
  <si>
    <t>на детей (первые два)</t>
  </si>
  <si>
    <t xml:space="preserve">на детей  </t>
  </si>
  <si>
    <t>на детей (третьего и последующих</t>
  </si>
  <si>
    <t>Шкала налогов и взносов</t>
  </si>
  <si>
    <t>Облагаемый лимит по страховым взносам</t>
  </si>
  <si>
    <t>ОПС стр. ч. 1967 и моложе</t>
  </si>
  <si>
    <t>ОПС нак. ч.  1967 и моложе</t>
  </si>
  <si>
    <t>ОПС стр. ч.  1966 и старше</t>
  </si>
  <si>
    <t>ОПС стр. ч.  свыше лимита</t>
  </si>
  <si>
    <t>Табель учета рабочего времени</t>
  </si>
  <si>
    <t>Всего за месяц</t>
  </si>
  <si>
    <t>Январь</t>
  </si>
  <si>
    <t>январь, 2013 г.</t>
  </si>
  <si>
    <t>Удержания в виде алиментов</t>
  </si>
  <si>
    <t>Количество детей</t>
  </si>
  <si>
    <t>дочь</t>
  </si>
  <si>
    <t>сын и дочь</t>
  </si>
  <si>
    <t>Итого за январь</t>
  </si>
  <si>
    <t>Дней для оплаты по среднему (командировки)</t>
  </si>
  <si>
    <t>Оплата больничного предприятияем осуществляется только за 3 больничных дня, все остальные больничные дни оплачиваются ФСС</t>
  </si>
  <si>
    <t>Больничный лист -оплачивает организация</t>
  </si>
  <si>
    <t>Больничный лист -оплачивает ФСС</t>
  </si>
  <si>
    <t>Районный коэффициент</t>
  </si>
  <si>
    <t>Дальневосточный коэффициент</t>
  </si>
  <si>
    <t>Отпуск</t>
  </si>
  <si>
    <t>Отпускные</t>
  </si>
  <si>
    <t>Пособие</t>
  </si>
  <si>
    <t>Сумма на руки</t>
  </si>
  <si>
    <t>Оплачено за отработанное время</t>
  </si>
  <si>
    <t>Самоненко С. Г.</t>
  </si>
  <si>
    <t>Авдошина В. В.</t>
  </si>
  <si>
    <t>Бакирова А. П.</t>
  </si>
  <si>
    <t>Шкап Е. В.</t>
  </si>
  <si>
    <t>Неваляшка М. П.</t>
  </si>
  <si>
    <t>Антонов С. Ю.</t>
  </si>
  <si>
    <t>Евген П. Л.</t>
  </si>
  <si>
    <t>Павлов П. П.</t>
  </si>
  <si>
    <t>Иванова С. Д.</t>
  </si>
  <si>
    <t>Петров В. К.</t>
  </si>
  <si>
    <t>Сумма за 2012г</t>
  </si>
  <si>
    <t>Рабочие дни</t>
  </si>
  <si>
    <t>Сумма для б/л за 2011-2012г</t>
  </si>
  <si>
    <t xml:space="preserve">Норма рабочих дней по производственному календарю </t>
  </si>
  <si>
    <t xml:space="preserve">Итого </t>
  </si>
  <si>
    <t>Удержания (алименты)</t>
  </si>
  <si>
    <t>Деньги получил</t>
  </si>
  <si>
    <t>РАСЧЕТНО-ПЛАТЕЖНАЯ ВЕДОМОСТЬ</t>
  </si>
  <si>
    <t>РАСЧЕТЫ ПО ОПЛАТЕ ТРУДА РАБОТНИКОВ КАБЕЛЬНОГО ПРОИЗВОДСТВА</t>
  </si>
  <si>
    <t>Номер по порядку</t>
  </si>
  <si>
    <t>Должность, (специальность, профессия)</t>
  </si>
  <si>
    <t>Тарифная ставка (часовая, дневная) (оклад), руб.</t>
  </si>
  <si>
    <t>Отработано дней (часов) по табелю</t>
  </si>
  <si>
    <t>Начислено, руб. за текущий месяц по видам оплат</t>
  </si>
  <si>
    <t>Командировачные</t>
  </si>
  <si>
    <t>Налог на доходы</t>
  </si>
  <si>
    <t>Алименты</t>
  </si>
  <si>
    <t>Всего удержано, руб</t>
  </si>
  <si>
    <t>Подпись</t>
  </si>
  <si>
    <t>Должность работника и стаж</t>
  </si>
  <si>
    <t>Самоненко С. Г</t>
  </si>
  <si>
    <t>Директор, 35 лет</t>
  </si>
  <si>
    <t>Авдошина В. В</t>
  </si>
  <si>
    <t>Бакирова А. П</t>
  </si>
  <si>
    <t>Главный бухгалтер, 21 год</t>
  </si>
  <si>
    <t>Специалист по маркетингу, 5 лет</t>
  </si>
  <si>
    <t>Шкап Е. В</t>
  </si>
  <si>
    <t>Неваляшка М. П</t>
  </si>
  <si>
    <t>Слесарь-ремонтник, 10 лет</t>
  </si>
  <si>
    <t>Токарь 3 разряда, 7 лет</t>
  </si>
  <si>
    <t>Варщик кабельной массы, 11 лет</t>
  </si>
  <si>
    <t>Павлов П. П</t>
  </si>
  <si>
    <t>Лакировщик проводов и кабелей, 4 года</t>
  </si>
  <si>
    <t>Прокатчик горячего металла, 5 лет</t>
  </si>
  <si>
    <t>Иванова С. Д</t>
  </si>
  <si>
    <t>Петров В. К</t>
  </si>
  <si>
    <t>Смазчик, 7 лет</t>
  </si>
  <si>
    <t>Подсобный рабочий, 6 лет</t>
  </si>
  <si>
    <t>Табельный номер, ФИО</t>
  </si>
  <si>
    <t>АУП</t>
  </si>
  <si>
    <t>Об.Пр.Работники</t>
  </si>
  <si>
    <t>Работники Цеха №1</t>
  </si>
  <si>
    <t>Всего начислено</t>
  </si>
  <si>
    <t>Всего удержано</t>
  </si>
  <si>
    <t>Сведения о детях сотрудников</t>
  </si>
  <si>
    <t>Сотрудник</t>
  </si>
  <si>
    <t xml:space="preserve">Количество детей до 18 </t>
  </si>
  <si>
    <t xml:space="preserve">Количество детей студентов ВУЗА до 24  </t>
  </si>
  <si>
    <t>Кабельное производство</t>
  </si>
  <si>
    <t>Стандартные вычеты на детей</t>
  </si>
  <si>
    <t xml:space="preserve">Процент аванса </t>
  </si>
  <si>
    <t>Облагаемый доход</t>
  </si>
  <si>
    <t>33%, то есть 1/3</t>
  </si>
  <si>
    <t>25%, то есть 1/4</t>
  </si>
  <si>
    <t>Доп. Информация по исполнительным листам (количество детей)</t>
  </si>
  <si>
    <t>ИТОГО ПО АУП</t>
  </si>
  <si>
    <t>ИТОГО ПО ОБ.ПР.РАБОТНИКАМ</t>
  </si>
  <si>
    <t>ИТОГО ПО РАБОТНИКАМ ЦЕХА №1</t>
  </si>
  <si>
    <t>ИТОГО ПО ПРЕДПРИЯТИЮ</t>
  </si>
  <si>
    <t>ФСС (2,9%)</t>
  </si>
  <si>
    <t>Итого начислено</t>
  </si>
  <si>
    <t>Оплата дней временной нетрудоспособности</t>
  </si>
  <si>
    <t>Отчисления во внебюджетные фонды</t>
  </si>
  <si>
    <t xml:space="preserve">Итого начислено во внебюд-жетные фонды </t>
  </si>
  <si>
    <t>Пенсионный фонд РФ 22%</t>
  </si>
  <si>
    <t>Накопительная часть                0%, 6%</t>
  </si>
  <si>
    <t>Страховая часть 16%, 22%</t>
  </si>
  <si>
    <t>ФФОМС (5,1%)</t>
  </si>
  <si>
    <t>Травматизм (2,8%)</t>
  </si>
  <si>
    <t xml:space="preserve">ОПС стр. ч. (22% / 16%) </t>
  </si>
  <si>
    <t>ОПС нак. ч. (0% / 6%)</t>
  </si>
  <si>
    <t>Расчеты страховых взносов предприятия ОАО "Шанс"</t>
  </si>
  <si>
    <t xml:space="preserve">Табельный номер </t>
  </si>
  <si>
    <t>ИТОГО ПО Об.Пр.Работникам</t>
  </si>
  <si>
    <t>Работники цеха №1</t>
  </si>
  <si>
    <t>ИТОГО ПО Работникам цеха №1</t>
  </si>
  <si>
    <t>травматизм 2,8%</t>
  </si>
  <si>
    <t xml:space="preserve">ФФОМС 5,1% </t>
  </si>
  <si>
    <t>ФСС 2,9%</t>
  </si>
  <si>
    <t>С кредита счетов</t>
  </si>
  <si>
    <t>В дебет счетов</t>
  </si>
  <si>
    <t>Журнал-Ордер</t>
  </si>
  <si>
    <t>Итого</t>
  </si>
  <si>
    <t>70/ЗП</t>
  </si>
  <si>
    <t>70/Б</t>
  </si>
  <si>
    <t>70/О</t>
  </si>
  <si>
    <t>50/ЗП</t>
  </si>
  <si>
    <t>50/Б</t>
  </si>
  <si>
    <t>50/О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</si>
</sst>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u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u/>
      <sz val="11"/>
      <color indexed="8"/>
      <name val="Calibri"/>
      <family val="2"/>
      <charset val="204"/>
    </font>
    <font>
      <b/>
      <u/>
      <sz val="14"/>
      <color indexed="8"/>
      <name val="Calibri"/>
      <family val="2"/>
      <charset val="204"/>
    </font>
    <font>
      <b/>
      <sz val="8"/>
      <color indexed="81"/>
      <name val="Tahoma"/>
      <family val="2"/>
      <charset val="204"/>
    </font>
    <font>
      <b/>
      <sz val="10"/>
      <color indexed="8"/>
      <name val="Calibri"/>
      <family val="2"/>
      <charset val="204"/>
    </font>
    <font>
      <b/>
      <sz val="8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7" fillId="0" borderId="0"/>
    <xf numFmtId="0" fontId="17" fillId="0" borderId="0"/>
  </cellStyleXfs>
  <cellXfs count="235">
    <xf numFmtId="0" fontId="0" fillId="0" borderId="0" xfId="0"/>
    <xf numFmtId="0" fontId="2" fillId="0" borderId="2" xfId="0" applyFont="1" applyBorder="1"/>
    <xf numFmtId="4" fontId="2" fillId="2" borderId="2" xfId="0" applyNumberFormat="1" applyFont="1" applyFill="1" applyBorder="1"/>
    <xf numFmtId="0" fontId="2" fillId="2" borderId="2" xfId="0" applyFont="1" applyFill="1" applyBorder="1" applyProtection="1"/>
    <xf numFmtId="2" fontId="2" fillId="3" borderId="2" xfId="0" applyNumberFormat="1" applyFont="1" applyFill="1" applyBorder="1" applyProtection="1">
      <protection locked="0"/>
    </xf>
    <xf numFmtId="2" fontId="3" fillId="3" borderId="2" xfId="0" applyNumberFormat="1" applyFon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2" fillId="2" borderId="2" xfId="0" applyNumberFormat="1" applyFont="1" applyFill="1" applyBorder="1"/>
    <xf numFmtId="4" fontId="2" fillId="3" borderId="2" xfId="0" applyNumberFormat="1" applyFont="1" applyFill="1" applyBorder="1" applyProtection="1">
      <protection locked="0"/>
    </xf>
    <xf numFmtId="0" fontId="0" fillId="0" borderId="0" xfId="0" applyFill="1"/>
    <xf numFmtId="4" fontId="2" fillId="5" borderId="2" xfId="0" applyNumberFormat="1" applyFont="1" applyFill="1" applyBorder="1"/>
    <xf numFmtId="4" fontId="2" fillId="6" borderId="2" xfId="0" applyNumberFormat="1" applyFont="1" applyFill="1" applyBorder="1" applyProtection="1">
      <protection locked="0"/>
    </xf>
    <xf numFmtId="2" fontId="0" fillId="0" borderId="0" xfId="0" applyNumberFormat="1"/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Fill="1" applyAlignment="1" applyProtection="1">
      <alignment horizontal="right"/>
      <protection locked="0"/>
    </xf>
    <xf numFmtId="0" fontId="0" fillId="0" borderId="0" xfId="0" applyFill="1" applyProtection="1">
      <protection locked="0"/>
    </xf>
    <xf numFmtId="0" fontId="0" fillId="4" borderId="0" xfId="0" applyFill="1" applyProtection="1">
      <protection locked="0"/>
    </xf>
    <xf numFmtId="0" fontId="0" fillId="4" borderId="0" xfId="0" applyFill="1"/>
    <xf numFmtId="0" fontId="7" fillId="0" borderId="0" xfId="0" applyFont="1" applyFill="1" applyAlignment="1" applyProtection="1">
      <alignment horizontal="center"/>
      <protection locked="0"/>
    </xf>
    <xf numFmtId="0" fontId="7" fillId="0" borderId="0" xfId="0" applyFont="1" applyFill="1" applyAlignment="1" applyProtection="1">
      <protection locked="0"/>
    </xf>
    <xf numFmtId="0" fontId="8" fillId="0" borderId="0" xfId="0" applyFont="1" applyBorder="1" applyAlignment="1">
      <alignment horizontal="center" vertical="center"/>
    </xf>
    <xf numFmtId="0" fontId="0" fillId="0" borderId="0" xfId="0" applyNumberFormat="1" applyBorder="1"/>
    <xf numFmtId="0" fontId="0" fillId="3" borderId="2" xfId="0" applyNumberFormat="1" applyFill="1" applyBorder="1" applyProtection="1">
      <protection locked="0"/>
    </xf>
    <xf numFmtId="0" fontId="2" fillId="7" borderId="3" xfId="0" applyNumberFormat="1" applyFont="1" applyFill="1" applyBorder="1" applyAlignment="1" applyProtection="1">
      <alignment wrapText="1"/>
    </xf>
    <xf numFmtId="0" fontId="0" fillId="0" borderId="0" xfId="0" applyNumberFormat="1" applyFill="1" applyBorder="1"/>
    <xf numFmtId="0" fontId="0" fillId="3" borderId="2" xfId="0" applyFill="1" applyBorder="1" applyAlignment="1" applyProtection="1">
      <alignment wrapText="1"/>
      <protection locked="0"/>
    </xf>
    <xf numFmtId="0" fontId="0" fillId="4" borderId="0" xfId="0" applyFill="1" applyAlignment="1" applyProtection="1">
      <alignment wrapText="1"/>
      <protection locked="0"/>
    </xf>
    <xf numFmtId="3" fontId="0" fillId="2" borderId="2" xfId="0" applyNumberFormat="1" applyFill="1" applyBorder="1" applyAlignment="1" applyProtection="1">
      <alignment wrapText="1"/>
    </xf>
    <xf numFmtId="0" fontId="0" fillId="0" borderId="0" xfId="0" applyAlignment="1" applyProtection="1">
      <alignment wrapText="1"/>
      <protection locked="0"/>
    </xf>
    <xf numFmtId="3" fontId="0" fillId="0" borderId="0" xfId="0" applyNumberFormat="1" applyAlignment="1" applyProtection="1">
      <alignment wrapText="1"/>
      <protection locked="0"/>
    </xf>
    <xf numFmtId="3" fontId="0" fillId="3" borderId="2" xfId="0" applyNumberFormat="1" applyFill="1" applyBorder="1" applyAlignment="1" applyProtection="1">
      <alignment wrapText="1"/>
      <protection locked="0"/>
    </xf>
    <xf numFmtId="3" fontId="2" fillId="3" borderId="2" xfId="0" applyNumberFormat="1" applyFont="1" applyFill="1" applyBorder="1" applyAlignment="1" applyProtection="1">
      <alignment wrapText="1"/>
      <protection locked="0"/>
    </xf>
    <xf numFmtId="2" fontId="2" fillId="4" borderId="0" xfId="0" applyNumberFormat="1" applyFont="1" applyFill="1" applyBorder="1" applyAlignment="1" applyProtection="1">
      <alignment wrapText="1"/>
      <protection locked="0"/>
    </xf>
    <xf numFmtId="49" fontId="0" fillId="0" borderId="0" xfId="0" applyNumberFormat="1" applyFill="1" applyBorder="1" applyProtection="1">
      <protection locked="0"/>
    </xf>
    <xf numFmtId="10" fontId="2" fillId="3" borderId="4" xfId="0" applyNumberFormat="1" applyFont="1" applyFill="1" applyBorder="1" applyAlignment="1" applyProtection="1">
      <alignment wrapText="1"/>
      <protection locked="0"/>
    </xf>
    <xf numFmtId="4" fontId="2" fillId="6" borderId="2" xfId="0" applyNumberFormat="1" applyFont="1" applyFill="1" applyBorder="1" applyAlignment="1" applyProtection="1">
      <alignment wrapText="1"/>
      <protection locked="0"/>
    </xf>
    <xf numFmtId="10" fontId="2" fillId="2" borderId="2" xfId="0" applyNumberFormat="1" applyFont="1" applyFill="1" applyBorder="1" applyAlignment="1" applyProtection="1">
      <alignment wrapText="1"/>
    </xf>
    <xf numFmtId="0" fontId="0" fillId="0" borderId="0" xfId="0" applyNumberFormat="1" applyBorder="1" applyAlignment="1" applyProtection="1">
      <alignment wrapText="1"/>
      <protection locked="0"/>
    </xf>
    <xf numFmtId="0" fontId="7" fillId="0" borderId="0" xfId="0" applyFont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0" fontId="7" fillId="0" borderId="0" xfId="0" applyFont="1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wrapText="1"/>
    </xf>
    <xf numFmtId="0" fontId="0" fillId="0" borderId="2" xfId="0" applyBorder="1" applyAlignment="1" applyProtection="1">
      <alignment horizontal="center" wrapText="1"/>
      <protection locked="0"/>
    </xf>
    <xf numFmtId="0" fontId="0" fillId="4" borderId="2" xfId="0" applyFill="1" applyBorder="1" applyAlignment="1" applyProtection="1">
      <alignment wrapText="1"/>
    </xf>
    <xf numFmtId="0" fontId="0" fillId="3" borderId="2" xfId="0" applyFill="1" applyBorder="1" applyAlignment="1" applyProtection="1">
      <alignment horizontal="center" wrapText="1"/>
      <protection locked="0"/>
    </xf>
    <xf numFmtId="0" fontId="0" fillId="0" borderId="0" xfId="0" applyProtection="1"/>
    <xf numFmtId="0" fontId="0" fillId="0" borderId="2" xfId="0" applyBorder="1" applyAlignment="1" applyProtection="1"/>
    <xf numFmtId="0" fontId="0" fillId="0" borderId="0" xfId="0" applyBorder="1" applyAlignment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6" fillId="0" borderId="2" xfId="0" applyFont="1" applyBorder="1" applyAlignment="1" applyProtection="1">
      <alignment wrapText="1"/>
    </xf>
    <xf numFmtId="3" fontId="6" fillId="3" borderId="2" xfId="0" applyNumberFormat="1" applyFont="1" applyFill="1" applyBorder="1" applyAlignment="1" applyProtection="1">
      <alignment wrapText="1"/>
      <protection locked="0"/>
    </xf>
    <xf numFmtId="0" fontId="9" fillId="0" borderId="0" xfId="0" applyFont="1" applyAlignment="1" applyProtection="1">
      <alignment horizontal="center" wrapText="1"/>
    </xf>
    <xf numFmtId="0" fontId="9" fillId="0" borderId="0" xfId="0" applyFont="1" applyAlignment="1" applyProtection="1">
      <alignment horizontal="center" wrapText="1"/>
      <protection locked="0"/>
    </xf>
    <xf numFmtId="0" fontId="2" fillId="8" borderId="2" xfId="0" applyFont="1" applyFill="1" applyBorder="1" applyAlignment="1" applyProtection="1">
      <alignment wrapText="1"/>
    </xf>
    <xf numFmtId="10" fontId="0" fillId="3" borderId="2" xfId="0" applyNumberFormat="1" applyFill="1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wrapText="1"/>
    </xf>
    <xf numFmtId="10" fontId="0" fillId="0" borderId="0" xfId="0" applyNumberFormat="1" applyAlignment="1" applyProtection="1">
      <alignment wrapText="1"/>
      <protection locked="0"/>
    </xf>
    <xf numFmtId="0" fontId="10" fillId="4" borderId="0" xfId="0" applyFont="1" applyFill="1" applyBorder="1" applyAlignment="1" applyProtection="1">
      <alignment wrapText="1"/>
      <protection locked="0"/>
    </xf>
    <xf numFmtId="0" fontId="0" fillId="4" borderId="0" xfId="0" applyFont="1" applyFill="1" applyBorder="1" applyAlignment="1" applyProtection="1">
      <alignment wrapText="1"/>
      <protection locked="0"/>
    </xf>
    <xf numFmtId="0" fontId="0" fillId="4" borderId="2" xfId="0" applyFont="1" applyFill="1" applyBorder="1" applyAlignment="1" applyProtection="1">
      <alignment horizontal="center" wrapText="1"/>
    </xf>
    <xf numFmtId="49" fontId="0" fillId="0" borderId="2" xfId="0" applyNumberFormat="1" applyBorder="1" applyAlignment="1" applyProtection="1">
      <alignment horizontal="center" wrapText="1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" borderId="2" xfId="0" applyFill="1" applyBorder="1" applyProtection="1">
      <protection locked="0"/>
    </xf>
    <xf numFmtId="0" fontId="0" fillId="2" borderId="2" xfId="0" applyFill="1" applyBorder="1"/>
    <xf numFmtId="0" fontId="0" fillId="0" borderId="0" xfId="0" applyBorder="1"/>
    <xf numFmtId="0" fontId="0" fillId="0" borderId="0" xfId="0" applyNumberFormat="1" applyBorder="1" applyProtection="1">
      <protection locked="0"/>
    </xf>
    <xf numFmtId="49" fontId="0" fillId="0" borderId="2" xfId="0" applyNumberFormat="1" applyFill="1" applyBorder="1" applyAlignment="1" applyProtection="1">
      <alignment wrapText="1"/>
      <protection locked="0"/>
    </xf>
    <xf numFmtId="9" fontId="0" fillId="0" borderId="2" xfId="0" applyNumberFormat="1" applyFill="1" applyBorder="1" applyAlignment="1">
      <alignment wrapText="1"/>
    </xf>
    <xf numFmtId="49" fontId="8" fillId="0" borderId="2" xfId="0" applyNumberFormat="1" applyFont="1" applyFill="1" applyBorder="1" applyAlignment="1" applyProtection="1">
      <alignment horizontal="center" wrapText="1"/>
      <protection locked="0"/>
    </xf>
    <xf numFmtId="0" fontId="8" fillId="0" borderId="2" xfId="0" applyNumberFormat="1" applyFont="1" applyFill="1" applyBorder="1" applyAlignment="1">
      <alignment horizontal="center" wrapText="1"/>
    </xf>
    <xf numFmtId="0" fontId="0" fillId="4" borderId="0" xfId="0" applyFill="1" applyBorder="1" applyAlignment="1" applyProtection="1">
      <alignment horizontal="center" wrapText="1"/>
      <protection locked="0"/>
    </xf>
    <xf numFmtId="0" fontId="0" fillId="4" borderId="0" xfId="0" applyFill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 wrapText="1"/>
      <protection locked="0"/>
    </xf>
    <xf numFmtId="49" fontId="0" fillId="0" borderId="4" xfId="0" applyNumberFormat="1" applyBorder="1" applyProtection="1"/>
    <xf numFmtId="0" fontId="0" fillId="0" borderId="5" xfId="0" applyFill="1" applyBorder="1" applyAlignment="1" applyProtection="1">
      <alignment horizontal="center" wrapText="1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 wrapText="1"/>
      <protection locked="0"/>
    </xf>
    <xf numFmtId="0" fontId="0" fillId="0" borderId="2" xfId="0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0" xfId="0" applyNumberFormat="1" applyFill="1" applyBorder="1" applyProtection="1">
      <protection locked="0"/>
    </xf>
    <xf numFmtId="0" fontId="0" fillId="4" borderId="0" xfId="0" applyFill="1" applyAlignment="1">
      <alignment wrapText="1"/>
    </xf>
    <xf numFmtId="0" fontId="0" fillId="4" borderId="0" xfId="0" applyFill="1" applyBorder="1"/>
    <xf numFmtId="0" fontId="0" fillId="4" borderId="0" xfId="0" applyFill="1" applyBorder="1" applyAlignment="1" applyProtection="1">
      <alignment wrapText="1"/>
      <protection locked="0"/>
    </xf>
    <xf numFmtId="0" fontId="0" fillId="4" borderId="2" xfId="0" applyFill="1" applyBorder="1"/>
    <xf numFmtId="0" fontId="0" fillId="4" borderId="2" xfId="0" applyFill="1" applyBorder="1" applyAlignment="1" applyProtection="1">
      <alignment wrapText="1"/>
      <protection locked="0"/>
    </xf>
    <xf numFmtId="2" fontId="2" fillId="4" borderId="2" xfId="0" applyNumberFormat="1" applyFont="1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9" fontId="0" fillId="4" borderId="2" xfId="0" applyNumberFormat="1" applyFill="1" applyBorder="1" applyProtection="1">
      <protection locked="0"/>
    </xf>
    <xf numFmtId="9" fontId="0" fillId="4" borderId="2" xfId="0" applyNumberFormat="1" applyFill="1" applyBorder="1"/>
    <xf numFmtId="0" fontId="12" fillId="2" borderId="2" xfId="0" applyFont="1" applyFill="1" applyBorder="1"/>
    <xf numFmtId="0" fontId="12" fillId="0" borderId="2" xfId="0" applyFont="1" applyBorder="1"/>
    <xf numFmtId="3" fontId="0" fillId="0" borderId="0" xfId="0" applyNumberFormat="1"/>
    <xf numFmtId="0" fontId="2" fillId="3" borderId="2" xfId="0" applyFont="1" applyFill="1" applyBorder="1" applyAlignment="1" applyProtection="1">
      <alignment horizontal="center"/>
      <protection locked="0"/>
    </xf>
    <xf numFmtId="0" fontId="12" fillId="8" borderId="2" xfId="0" applyFont="1" applyFill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4" borderId="2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center" vertical="top" wrapText="1"/>
    </xf>
    <xf numFmtId="2" fontId="12" fillId="4" borderId="2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0" fillId="0" borderId="2" xfId="0" applyBorder="1" applyAlignment="1">
      <alignment horizontal="center" wrapText="1"/>
    </xf>
    <xf numFmtId="0" fontId="0" fillId="0" borderId="6" xfId="0" applyBorder="1"/>
    <xf numFmtId="0" fontId="0" fillId="0" borderId="2" xfId="0" applyBorder="1"/>
    <xf numFmtId="0" fontId="0" fillId="0" borderId="2" xfId="0" applyBorder="1" applyAlignment="1">
      <alignment wrapText="1"/>
    </xf>
    <xf numFmtId="0" fontId="18" fillId="0" borderId="2" xfId="0" applyFont="1" applyBorder="1"/>
    <xf numFmtId="0" fontId="18" fillId="0" borderId="2" xfId="0" applyFont="1" applyBorder="1" applyAlignment="1">
      <alignment wrapText="1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8" fillId="0" borderId="2" xfId="0" applyFont="1" applyFill="1" applyBorder="1" applyAlignment="1">
      <alignment horizontal="center" wrapText="1"/>
    </xf>
    <xf numFmtId="4" fontId="18" fillId="0" borderId="2" xfId="0" applyNumberFormat="1" applyFont="1" applyBorder="1" applyAlignment="1">
      <alignment wrapText="1"/>
    </xf>
    <xf numFmtId="2" fontId="18" fillId="0" borderId="2" xfId="0" applyNumberFormat="1" applyFont="1" applyBorder="1" applyAlignment="1">
      <alignment wrapText="1"/>
    </xf>
    <xf numFmtId="0" fontId="18" fillId="0" borderId="0" xfId="0" applyFont="1" applyBorder="1" applyAlignment="1">
      <alignment wrapText="1"/>
    </xf>
    <xf numFmtId="4" fontId="18" fillId="0" borderId="2" xfId="0" applyNumberFormat="1" applyFont="1" applyBorder="1"/>
    <xf numFmtId="0" fontId="0" fillId="0" borderId="4" xfId="0" applyBorder="1"/>
    <xf numFmtId="0" fontId="16" fillId="0" borderId="0" xfId="0" applyFont="1" applyAlignment="1">
      <alignment horizontal="center"/>
    </xf>
    <xf numFmtId="0" fontId="0" fillId="12" borderId="2" xfId="0" applyFill="1" applyBorder="1" applyAlignment="1">
      <alignment horizontal="center"/>
    </xf>
    <xf numFmtId="0" fontId="16" fillId="12" borderId="2" xfId="0" applyFont="1" applyFill="1" applyBorder="1" applyAlignment="1">
      <alignment horizontal="center"/>
    </xf>
    <xf numFmtId="0" fontId="0" fillId="12" borderId="2" xfId="0" applyFill="1" applyBorder="1" applyAlignment="1">
      <alignment horizontal="center" wrapText="1"/>
    </xf>
    <xf numFmtId="0" fontId="18" fillId="12" borderId="2" xfId="0" applyFont="1" applyFill="1" applyBorder="1" applyAlignment="1">
      <alignment wrapText="1"/>
    </xf>
    <xf numFmtId="0" fontId="20" fillId="12" borderId="2" xfId="0" applyFont="1" applyFill="1" applyBorder="1" applyAlignment="1">
      <alignment horizontal="center" wrapText="1"/>
    </xf>
    <xf numFmtId="4" fontId="18" fillId="12" borderId="2" xfId="0" applyNumberFormat="1" applyFont="1" applyFill="1" applyBorder="1" applyAlignment="1">
      <alignment wrapText="1"/>
    </xf>
    <xf numFmtId="2" fontId="18" fillId="12" borderId="2" xfId="0" applyNumberFormat="1" applyFont="1" applyFill="1" applyBorder="1" applyAlignment="1">
      <alignment wrapText="1"/>
    </xf>
    <xf numFmtId="0" fontId="18" fillId="12" borderId="2" xfId="0" applyFont="1" applyFill="1" applyBorder="1"/>
    <xf numFmtId="4" fontId="18" fillId="12" borderId="2" xfId="0" applyNumberFormat="1" applyFont="1" applyFill="1" applyBorder="1"/>
    <xf numFmtId="0" fontId="18" fillId="13" borderId="2" xfId="0" applyFont="1" applyFill="1" applyBorder="1" applyAlignment="1">
      <alignment wrapText="1"/>
    </xf>
    <xf numFmtId="0" fontId="20" fillId="11" borderId="0" xfId="0" applyFont="1" applyFill="1" applyBorder="1" applyAlignment="1">
      <alignment horizontal="center"/>
    </xf>
    <xf numFmtId="0" fontId="0" fillId="4" borderId="0" xfId="0" applyFill="1" applyBorder="1" applyProtection="1">
      <protection locked="0"/>
    </xf>
    <xf numFmtId="0" fontId="18" fillId="0" borderId="2" xfId="0" applyNumberFormat="1" applyFont="1" applyFill="1" applyBorder="1" applyAlignment="1" applyProtection="1">
      <alignment shrinkToFit="1"/>
      <protection locked="0"/>
    </xf>
    <xf numFmtId="0" fontId="18" fillId="0" borderId="2" xfId="0" applyNumberFormat="1" applyFont="1" applyBorder="1" applyAlignment="1" applyProtection="1">
      <alignment shrinkToFit="1"/>
      <protection locked="0"/>
    </xf>
    <xf numFmtId="9" fontId="18" fillId="0" borderId="2" xfId="0" applyNumberFormat="1" applyFont="1" applyBorder="1" applyAlignment="1" applyProtection="1">
      <alignment shrinkToFit="1"/>
      <protection locked="0"/>
    </xf>
    <xf numFmtId="0" fontId="18" fillId="0" borderId="2" xfId="0" applyNumberFormat="1" applyFont="1" applyFill="1" applyBorder="1" applyAlignment="1">
      <alignment shrinkToFit="1"/>
    </xf>
    <xf numFmtId="0" fontId="12" fillId="0" borderId="2" xfId="0" applyFont="1" applyBorder="1" applyAlignment="1" applyProtection="1">
      <alignment horizontal="center" vertical="center" shrinkToFit="1"/>
    </xf>
    <xf numFmtId="0" fontId="20" fillId="0" borderId="2" xfId="0" applyNumberFormat="1" applyFont="1" applyBorder="1" applyAlignment="1">
      <alignment shrinkToFit="1"/>
    </xf>
    <xf numFmtId="0" fontId="20" fillId="0" borderId="2" xfId="0" applyNumberFormat="1" applyFont="1" applyFill="1" applyBorder="1" applyAlignment="1" applyProtection="1">
      <alignment horizontal="center" wrapText="1" shrinkToFit="1"/>
      <protection locked="0"/>
    </xf>
    <xf numFmtId="0" fontId="20" fillId="0" borderId="2" xfId="0" applyNumberFormat="1" applyFont="1" applyBorder="1" applyAlignment="1" applyProtection="1">
      <alignment horizontal="center" wrapText="1" shrinkToFit="1"/>
      <protection locked="0"/>
    </xf>
    <xf numFmtId="0" fontId="20" fillId="0" borderId="2" xfId="0" applyNumberFormat="1" applyFont="1" applyBorder="1" applyAlignment="1" applyProtection="1">
      <alignment horizontal="center" wrapText="1"/>
      <protection locked="0"/>
    </xf>
    <xf numFmtId="0" fontId="0" fillId="0" borderId="2" xfId="0" applyNumberFormat="1" applyFill="1" applyBorder="1"/>
    <xf numFmtId="0" fontId="20" fillId="0" borderId="2" xfId="0" applyNumberFormat="1" applyFont="1" applyFill="1" applyBorder="1" applyAlignment="1">
      <alignment horizontal="center" wrapText="1" shrinkToFit="1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18" fillId="0" borderId="6" xfId="0" applyFont="1" applyBorder="1" applyAlignment="1">
      <alignment wrapText="1"/>
    </xf>
    <xf numFmtId="0" fontId="16" fillId="0" borderId="0" xfId="0" applyFont="1" applyBorder="1"/>
    <xf numFmtId="0" fontId="16" fillId="12" borderId="2" xfId="0" applyFont="1" applyFill="1" applyBorder="1" applyAlignment="1">
      <alignment horizontal="center" wrapText="1"/>
    </xf>
    <xf numFmtId="4" fontId="18" fillId="14" borderId="2" xfId="0" applyNumberFormat="1" applyFont="1" applyFill="1" applyBorder="1" applyAlignment="1">
      <alignment wrapText="1"/>
    </xf>
    <xf numFmtId="0" fontId="18" fillId="14" borderId="2" xfId="0" applyFont="1" applyFill="1" applyBorder="1" applyAlignment="1">
      <alignment wrapText="1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right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4" fontId="0" fillId="0" borderId="0" xfId="0" applyNumberFormat="1"/>
    <xf numFmtId="0" fontId="0" fillId="0" borderId="0" xfId="0" applyAlignment="1">
      <alignment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10" borderId="5" xfId="0" applyFont="1" applyFill="1" applyBorder="1" applyAlignment="1">
      <alignment horizontal="center" vertical="center" wrapText="1"/>
    </xf>
    <xf numFmtId="0" fontId="18" fillId="10" borderId="2" xfId="0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wrapText="1"/>
    </xf>
    <xf numFmtId="0" fontId="0" fillId="0" borderId="2" xfId="0" applyFont="1" applyBorder="1" applyAlignment="1">
      <alignment horizontal="center"/>
    </xf>
    <xf numFmtId="0" fontId="20" fillId="15" borderId="2" xfId="0" applyFont="1" applyFill="1" applyBorder="1" applyAlignment="1">
      <alignment horizontal="center" vertical="center" wrapText="1"/>
    </xf>
    <xf numFmtId="0" fontId="18" fillId="15" borderId="2" xfId="0" applyFont="1" applyFill="1" applyBorder="1" applyAlignment="1">
      <alignment horizontal="center" vertical="center" wrapText="1"/>
    </xf>
    <xf numFmtId="0" fontId="20" fillId="15" borderId="2" xfId="0" applyFont="1" applyFill="1" applyBorder="1" applyAlignment="1">
      <alignment horizontal="center" wrapText="1"/>
    </xf>
    <xf numFmtId="0" fontId="16" fillId="15" borderId="2" xfId="0" applyFont="1" applyFill="1" applyBorder="1" applyAlignment="1">
      <alignment horizontal="center"/>
    </xf>
    <xf numFmtId="0" fontId="16" fillId="9" borderId="2" xfId="0" applyFont="1" applyFill="1" applyBorder="1" applyAlignment="1">
      <alignment horizontal="center"/>
    </xf>
    <xf numFmtId="0" fontId="16" fillId="9" borderId="2" xfId="0" applyFont="1" applyFill="1" applyBorder="1"/>
    <xf numFmtId="0" fontId="0" fillId="9" borderId="2" xfId="0" applyFont="1" applyFill="1" applyBorder="1" applyAlignment="1">
      <alignment horizontal="center"/>
    </xf>
    <xf numFmtId="0" fontId="0" fillId="15" borderId="2" xfId="0" applyFont="1" applyFill="1" applyBorder="1" applyAlignment="1">
      <alignment horizontal="center"/>
    </xf>
    <xf numFmtId="3" fontId="0" fillId="0" borderId="2" xfId="0" applyNumberFormat="1" applyFont="1" applyBorder="1" applyAlignment="1">
      <alignment horizontal="center" wrapText="1"/>
    </xf>
    <xf numFmtId="3" fontId="0" fillId="0" borderId="2" xfId="0" applyNumberFormat="1" applyFont="1" applyBorder="1" applyAlignment="1">
      <alignment horizontal="center"/>
    </xf>
    <xf numFmtId="4" fontId="0" fillId="0" borderId="2" xfId="0" applyNumberFormat="1" applyFont="1" applyBorder="1" applyAlignment="1">
      <alignment horizontal="center" wrapText="1"/>
    </xf>
    <xf numFmtId="4" fontId="0" fillId="9" borderId="2" xfId="0" applyNumberFormat="1" applyFont="1" applyFill="1" applyBorder="1" applyAlignment="1">
      <alignment horizontal="center"/>
    </xf>
    <xf numFmtId="4" fontId="0" fillId="0" borderId="2" xfId="0" applyNumberFormat="1" applyFont="1" applyBorder="1" applyAlignment="1">
      <alignment horizontal="center"/>
    </xf>
    <xf numFmtId="4" fontId="0" fillId="0" borderId="2" xfId="0" applyNumberFormat="1" applyBorder="1"/>
    <xf numFmtId="4" fontId="0" fillId="0" borderId="2" xfId="0" applyNumberFormat="1" applyBorder="1" applyAlignment="1">
      <alignment horizontal="center"/>
    </xf>
    <xf numFmtId="0" fontId="0" fillId="14" borderId="2" xfId="0" applyFill="1" applyBorder="1" applyAlignment="1">
      <alignment horizontal="center"/>
    </xf>
    <xf numFmtId="0" fontId="16" fillId="9" borderId="2" xfId="0" applyFont="1" applyFill="1" applyBorder="1" applyAlignment="1">
      <alignment horizontal="center" wrapText="1"/>
    </xf>
    <xf numFmtId="0" fontId="0" fillId="16" borderId="2" xfId="0" applyFill="1" applyBorder="1" applyAlignment="1">
      <alignment horizontal="center" wrapText="1"/>
    </xf>
    <xf numFmtId="0" fontId="0" fillId="16" borderId="2" xfId="0" applyFill="1" applyBorder="1" applyAlignment="1">
      <alignment horizontal="center"/>
    </xf>
    <xf numFmtId="0" fontId="0" fillId="14" borderId="2" xfId="0" applyFont="1" applyFill="1" applyBorder="1" applyAlignment="1">
      <alignment horizontal="center" wrapText="1"/>
    </xf>
    <xf numFmtId="4" fontId="0" fillId="9" borderId="2" xfId="0" applyNumberFormat="1" applyFill="1" applyBorder="1"/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0" fillId="4" borderId="4" xfId="0" applyFont="1" applyFill="1" applyBorder="1" applyAlignment="1" applyProtection="1">
      <alignment horizontal="center" wrapText="1"/>
    </xf>
    <xf numFmtId="0" fontId="0" fillId="4" borderId="5" xfId="0" applyFont="1" applyFill="1" applyBorder="1" applyAlignment="1" applyProtection="1">
      <alignment horizontal="center" wrapText="1"/>
    </xf>
    <xf numFmtId="0" fontId="0" fillId="0" borderId="4" xfId="0" applyBorder="1" applyAlignment="1" applyProtection="1">
      <alignment horizontal="center" wrapText="1"/>
    </xf>
    <xf numFmtId="0" fontId="0" fillId="0" borderId="5" xfId="0" applyBorder="1" applyAlignment="1" applyProtection="1">
      <alignment horizontal="center" wrapText="1"/>
    </xf>
    <xf numFmtId="0" fontId="0" fillId="4" borderId="9" xfId="0" applyFill="1" applyBorder="1" applyAlignment="1" applyProtection="1">
      <alignment horizontal="center" wrapText="1"/>
    </xf>
    <xf numFmtId="0" fontId="0" fillId="4" borderId="7" xfId="0" applyFill="1" applyBorder="1" applyAlignment="1" applyProtection="1">
      <alignment horizontal="center" wrapText="1"/>
    </xf>
    <xf numFmtId="0" fontId="0" fillId="0" borderId="9" xfId="0" applyBorder="1" applyAlignment="1" applyProtection="1">
      <alignment horizontal="center" wrapText="1"/>
    </xf>
    <xf numFmtId="0" fontId="0" fillId="0" borderId="7" xfId="0" applyBorder="1" applyAlignment="1" applyProtection="1">
      <alignment horizontal="center" wrapText="1"/>
    </xf>
    <xf numFmtId="0" fontId="0" fillId="0" borderId="8" xfId="0" applyBorder="1" applyAlignment="1" applyProtection="1">
      <alignment horizontal="center" wrapText="1"/>
    </xf>
    <xf numFmtId="0" fontId="7" fillId="0" borderId="1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wrapText="1"/>
    </xf>
    <xf numFmtId="49" fontId="0" fillId="0" borderId="1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right"/>
    </xf>
    <xf numFmtId="0" fontId="1" fillId="3" borderId="0" xfId="0" applyFont="1" applyFill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7" fillId="0" borderId="0" xfId="0" applyFont="1" applyBorder="1" applyAlignment="1" applyProtection="1">
      <alignment horizontal="right" wrapText="1"/>
    </xf>
    <xf numFmtId="0" fontId="0" fillId="4" borderId="0" xfId="0" applyFill="1" applyAlignment="1" applyProtection="1">
      <alignment horizontal="center" wrapText="1"/>
      <protection locked="0"/>
    </xf>
    <xf numFmtId="0" fontId="16" fillId="0" borderId="11" xfId="0" applyFont="1" applyBorder="1" applyAlignment="1" applyProtection="1">
      <alignment horizontal="center" wrapText="1"/>
    </xf>
    <xf numFmtId="0" fontId="16" fillId="0" borderId="1" xfId="0" applyFont="1" applyBorder="1" applyAlignment="1" applyProtection="1">
      <alignment horizontal="center" wrapText="1"/>
    </xf>
    <xf numFmtId="0" fontId="7" fillId="0" borderId="1" xfId="0" applyFont="1" applyFill="1" applyBorder="1" applyAlignment="1" applyProtection="1">
      <alignment horizontal="center"/>
    </xf>
    <xf numFmtId="0" fontId="0" fillId="0" borderId="1" xfId="0" applyBorder="1" applyAlignment="1"/>
    <xf numFmtId="0" fontId="0" fillId="0" borderId="10" xfId="0" applyBorder="1" applyAlignment="1"/>
    <xf numFmtId="0" fontId="16" fillId="0" borderId="0" xfId="0" applyFont="1" applyFill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6" fillId="3" borderId="0" xfId="0" applyFont="1" applyFill="1" applyAlignment="1" applyProtection="1">
      <protection locked="0"/>
    </xf>
    <xf numFmtId="0" fontId="16" fillId="0" borderId="11" xfId="0" applyNumberFormat="1" applyFont="1" applyFill="1" applyBorder="1" applyAlignment="1" applyProtection="1">
      <alignment horizontal="center"/>
      <protection locked="0"/>
    </xf>
    <xf numFmtId="0" fontId="1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20" fillId="14" borderId="9" xfId="0" applyFont="1" applyFill="1" applyBorder="1" applyAlignment="1">
      <alignment horizontal="center" wrapText="1"/>
    </xf>
    <xf numFmtId="0" fontId="16" fillId="14" borderId="7" xfId="0" applyFont="1" applyFill="1" applyBorder="1" applyAlignment="1">
      <alignment horizontal="center" wrapText="1"/>
    </xf>
    <xf numFmtId="0" fontId="20" fillId="14" borderId="2" xfId="0" applyFont="1" applyFill="1" applyBorder="1" applyAlignment="1">
      <alignment horizontal="center" wrapText="1"/>
    </xf>
    <xf numFmtId="0" fontId="20" fillId="11" borderId="2" xfId="0" applyFont="1" applyFill="1" applyBorder="1" applyAlignment="1">
      <alignment horizontal="center"/>
    </xf>
    <xf numFmtId="0" fontId="16" fillId="11" borderId="2" xfId="0" applyFont="1" applyFill="1" applyBorder="1" applyAlignment="1">
      <alignment horizontal="center"/>
    </xf>
    <xf numFmtId="0" fontId="16" fillId="11" borderId="4" xfId="0" applyFont="1" applyFill="1" applyBorder="1" applyAlignment="1">
      <alignment horizontal="center"/>
    </xf>
    <xf numFmtId="0" fontId="18" fillId="0" borderId="2" xfId="0" applyFont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wrapText="1"/>
    </xf>
    <xf numFmtId="0" fontId="20" fillId="9" borderId="2" xfId="0" applyFont="1" applyFill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40;&#1056;&#1052;%20&#1041;&#1059;&#1061;\&#1040;&#1056;&#1052;%20&#1073;&#1091;&#109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56;&#1052;%20&#1073;&#1091;&#10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  <sheetName val="Расчеты по ОТ"/>
      <sheetName val="Лист1"/>
    </sheetNames>
    <sheetDataSet>
      <sheetData sheetId="0" refreshError="1">
        <row r="1">
          <cell r="C1" t="str">
            <v>ОАО "Шанс"</v>
          </cell>
        </row>
        <row r="30">
          <cell r="G30">
            <v>280000</v>
          </cell>
        </row>
        <row r="36">
          <cell r="C36">
            <v>568000</v>
          </cell>
        </row>
        <row r="38">
          <cell r="C38">
            <v>0.13</v>
          </cell>
        </row>
        <row r="39">
          <cell r="C39">
            <v>2E-3</v>
          </cell>
        </row>
        <row r="40">
          <cell r="C40">
            <v>2.9000000000000001E-2</v>
          </cell>
        </row>
        <row r="41">
          <cell r="C41">
            <v>5.0999999999999997E-2</v>
          </cell>
        </row>
        <row r="45">
          <cell r="C45">
            <v>0.1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  <sheetName val="Расчеты по ОТ"/>
      <sheetName val="Лист1"/>
    </sheetNames>
    <sheetDataSet>
      <sheetData sheetId="0">
        <row r="7">
          <cell r="A7">
            <v>200</v>
          </cell>
        </row>
        <row r="8">
          <cell r="A8">
            <v>201</v>
          </cell>
        </row>
        <row r="9">
          <cell r="A9">
            <v>202</v>
          </cell>
        </row>
        <row r="10">
          <cell r="A10">
            <v>203</v>
          </cell>
        </row>
        <row r="11">
          <cell r="A11">
            <v>204</v>
          </cell>
        </row>
        <row r="12">
          <cell r="A12">
            <v>205</v>
          </cell>
        </row>
        <row r="13">
          <cell r="A13">
            <v>206</v>
          </cell>
        </row>
        <row r="14">
          <cell r="A14">
            <v>207</v>
          </cell>
        </row>
        <row r="15">
          <cell r="A15">
            <v>208</v>
          </cell>
        </row>
        <row r="16">
          <cell r="A16">
            <v>209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80"/>
  <sheetViews>
    <sheetView topLeftCell="A91" zoomScaleNormal="100" workbookViewId="0">
      <selection activeCell="F25" sqref="F25"/>
    </sheetView>
  </sheetViews>
  <sheetFormatPr defaultRowHeight="15" x14ac:dyDescent="0.25"/>
  <cols>
    <col min="1" max="1" width="15.85546875" customWidth="1"/>
    <col min="2" max="2" width="16.42578125" customWidth="1"/>
    <col min="3" max="3" width="13.5703125" customWidth="1"/>
    <col min="4" max="4" width="33.140625" customWidth="1"/>
    <col min="5" max="5" width="22.5703125" customWidth="1"/>
    <col min="6" max="6" width="18.85546875" customWidth="1"/>
    <col min="7" max="7" width="20.85546875" customWidth="1"/>
    <col min="8" max="8" width="21.28515625" customWidth="1"/>
    <col min="9" max="9" width="20.85546875" customWidth="1"/>
    <col min="10" max="11" width="20.5703125" customWidth="1"/>
    <col min="12" max="12" width="20.28515625" customWidth="1"/>
    <col min="13" max="13" width="21.42578125" customWidth="1"/>
    <col min="14" max="14" width="20.85546875" customWidth="1"/>
    <col min="15" max="15" width="21.28515625" customWidth="1"/>
    <col min="16" max="16" width="20.85546875" customWidth="1"/>
  </cols>
  <sheetData>
    <row r="1" spans="1:16" ht="15.75" x14ac:dyDescent="0.25">
      <c r="A1" s="205" t="s">
        <v>17</v>
      </c>
      <c r="B1" s="205"/>
      <c r="C1" s="13"/>
      <c r="D1" s="206" t="s">
        <v>18</v>
      </c>
      <c r="E1" s="206"/>
      <c r="G1" s="14" t="s">
        <v>19</v>
      </c>
      <c r="H1" s="218" t="s">
        <v>55</v>
      </c>
      <c r="I1" s="218"/>
      <c r="J1" s="15"/>
      <c r="K1" s="15"/>
      <c r="L1" s="15"/>
      <c r="M1" s="15"/>
      <c r="N1" s="15"/>
      <c r="O1" s="15"/>
    </row>
    <row r="2" spans="1:16" s="19" customFormat="1" x14ac:dyDescent="0.25">
      <c r="A2" s="16"/>
      <c r="B2" s="16"/>
      <c r="C2" s="16"/>
      <c r="D2" s="216" t="s">
        <v>130</v>
      </c>
      <c r="E2" s="217"/>
      <c r="F2" s="17"/>
      <c r="G2" s="17"/>
      <c r="H2" s="17"/>
      <c r="I2" s="17"/>
      <c r="J2" s="17"/>
      <c r="K2" s="18"/>
      <c r="L2" s="18"/>
      <c r="M2" s="18"/>
      <c r="N2" s="18"/>
      <c r="O2" s="18"/>
    </row>
    <row r="3" spans="1:16" x14ac:dyDescent="0.25">
      <c r="D3" s="20"/>
      <c r="E3" s="9"/>
      <c r="F3" s="21" t="s">
        <v>20</v>
      </c>
      <c r="G3" s="21"/>
      <c r="H3" s="21"/>
      <c r="I3" s="21"/>
      <c r="J3" s="17"/>
      <c r="K3" s="15"/>
      <c r="L3" s="15"/>
      <c r="M3" s="15"/>
      <c r="N3" s="15"/>
      <c r="O3" s="15"/>
    </row>
    <row r="4" spans="1:16" ht="14.25" customHeight="1" x14ac:dyDescent="0.25">
      <c r="D4" s="22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6" ht="17.25" customHeight="1" x14ac:dyDescent="0.25">
      <c r="A5" s="213" t="s">
        <v>21</v>
      </c>
      <c r="B5" s="213"/>
      <c r="C5" s="214"/>
      <c r="D5" s="215"/>
      <c r="E5" s="207" t="s">
        <v>22</v>
      </c>
      <c r="F5" s="208"/>
      <c r="G5" s="24">
        <v>200</v>
      </c>
      <c r="H5" s="24">
        <v>201</v>
      </c>
      <c r="I5" s="24">
        <v>202</v>
      </c>
      <c r="J5" s="24">
        <v>203</v>
      </c>
      <c r="K5" s="24">
        <v>204</v>
      </c>
      <c r="L5" s="24">
        <v>205</v>
      </c>
      <c r="M5" s="24">
        <v>206</v>
      </c>
      <c r="N5" s="24">
        <v>207</v>
      </c>
      <c r="O5" s="24">
        <v>208</v>
      </c>
      <c r="P5" s="24">
        <v>209</v>
      </c>
    </row>
    <row r="6" spans="1:16" x14ac:dyDescent="0.25">
      <c r="A6" s="138" t="s">
        <v>23</v>
      </c>
      <c r="B6" s="138" t="s">
        <v>24</v>
      </c>
      <c r="C6" s="138" t="s">
        <v>69</v>
      </c>
      <c r="D6" s="139" t="s">
        <v>101</v>
      </c>
      <c r="E6" s="196" t="s">
        <v>24</v>
      </c>
      <c r="F6" s="197"/>
      <c r="G6" s="25" t="str">
        <f t="shared" ref="G6:P6" si="0">VLOOKUP(G5,$A$7:$B$36,2)</f>
        <v>Самоненко С. Г</v>
      </c>
      <c r="H6" s="25" t="str">
        <f t="shared" si="0"/>
        <v>Авдошина В. В</v>
      </c>
      <c r="I6" s="25" t="str">
        <f t="shared" si="0"/>
        <v>Бакирова А. П</v>
      </c>
      <c r="J6" s="25" t="str">
        <f t="shared" si="0"/>
        <v>Шкап Е. В</v>
      </c>
      <c r="K6" s="25" t="str">
        <f t="shared" si="0"/>
        <v>Неваляшка М. П</v>
      </c>
      <c r="L6" s="25" t="str">
        <f t="shared" si="0"/>
        <v>Антонов С. Ю</v>
      </c>
      <c r="M6" s="25" t="str">
        <f t="shared" si="0"/>
        <v>Евген П. Л</v>
      </c>
      <c r="N6" s="25" t="str">
        <f t="shared" si="0"/>
        <v>Павлов П. П</v>
      </c>
      <c r="O6" s="25" t="str">
        <f t="shared" si="0"/>
        <v>Иванова С. Д</v>
      </c>
      <c r="P6" s="25" t="str">
        <f t="shared" si="0"/>
        <v>Петров В. К</v>
      </c>
    </row>
    <row r="7" spans="1:16" ht="27" customHeight="1" x14ac:dyDescent="0.25">
      <c r="A7" s="134">
        <v>200</v>
      </c>
      <c r="B7" s="135" t="s">
        <v>102</v>
      </c>
      <c r="C7" s="136">
        <v>1</v>
      </c>
      <c r="D7" s="137" t="s">
        <v>103</v>
      </c>
      <c r="E7" s="196" t="s">
        <v>25</v>
      </c>
      <c r="F7" s="197"/>
      <c r="G7" s="27">
        <v>1</v>
      </c>
      <c r="H7" s="27">
        <v>2</v>
      </c>
      <c r="I7" s="27"/>
      <c r="J7" s="27">
        <v>2</v>
      </c>
      <c r="K7" s="27">
        <v>1</v>
      </c>
      <c r="L7" s="27">
        <v>1</v>
      </c>
      <c r="M7" s="27">
        <v>2</v>
      </c>
      <c r="N7" s="27"/>
      <c r="O7" s="27">
        <v>1</v>
      </c>
      <c r="P7" s="27">
        <v>2</v>
      </c>
    </row>
    <row r="8" spans="1:16" ht="26.25" customHeight="1" x14ac:dyDescent="0.25">
      <c r="A8" s="134">
        <v>201</v>
      </c>
      <c r="B8" s="135" t="s">
        <v>104</v>
      </c>
      <c r="C8" s="136">
        <v>1</v>
      </c>
      <c r="D8" s="137" t="s">
        <v>106</v>
      </c>
      <c r="E8" s="196" t="s">
        <v>26</v>
      </c>
      <c r="F8" s="197"/>
      <c r="G8" s="27"/>
      <c r="H8" s="27"/>
      <c r="I8" s="27"/>
      <c r="J8" s="27">
        <v>1</v>
      </c>
      <c r="K8" s="27"/>
      <c r="L8" s="27"/>
      <c r="M8" s="27"/>
      <c r="N8" s="27"/>
      <c r="O8" s="27"/>
      <c r="P8" s="27"/>
    </row>
    <row r="9" spans="1:16" s="19" customFormat="1" x14ac:dyDescent="0.25">
      <c r="A9" s="134">
        <v>202</v>
      </c>
      <c r="B9" s="135" t="s">
        <v>105</v>
      </c>
      <c r="C9" s="136">
        <v>0.8</v>
      </c>
      <c r="D9" s="137" t="s">
        <v>107</v>
      </c>
      <c r="F9" s="28"/>
      <c r="G9" s="28"/>
      <c r="H9" s="28"/>
      <c r="I9" s="28"/>
      <c r="J9" s="28"/>
      <c r="K9" s="18"/>
      <c r="L9" s="18"/>
      <c r="M9" s="18"/>
      <c r="N9" s="18"/>
      <c r="O9" s="18"/>
    </row>
    <row r="10" spans="1:16" ht="15" customHeight="1" x14ac:dyDescent="0.25">
      <c r="A10" s="134">
        <v>203</v>
      </c>
      <c r="B10" s="135" t="s">
        <v>108</v>
      </c>
      <c r="C10" s="136">
        <v>1</v>
      </c>
      <c r="D10" s="137" t="s">
        <v>110</v>
      </c>
      <c r="E10" s="211" t="s">
        <v>131</v>
      </c>
      <c r="F10" s="212"/>
      <c r="G10" s="212"/>
      <c r="H10" s="212"/>
      <c r="I10" s="212"/>
      <c r="J10" s="212"/>
      <c r="K10" s="15"/>
      <c r="L10" s="15"/>
      <c r="M10" s="15"/>
      <c r="N10" s="15"/>
      <c r="O10" s="15"/>
    </row>
    <row r="11" spans="1:16" x14ac:dyDescent="0.25">
      <c r="A11" s="134">
        <v>204</v>
      </c>
      <c r="B11" s="135" t="s">
        <v>109</v>
      </c>
      <c r="C11" s="136">
        <v>0.8</v>
      </c>
      <c r="D11" s="137" t="s">
        <v>111</v>
      </c>
      <c r="E11" s="196" t="s">
        <v>27</v>
      </c>
      <c r="F11" s="197"/>
      <c r="G11" s="29">
        <f t="shared" ref="G11:P11" si="1">$D$43*G7+$D$44*G8</f>
        <v>1400</v>
      </c>
      <c r="H11" s="29">
        <f t="shared" si="1"/>
        <v>2800</v>
      </c>
      <c r="I11" s="29">
        <f t="shared" si="1"/>
        <v>0</v>
      </c>
      <c r="J11" s="29">
        <f t="shared" si="1"/>
        <v>5800</v>
      </c>
      <c r="K11" s="29">
        <f t="shared" si="1"/>
        <v>1400</v>
      </c>
      <c r="L11" s="29">
        <f t="shared" si="1"/>
        <v>1400</v>
      </c>
      <c r="M11" s="29">
        <f t="shared" si="1"/>
        <v>2800</v>
      </c>
      <c r="N11" s="29">
        <f t="shared" si="1"/>
        <v>0</v>
      </c>
      <c r="O11" s="29">
        <f t="shared" si="1"/>
        <v>1400</v>
      </c>
      <c r="P11" s="29">
        <f t="shared" si="1"/>
        <v>2800</v>
      </c>
    </row>
    <row r="12" spans="1:16" x14ac:dyDescent="0.25">
      <c r="A12" s="134">
        <v>205</v>
      </c>
      <c r="B12" s="135" t="s">
        <v>28</v>
      </c>
      <c r="C12" s="136">
        <v>1</v>
      </c>
      <c r="D12" s="137" t="s">
        <v>112</v>
      </c>
      <c r="F12" s="30"/>
      <c r="G12" s="31"/>
      <c r="H12" s="31"/>
      <c r="I12" s="31"/>
      <c r="J12" s="31"/>
      <c r="K12" s="15"/>
      <c r="L12" s="15"/>
      <c r="M12" s="15"/>
      <c r="N12" s="15"/>
      <c r="O12" s="15"/>
    </row>
    <row r="13" spans="1:16" x14ac:dyDescent="0.25">
      <c r="A13" s="134">
        <v>206</v>
      </c>
      <c r="B13" s="135" t="s">
        <v>29</v>
      </c>
      <c r="C13" s="136">
        <v>0.6</v>
      </c>
      <c r="D13" s="137" t="s">
        <v>114</v>
      </c>
      <c r="E13" s="196" t="s">
        <v>30</v>
      </c>
      <c r="F13" s="197"/>
      <c r="G13" s="32">
        <v>1966</v>
      </c>
      <c r="H13" s="32">
        <v>1974</v>
      </c>
      <c r="I13" s="32">
        <v>1980</v>
      </c>
      <c r="J13" s="32">
        <v>1983</v>
      </c>
      <c r="K13" s="32">
        <v>1970</v>
      </c>
      <c r="L13" s="32">
        <v>1989</v>
      </c>
      <c r="M13" s="32">
        <v>1975</v>
      </c>
      <c r="N13" s="32">
        <v>1980</v>
      </c>
      <c r="O13" s="32">
        <v>1989</v>
      </c>
      <c r="P13" s="32">
        <v>1983</v>
      </c>
    </row>
    <row r="14" spans="1:16" x14ac:dyDescent="0.25">
      <c r="A14" s="134">
        <v>207</v>
      </c>
      <c r="B14" s="135" t="s">
        <v>113</v>
      </c>
      <c r="C14" s="136">
        <v>0.8</v>
      </c>
      <c r="D14" s="137" t="s">
        <v>115</v>
      </c>
      <c r="F14" s="30"/>
      <c r="G14" s="31"/>
      <c r="H14" s="31"/>
      <c r="I14" s="31"/>
      <c r="J14" s="31"/>
      <c r="K14" s="15"/>
      <c r="L14" s="15"/>
      <c r="M14" s="15"/>
      <c r="N14" s="15"/>
      <c r="O14" s="15"/>
    </row>
    <row r="15" spans="1:16" x14ac:dyDescent="0.25">
      <c r="A15" s="134">
        <v>208</v>
      </c>
      <c r="B15" s="135" t="s">
        <v>116</v>
      </c>
      <c r="C15" s="136">
        <v>0.8</v>
      </c>
      <c r="D15" s="137" t="s">
        <v>118</v>
      </c>
      <c r="E15" s="196" t="s">
        <v>31</v>
      </c>
      <c r="F15" s="197"/>
      <c r="G15" s="33">
        <v>100000</v>
      </c>
      <c r="H15" s="33">
        <v>75000</v>
      </c>
      <c r="I15" s="33">
        <v>55000</v>
      </c>
      <c r="J15" s="33">
        <v>50000</v>
      </c>
      <c r="K15" s="33">
        <v>39000</v>
      </c>
      <c r="L15" s="33">
        <v>20000</v>
      </c>
      <c r="M15" s="33">
        <v>21000</v>
      </c>
      <c r="N15" s="33">
        <v>19000</v>
      </c>
      <c r="O15" s="33">
        <v>15000</v>
      </c>
      <c r="P15" s="33">
        <v>12000</v>
      </c>
    </row>
    <row r="16" spans="1:16" s="19" customFormat="1" ht="13.5" customHeight="1" x14ac:dyDescent="0.25">
      <c r="A16" s="134">
        <v>209</v>
      </c>
      <c r="B16" s="135" t="s">
        <v>117</v>
      </c>
      <c r="C16" s="136">
        <v>0.8</v>
      </c>
      <c r="D16" s="137" t="s">
        <v>119</v>
      </c>
      <c r="E16" s="85"/>
      <c r="F16" s="28"/>
      <c r="G16" s="34"/>
      <c r="H16" s="34"/>
      <c r="I16" s="34"/>
      <c r="J16" s="34"/>
      <c r="K16" s="18"/>
      <c r="L16" s="18"/>
      <c r="M16" s="18"/>
      <c r="N16" s="18"/>
      <c r="O16" s="18"/>
    </row>
    <row r="17" spans="1:16" s="19" customFormat="1" ht="28.5" customHeight="1" x14ac:dyDescent="0.25">
      <c r="A17" s="84"/>
      <c r="B17" s="70"/>
      <c r="C17" s="70"/>
      <c r="D17" s="26"/>
      <c r="E17" s="88" t="s">
        <v>65</v>
      </c>
      <c r="F17" s="89"/>
      <c r="G17" s="90">
        <v>0.2</v>
      </c>
      <c r="H17" s="90">
        <v>0.2</v>
      </c>
      <c r="I17" s="90">
        <v>0.2</v>
      </c>
      <c r="J17" s="90">
        <v>0.2</v>
      </c>
      <c r="K17" s="92">
        <v>0.2</v>
      </c>
      <c r="L17" s="92">
        <v>0.2</v>
      </c>
      <c r="M17" s="92">
        <v>0.2</v>
      </c>
      <c r="N17" s="92">
        <v>0.2</v>
      </c>
      <c r="O17" s="92">
        <v>0.2</v>
      </c>
      <c r="P17" s="93">
        <v>0.2</v>
      </c>
    </row>
    <row r="18" spans="1:16" s="19" customFormat="1" ht="12.75" customHeight="1" x14ac:dyDescent="0.25">
      <c r="A18" s="219" t="s">
        <v>126</v>
      </c>
      <c r="B18" s="220"/>
      <c r="C18" s="220"/>
      <c r="D18" s="221"/>
      <c r="E18" s="86"/>
      <c r="F18" s="87"/>
      <c r="G18" s="34"/>
      <c r="H18" s="34"/>
      <c r="I18" s="34"/>
      <c r="J18" s="34"/>
      <c r="K18" s="18"/>
      <c r="L18" s="18"/>
      <c r="M18" s="18"/>
      <c r="N18" s="18"/>
      <c r="O18" s="18"/>
    </row>
    <row r="19" spans="1:16" s="19" customFormat="1" ht="56.25" customHeight="1" x14ac:dyDescent="0.25">
      <c r="A19" s="140" t="s">
        <v>127</v>
      </c>
      <c r="B19" s="141" t="s">
        <v>128</v>
      </c>
      <c r="C19" s="142" t="s">
        <v>129</v>
      </c>
      <c r="D19" s="144" t="s">
        <v>136</v>
      </c>
      <c r="E19" s="88" t="s">
        <v>66</v>
      </c>
      <c r="F19" s="89"/>
      <c r="G19" s="90">
        <v>0.3</v>
      </c>
      <c r="H19" s="90">
        <v>0.3</v>
      </c>
      <c r="I19" s="90">
        <v>0.3</v>
      </c>
      <c r="J19" s="90">
        <v>0.3</v>
      </c>
      <c r="K19" s="91">
        <v>0.3</v>
      </c>
      <c r="L19" s="91">
        <v>0.3</v>
      </c>
      <c r="M19" s="91">
        <v>0.3</v>
      </c>
      <c r="N19" s="91">
        <v>0.3</v>
      </c>
      <c r="O19" s="91">
        <v>0.3</v>
      </c>
      <c r="P19" s="88">
        <v>0.3</v>
      </c>
    </row>
    <row r="20" spans="1:16" s="19" customFormat="1" ht="18" customHeight="1" x14ac:dyDescent="0.25">
      <c r="A20" s="134" t="str">
        <f>B7</f>
        <v>Самоненко С. Г</v>
      </c>
      <c r="B20" s="135">
        <v>0</v>
      </c>
      <c r="C20" s="135">
        <v>1</v>
      </c>
      <c r="D20" s="143">
        <v>0</v>
      </c>
      <c r="E20" s="86"/>
      <c r="F20" s="87"/>
      <c r="G20" s="34"/>
      <c r="H20" s="34"/>
      <c r="I20" s="34"/>
      <c r="J20" s="34"/>
      <c r="K20" s="133"/>
      <c r="L20" s="133"/>
      <c r="M20" s="133"/>
      <c r="N20" s="133"/>
      <c r="O20" s="133"/>
      <c r="P20" s="86"/>
    </row>
    <row r="21" spans="1:16" s="19" customFormat="1" ht="16.5" customHeight="1" x14ac:dyDescent="0.25">
      <c r="A21" s="134" t="str">
        <f t="shared" ref="A21:A29" si="2">B8</f>
        <v>Авдошина В. В</v>
      </c>
      <c r="B21" s="135">
        <v>1</v>
      </c>
      <c r="C21" s="135">
        <v>1</v>
      </c>
      <c r="D21" s="143">
        <v>0</v>
      </c>
      <c r="E21" s="86"/>
      <c r="F21" s="87"/>
      <c r="G21" s="34"/>
      <c r="H21" s="34"/>
      <c r="I21" s="34"/>
      <c r="J21" s="34"/>
      <c r="K21" s="133"/>
      <c r="L21" s="133"/>
      <c r="M21" s="133"/>
      <c r="N21" s="133"/>
      <c r="O21" s="133"/>
      <c r="P21" s="86"/>
    </row>
    <row r="22" spans="1:16" s="19" customFormat="1" ht="20.25" customHeight="1" x14ac:dyDescent="0.25">
      <c r="A22" s="134" t="str">
        <f t="shared" si="2"/>
        <v>Бакирова А. П</v>
      </c>
      <c r="B22" s="135">
        <v>0</v>
      </c>
      <c r="C22" s="135">
        <v>0</v>
      </c>
      <c r="D22" s="143">
        <v>0</v>
      </c>
      <c r="E22" s="86"/>
      <c r="F22" s="87"/>
      <c r="G22" s="34"/>
      <c r="H22" s="34"/>
      <c r="I22" s="34"/>
      <c r="J22" s="34"/>
      <c r="K22" s="133"/>
      <c r="L22" s="133"/>
      <c r="M22" s="133"/>
      <c r="N22" s="133"/>
      <c r="O22" s="133"/>
      <c r="P22" s="86"/>
    </row>
    <row r="23" spans="1:16" s="19" customFormat="1" ht="18" customHeight="1" x14ac:dyDescent="0.25">
      <c r="A23" s="134" t="str">
        <f t="shared" si="2"/>
        <v>Шкап Е. В</v>
      </c>
      <c r="B23" s="135">
        <v>3</v>
      </c>
      <c r="C23" s="135">
        <v>0</v>
      </c>
      <c r="D23" s="143">
        <v>0</v>
      </c>
      <c r="E23" s="86"/>
      <c r="F23" s="87"/>
      <c r="G23" s="34"/>
      <c r="H23" s="34"/>
      <c r="I23" s="34"/>
      <c r="J23" s="34"/>
      <c r="K23" s="133"/>
      <c r="L23" s="133"/>
      <c r="M23" s="133"/>
      <c r="N23" s="133"/>
      <c r="O23" s="133"/>
      <c r="P23" s="86"/>
    </row>
    <row r="24" spans="1:16" s="19" customFormat="1" ht="15.75" customHeight="1" x14ac:dyDescent="0.25">
      <c r="A24" s="134" t="str">
        <f t="shared" si="2"/>
        <v>Неваляшка М. П</v>
      </c>
      <c r="B24" s="135">
        <v>0</v>
      </c>
      <c r="C24" s="135">
        <v>1</v>
      </c>
      <c r="D24" s="143">
        <v>0</v>
      </c>
      <c r="E24" s="86"/>
      <c r="F24" s="87"/>
      <c r="G24" s="34"/>
      <c r="H24" s="34"/>
      <c r="I24" s="34"/>
      <c r="J24" s="34"/>
      <c r="K24" s="133"/>
      <c r="L24" s="133"/>
      <c r="M24" s="133"/>
      <c r="N24" s="133"/>
      <c r="O24" s="133"/>
      <c r="P24" s="86"/>
    </row>
    <row r="25" spans="1:16" s="19" customFormat="1" ht="15" customHeight="1" x14ac:dyDescent="0.25">
      <c r="A25" s="134" t="str">
        <f t="shared" si="2"/>
        <v>Антонов С. Ю</v>
      </c>
      <c r="B25" s="135">
        <v>1</v>
      </c>
      <c r="C25" s="135">
        <v>0</v>
      </c>
      <c r="D25" s="143">
        <v>1</v>
      </c>
      <c r="E25" s="86"/>
      <c r="F25" s="87"/>
      <c r="G25" s="34"/>
      <c r="H25" s="34"/>
      <c r="I25" s="34"/>
      <c r="J25" s="34"/>
      <c r="K25" s="133"/>
      <c r="L25" s="133"/>
      <c r="M25" s="133"/>
      <c r="N25" s="133"/>
      <c r="O25" s="133"/>
      <c r="P25" s="86"/>
    </row>
    <row r="26" spans="1:16" s="19" customFormat="1" ht="17.25" customHeight="1" x14ac:dyDescent="0.25">
      <c r="A26" s="134" t="str">
        <f t="shared" si="2"/>
        <v>Евген П. Л</v>
      </c>
      <c r="B26" s="135">
        <v>2</v>
      </c>
      <c r="C26" s="135">
        <v>0</v>
      </c>
      <c r="D26" s="143">
        <v>2</v>
      </c>
      <c r="E26" s="86"/>
      <c r="F26" s="87"/>
      <c r="G26" s="34"/>
      <c r="H26" s="34"/>
      <c r="I26" s="34"/>
      <c r="J26" s="34"/>
      <c r="K26" s="133"/>
      <c r="L26" s="133"/>
      <c r="M26" s="133"/>
      <c r="N26" s="133"/>
      <c r="O26" s="133"/>
      <c r="P26" s="86"/>
    </row>
    <row r="27" spans="1:16" s="19" customFormat="1" ht="15.75" customHeight="1" x14ac:dyDescent="0.25">
      <c r="A27" s="134" t="str">
        <f t="shared" si="2"/>
        <v>Павлов П. П</v>
      </c>
      <c r="B27" s="135">
        <v>0</v>
      </c>
      <c r="C27" s="135">
        <v>0</v>
      </c>
      <c r="D27" s="143">
        <v>0</v>
      </c>
      <c r="E27" s="86"/>
      <c r="F27" s="87"/>
      <c r="G27" s="34"/>
      <c r="H27" s="34"/>
      <c r="I27" s="34"/>
      <c r="J27" s="34"/>
      <c r="K27" s="133"/>
      <c r="L27" s="133"/>
      <c r="M27" s="133"/>
      <c r="N27" s="133"/>
      <c r="O27" s="133"/>
      <c r="P27" s="86"/>
    </row>
    <row r="28" spans="1:16" s="19" customFormat="1" ht="15" customHeight="1" x14ac:dyDescent="0.25">
      <c r="A28" s="134" t="str">
        <f t="shared" si="2"/>
        <v>Иванова С. Д</v>
      </c>
      <c r="B28" s="135">
        <v>1</v>
      </c>
      <c r="C28" s="135">
        <v>0</v>
      </c>
      <c r="D28" s="143">
        <v>0</v>
      </c>
      <c r="E28" s="86"/>
      <c r="F28" s="87"/>
      <c r="G28" s="34"/>
      <c r="H28" s="34"/>
      <c r="I28" s="34"/>
      <c r="J28" s="34"/>
      <c r="K28" s="133"/>
      <c r="L28" s="133"/>
      <c r="M28" s="133"/>
      <c r="N28" s="133"/>
      <c r="O28" s="133"/>
      <c r="P28" s="86"/>
    </row>
    <row r="29" spans="1:16" s="19" customFormat="1" ht="15" customHeight="1" x14ac:dyDescent="0.25">
      <c r="A29" s="134" t="str">
        <f t="shared" si="2"/>
        <v>Петров В. К</v>
      </c>
      <c r="B29" s="135">
        <v>2</v>
      </c>
      <c r="C29" s="135">
        <v>0</v>
      </c>
      <c r="D29" s="143">
        <v>0</v>
      </c>
      <c r="F29" s="28"/>
      <c r="G29" s="34"/>
      <c r="H29" s="34"/>
      <c r="I29" s="34"/>
      <c r="J29" s="34"/>
      <c r="K29" s="18"/>
      <c r="L29" s="18"/>
      <c r="M29" s="18"/>
      <c r="N29" s="18"/>
      <c r="O29" s="18"/>
    </row>
    <row r="30" spans="1:16" s="19" customFormat="1" ht="14.25" customHeight="1" x14ac:dyDescent="0.25">
      <c r="A30" s="84"/>
      <c r="B30" s="26"/>
      <c r="C30" s="26"/>
      <c r="D30" s="26"/>
      <c r="E30" s="210" t="s">
        <v>32</v>
      </c>
      <c r="F30" s="210"/>
      <c r="G30" s="210"/>
      <c r="H30" s="210"/>
      <c r="I30" s="210"/>
      <c r="J30" s="210"/>
      <c r="K30" s="18"/>
      <c r="L30" s="18"/>
      <c r="M30" s="18"/>
      <c r="N30" s="18"/>
      <c r="O30" s="18"/>
    </row>
    <row r="31" spans="1:16" s="19" customFormat="1" ht="30" customHeight="1" x14ac:dyDescent="0.25">
      <c r="A31" s="202" t="s">
        <v>16</v>
      </c>
      <c r="B31" s="202"/>
      <c r="C31" s="202"/>
      <c r="D31" s="26"/>
      <c r="E31" s="194" t="s">
        <v>132</v>
      </c>
      <c r="F31" s="195"/>
      <c r="G31" s="36">
        <v>0.4</v>
      </c>
      <c r="H31" s="34"/>
      <c r="I31" s="34"/>
      <c r="J31" s="34"/>
      <c r="K31" s="18"/>
      <c r="L31" s="18"/>
      <c r="M31" s="18"/>
      <c r="N31" s="18"/>
      <c r="O31" s="18"/>
    </row>
    <row r="32" spans="1:16" ht="24.75" x14ac:dyDescent="0.25">
      <c r="A32" s="73" t="s">
        <v>24</v>
      </c>
      <c r="B32" s="74" t="s">
        <v>56</v>
      </c>
      <c r="C32" s="74" t="s">
        <v>57</v>
      </c>
      <c r="D32" s="26"/>
      <c r="E32" s="196" t="s">
        <v>33</v>
      </c>
      <c r="F32" s="197"/>
      <c r="G32" s="37">
        <f t="shared" ref="G32:P32" si="3">G15*Процент_аванса</f>
        <v>40000</v>
      </c>
      <c r="H32" s="37">
        <f t="shared" si="3"/>
        <v>30000</v>
      </c>
      <c r="I32" s="37">
        <f t="shared" si="3"/>
        <v>22000</v>
      </c>
      <c r="J32" s="37">
        <f t="shared" si="3"/>
        <v>20000</v>
      </c>
      <c r="K32" s="37">
        <f t="shared" si="3"/>
        <v>15600</v>
      </c>
      <c r="L32" s="37">
        <f t="shared" si="3"/>
        <v>8000</v>
      </c>
      <c r="M32" s="37">
        <f t="shared" si="3"/>
        <v>8400</v>
      </c>
      <c r="N32" s="37">
        <f t="shared" si="3"/>
        <v>7600</v>
      </c>
      <c r="O32" s="37">
        <f t="shared" si="3"/>
        <v>6000</v>
      </c>
      <c r="P32" s="37">
        <f t="shared" si="3"/>
        <v>4800</v>
      </c>
    </row>
    <row r="33" spans="1:16" ht="24.75" customHeight="1" x14ac:dyDescent="0.25">
      <c r="A33" s="71" t="s">
        <v>28</v>
      </c>
      <c r="B33" s="72" t="s">
        <v>135</v>
      </c>
      <c r="C33" s="72" t="s">
        <v>58</v>
      </c>
      <c r="D33" s="26"/>
      <c r="E33" s="198" t="s">
        <v>34</v>
      </c>
      <c r="F33" s="198"/>
      <c r="G33" s="198"/>
      <c r="H33" s="198"/>
      <c r="I33" s="198"/>
      <c r="J33" s="198"/>
      <c r="K33" s="15"/>
      <c r="L33" s="15"/>
      <c r="M33" s="15"/>
      <c r="N33" s="15"/>
      <c r="O33" s="15"/>
    </row>
    <row r="34" spans="1:16" x14ac:dyDescent="0.25">
      <c r="A34" s="71" t="s">
        <v>29</v>
      </c>
      <c r="B34" s="72" t="s">
        <v>134</v>
      </c>
      <c r="C34" s="72" t="s">
        <v>59</v>
      </c>
      <c r="D34" s="26"/>
      <c r="E34" s="196" t="s">
        <v>35</v>
      </c>
      <c r="F34" s="197"/>
      <c r="G34" s="38">
        <f t="shared" ref="G34:P34" si="4">IF(G$13&gt;1,(IF(G$13&gt;=1967,$D$55,$D$57)), )</f>
        <v>0.22</v>
      </c>
      <c r="H34" s="38">
        <f t="shared" si="4"/>
        <v>0.16</v>
      </c>
      <c r="I34" s="38">
        <f t="shared" si="4"/>
        <v>0.16</v>
      </c>
      <c r="J34" s="38">
        <f t="shared" si="4"/>
        <v>0.16</v>
      </c>
      <c r="K34" s="38">
        <f t="shared" si="4"/>
        <v>0.16</v>
      </c>
      <c r="L34" s="38">
        <f t="shared" si="4"/>
        <v>0.16</v>
      </c>
      <c r="M34" s="38">
        <f t="shared" si="4"/>
        <v>0.16</v>
      </c>
      <c r="N34" s="38">
        <f t="shared" si="4"/>
        <v>0.16</v>
      </c>
      <c r="O34" s="38">
        <f t="shared" si="4"/>
        <v>0.16</v>
      </c>
      <c r="P34" s="38">
        <f t="shared" si="4"/>
        <v>0.16</v>
      </c>
    </row>
    <row r="35" spans="1:16" x14ac:dyDescent="0.25">
      <c r="A35" s="35"/>
      <c r="B35" s="23"/>
      <c r="C35" s="23"/>
      <c r="D35" s="23"/>
      <c r="E35" s="196" t="s">
        <v>36</v>
      </c>
      <c r="F35" s="197"/>
      <c r="G35" s="38">
        <f t="shared" ref="G35:P35" si="5">IF(G$13&gt;1,(IF(G$13&gt;=1967,$D$56,0)), )</f>
        <v>0</v>
      </c>
      <c r="H35" s="38">
        <f t="shared" si="5"/>
        <v>0.06</v>
      </c>
      <c r="I35" s="38">
        <f t="shared" si="5"/>
        <v>0.06</v>
      </c>
      <c r="J35" s="38">
        <f t="shared" si="5"/>
        <v>0.06</v>
      </c>
      <c r="K35" s="38">
        <f t="shared" si="5"/>
        <v>0.06</v>
      </c>
      <c r="L35" s="38">
        <f t="shared" si="5"/>
        <v>0.06</v>
      </c>
      <c r="M35" s="38">
        <f t="shared" si="5"/>
        <v>0.06</v>
      </c>
      <c r="N35" s="38">
        <f t="shared" si="5"/>
        <v>0.06</v>
      </c>
      <c r="O35" s="38">
        <f t="shared" si="5"/>
        <v>0.06</v>
      </c>
      <c r="P35" s="38">
        <f t="shared" si="5"/>
        <v>0.06</v>
      </c>
    </row>
    <row r="36" spans="1:16" x14ac:dyDescent="0.25">
      <c r="A36" s="35"/>
      <c r="B36" s="39"/>
      <c r="C36" s="39"/>
      <c r="D36" s="39"/>
      <c r="E36" s="30"/>
      <c r="F36" s="30"/>
      <c r="G36" s="30"/>
      <c r="H36" s="15"/>
      <c r="I36" s="15"/>
      <c r="J36" s="15"/>
      <c r="K36" s="15"/>
      <c r="L36" s="15"/>
      <c r="M36" s="15"/>
      <c r="N36" s="15"/>
      <c r="O36" s="15"/>
    </row>
    <row r="37" spans="1:16" ht="30" customHeight="1" x14ac:dyDescent="0.25">
      <c r="A37" s="15"/>
      <c r="B37" s="209" t="s">
        <v>37</v>
      </c>
      <c r="C37" s="209"/>
      <c r="D37" s="209"/>
      <c r="E37" s="77" t="str">
        <f>H1</f>
        <v>январь, 2013 г.</v>
      </c>
      <c r="F37" s="40"/>
      <c r="G37" s="40"/>
      <c r="H37" s="40"/>
      <c r="I37" s="40"/>
      <c r="J37" s="40"/>
      <c r="K37" s="40"/>
      <c r="L37" s="40"/>
      <c r="M37" s="40"/>
      <c r="N37" s="40"/>
      <c r="O37" s="40"/>
    </row>
    <row r="38" spans="1:16" ht="21" customHeight="1" x14ac:dyDescent="0.25">
      <c r="A38" s="15"/>
      <c r="B38" s="41"/>
      <c r="C38" s="41"/>
      <c r="D38" s="41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</row>
    <row r="39" spans="1:16" x14ac:dyDescent="0.25">
      <c r="A39" s="15"/>
      <c r="B39" s="43" t="s">
        <v>38</v>
      </c>
      <c r="C39" s="43"/>
      <c r="D39" s="44" t="s">
        <v>39</v>
      </c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</row>
    <row r="40" spans="1:16" ht="30" x14ac:dyDescent="0.25">
      <c r="A40" s="15"/>
      <c r="B40" s="45" t="s">
        <v>40</v>
      </c>
      <c r="C40" s="45"/>
      <c r="D40" s="46">
        <v>17</v>
      </c>
      <c r="E40" s="75"/>
      <c r="F40" s="75"/>
      <c r="G40" s="75"/>
      <c r="H40" s="76"/>
      <c r="I40" s="76"/>
      <c r="J40" s="76"/>
      <c r="K40" s="76"/>
      <c r="L40" s="76"/>
      <c r="M40" s="76"/>
      <c r="N40" s="76"/>
      <c r="O40" s="76"/>
    </row>
    <row r="41" spans="1:16" x14ac:dyDescent="0.25">
      <c r="A41" s="15"/>
      <c r="B41" s="30"/>
      <c r="C41" s="30"/>
      <c r="D41" s="30"/>
      <c r="E41" s="30"/>
      <c r="F41" s="30"/>
      <c r="G41" s="30"/>
      <c r="H41" s="15"/>
      <c r="I41" s="15"/>
      <c r="J41" s="15"/>
      <c r="K41" s="15"/>
      <c r="L41" s="15"/>
      <c r="M41" s="15"/>
      <c r="N41" s="15"/>
      <c r="O41" s="15"/>
    </row>
    <row r="42" spans="1:16" ht="52.5" customHeight="1" x14ac:dyDescent="0.25">
      <c r="A42" s="15"/>
      <c r="B42" s="199" t="s">
        <v>41</v>
      </c>
      <c r="C42" s="199"/>
      <c r="D42" s="199"/>
      <c r="E42" s="47"/>
      <c r="F42" s="200" t="s">
        <v>42</v>
      </c>
      <c r="G42" s="200"/>
      <c r="H42" s="200"/>
      <c r="I42" s="200"/>
      <c r="K42" s="15"/>
      <c r="L42" s="15"/>
      <c r="M42" s="15"/>
      <c r="N42" s="15"/>
      <c r="O42" s="15"/>
    </row>
    <row r="43" spans="1:16" ht="30" x14ac:dyDescent="0.25">
      <c r="A43" s="15"/>
      <c r="B43" s="43" t="s">
        <v>43</v>
      </c>
      <c r="C43" s="43"/>
      <c r="D43" s="32">
        <v>1400</v>
      </c>
      <c r="G43" s="48" t="s">
        <v>44</v>
      </c>
      <c r="H43" s="32">
        <v>280000</v>
      </c>
      <c r="I43" s="49"/>
      <c r="J43" s="49"/>
      <c r="K43" s="15"/>
      <c r="L43" s="15"/>
      <c r="M43" s="15"/>
      <c r="N43" s="15"/>
      <c r="O43" s="15"/>
    </row>
    <row r="44" spans="1:16" ht="42.75" customHeight="1" x14ac:dyDescent="0.25">
      <c r="A44" s="15"/>
      <c r="B44" s="43" t="s">
        <v>45</v>
      </c>
      <c r="C44" s="43"/>
      <c r="D44" s="32">
        <v>3000</v>
      </c>
      <c r="G44" s="30"/>
      <c r="H44" s="15"/>
      <c r="I44" s="49"/>
      <c r="J44" s="49"/>
      <c r="K44" s="15"/>
      <c r="L44" s="15"/>
      <c r="M44" s="15"/>
      <c r="N44" s="15"/>
      <c r="O44" s="15"/>
    </row>
    <row r="45" spans="1:16" ht="36.75" x14ac:dyDescent="0.25">
      <c r="A45" s="15"/>
      <c r="B45" s="50"/>
      <c r="C45" s="50"/>
      <c r="D45" s="50"/>
      <c r="E45" s="30"/>
      <c r="F45" s="30"/>
      <c r="I45" s="80" t="s">
        <v>24</v>
      </c>
      <c r="J45" s="81" t="s">
        <v>61</v>
      </c>
      <c r="K45" s="81" t="s">
        <v>63</v>
      </c>
      <c r="L45" s="81" t="s">
        <v>64</v>
      </c>
      <c r="M45" s="82" t="s">
        <v>67</v>
      </c>
      <c r="N45" s="15"/>
      <c r="O45" s="15"/>
    </row>
    <row r="46" spans="1:16" x14ac:dyDescent="0.25">
      <c r="A46" s="15"/>
      <c r="B46" s="50"/>
      <c r="C46" s="50"/>
      <c r="D46" s="50"/>
      <c r="E46" s="30"/>
      <c r="F46" s="30"/>
      <c r="G46" s="30"/>
      <c r="H46" s="15"/>
      <c r="I46" s="82" t="str">
        <f t="shared" ref="I46:I55" si="6">B7</f>
        <v>Самоненко С. Г</v>
      </c>
      <c r="J46" s="83">
        <v>7</v>
      </c>
      <c r="K46" s="82"/>
      <c r="L46" s="82"/>
      <c r="M46" s="82"/>
      <c r="N46" s="15"/>
      <c r="O46" s="15"/>
    </row>
    <row r="47" spans="1:16" ht="15" customHeight="1" x14ac:dyDescent="0.25">
      <c r="A47" s="15"/>
      <c r="B47" s="201" t="s">
        <v>46</v>
      </c>
      <c r="C47" s="201"/>
      <c r="D47" s="201"/>
      <c r="E47" s="51"/>
      <c r="F47" s="51"/>
      <c r="G47" s="30"/>
      <c r="H47" s="15"/>
      <c r="I47" s="82" t="str">
        <f t="shared" si="6"/>
        <v>Авдошина В. В</v>
      </c>
      <c r="J47" s="82"/>
      <c r="K47" s="82"/>
      <c r="L47" s="82"/>
      <c r="M47" s="82">
        <v>8</v>
      </c>
      <c r="N47" s="15"/>
      <c r="O47" s="15"/>
    </row>
    <row r="48" spans="1:16" x14ac:dyDescent="0.25">
      <c r="A48" s="15"/>
      <c r="B48" s="52"/>
      <c r="C48" s="52"/>
      <c r="D48" s="52"/>
      <c r="E48" s="51"/>
      <c r="F48" s="51"/>
      <c r="G48" s="30"/>
      <c r="H48" s="15"/>
      <c r="I48" s="82" t="str">
        <f t="shared" si="6"/>
        <v>Бакирова А. П</v>
      </c>
      <c r="J48" s="82"/>
      <c r="K48" s="82">
        <v>3</v>
      </c>
      <c r="L48" s="82">
        <v>2</v>
      </c>
      <c r="M48" s="82"/>
      <c r="N48" s="15"/>
      <c r="O48" s="15"/>
    </row>
    <row r="49" spans="1:16" ht="60" x14ac:dyDescent="0.25">
      <c r="A49" s="15"/>
      <c r="B49" s="53" t="s">
        <v>47</v>
      </c>
      <c r="C49" s="53"/>
      <c r="D49" s="54">
        <v>568000</v>
      </c>
      <c r="E49" s="30"/>
      <c r="F49" s="30"/>
      <c r="G49" s="30"/>
      <c r="H49" s="15"/>
      <c r="I49" s="82" t="str">
        <f t="shared" si="6"/>
        <v>Шкап Е. В</v>
      </c>
      <c r="J49" s="82">
        <v>5</v>
      </c>
      <c r="K49" s="82"/>
      <c r="L49" s="82"/>
      <c r="M49" s="82"/>
      <c r="N49" s="15"/>
      <c r="O49" s="15"/>
    </row>
    <row r="50" spans="1:16" x14ac:dyDescent="0.25">
      <c r="A50" s="15"/>
      <c r="B50" s="55"/>
      <c r="C50" s="55"/>
      <c r="D50" s="56"/>
      <c r="E50" s="56"/>
      <c r="F50" s="56"/>
      <c r="G50" s="30"/>
      <c r="H50" s="15"/>
      <c r="I50" s="82" t="str">
        <f t="shared" si="6"/>
        <v>Неваляшка М. П</v>
      </c>
      <c r="J50" s="82"/>
      <c r="K50" s="82"/>
      <c r="L50" s="82"/>
      <c r="M50" s="82"/>
      <c r="N50" s="15"/>
      <c r="O50" s="15"/>
    </row>
    <row r="51" spans="1:16" x14ac:dyDescent="0.25">
      <c r="A51" s="15"/>
      <c r="B51" s="57" t="s">
        <v>9</v>
      </c>
      <c r="C51" s="57"/>
      <c r="D51" s="58">
        <v>0.13</v>
      </c>
      <c r="E51" s="30"/>
      <c r="F51" s="30"/>
      <c r="G51" s="30"/>
      <c r="H51" s="15"/>
      <c r="I51" s="82" t="str">
        <f t="shared" si="6"/>
        <v>Антонов С. Ю</v>
      </c>
      <c r="J51" s="82"/>
      <c r="K51" s="82">
        <v>3</v>
      </c>
      <c r="L51" s="82">
        <v>0</v>
      </c>
      <c r="M51" s="82"/>
      <c r="N51" s="15"/>
      <c r="O51" s="15"/>
    </row>
    <row r="52" spans="1:16" x14ac:dyDescent="0.25">
      <c r="A52" s="15"/>
      <c r="B52" s="59" t="s">
        <v>10</v>
      </c>
      <c r="C52" s="59"/>
      <c r="D52" s="58">
        <v>2E-3</v>
      </c>
      <c r="E52" s="30"/>
      <c r="F52" s="30"/>
      <c r="G52" s="30"/>
      <c r="H52" s="15"/>
      <c r="I52" s="82" t="str">
        <f t="shared" si="6"/>
        <v>Евген П. Л</v>
      </c>
      <c r="J52" s="82"/>
      <c r="K52" s="82"/>
      <c r="L52" s="82"/>
      <c r="M52" s="82">
        <v>10</v>
      </c>
      <c r="N52" s="15"/>
      <c r="O52" s="15"/>
    </row>
    <row r="53" spans="1:16" x14ac:dyDescent="0.25">
      <c r="A53" s="15"/>
      <c r="B53" s="59" t="s">
        <v>11</v>
      </c>
      <c r="C53" s="59"/>
      <c r="D53" s="58">
        <v>2.9000000000000001E-2</v>
      </c>
      <c r="E53" s="30"/>
      <c r="F53" s="30"/>
      <c r="G53" s="30"/>
      <c r="H53" s="15"/>
      <c r="I53" s="82" t="str">
        <f t="shared" si="6"/>
        <v>Павлов П. П</v>
      </c>
      <c r="J53" s="82"/>
      <c r="K53" s="82"/>
      <c r="L53" s="82"/>
      <c r="M53" s="82"/>
      <c r="N53" s="15"/>
      <c r="O53" s="15"/>
    </row>
    <row r="54" spans="1:16" x14ac:dyDescent="0.25">
      <c r="A54" s="15"/>
      <c r="B54" s="59" t="s">
        <v>12</v>
      </c>
      <c r="C54" s="59"/>
      <c r="D54" s="58">
        <v>5.0999999999999997E-2</v>
      </c>
      <c r="E54" s="30"/>
      <c r="F54" s="30"/>
      <c r="G54" s="30"/>
      <c r="H54" s="15"/>
      <c r="I54" s="82" t="str">
        <f t="shared" si="6"/>
        <v>Иванова С. Д</v>
      </c>
      <c r="J54" s="82"/>
      <c r="K54" s="82">
        <v>3</v>
      </c>
      <c r="L54" s="82">
        <v>7</v>
      </c>
      <c r="M54" s="82"/>
      <c r="N54" s="15"/>
      <c r="O54" s="15"/>
    </row>
    <row r="55" spans="1:16" ht="26.25" x14ac:dyDescent="0.25">
      <c r="A55" s="15"/>
      <c r="B55" s="59" t="s">
        <v>48</v>
      </c>
      <c r="C55" s="59"/>
      <c r="D55" s="58">
        <v>0.16</v>
      </c>
      <c r="E55" s="30"/>
      <c r="F55" s="30"/>
      <c r="G55" s="30"/>
      <c r="H55" s="15"/>
      <c r="I55" s="82" t="str">
        <f t="shared" si="6"/>
        <v>Петров В. К</v>
      </c>
      <c r="J55" s="82"/>
      <c r="K55" s="82"/>
      <c r="L55" s="82"/>
      <c r="M55" s="82"/>
      <c r="N55" s="15"/>
      <c r="O55" s="15"/>
    </row>
    <row r="56" spans="1:16" ht="26.25" customHeight="1" x14ac:dyDescent="0.25">
      <c r="A56" s="15"/>
      <c r="B56" s="59" t="s">
        <v>49</v>
      </c>
      <c r="C56" s="59"/>
      <c r="D56" s="58">
        <v>0.06</v>
      </c>
      <c r="E56" s="30"/>
      <c r="F56" s="30"/>
      <c r="G56" s="30"/>
      <c r="H56" s="15"/>
      <c r="I56" s="203" t="s">
        <v>62</v>
      </c>
      <c r="J56" s="203"/>
      <c r="K56" s="203"/>
      <c r="L56" s="15"/>
      <c r="M56" s="15"/>
      <c r="N56" s="15"/>
      <c r="O56" s="15"/>
    </row>
    <row r="57" spans="1:16" ht="26.25" x14ac:dyDescent="0.25">
      <c r="A57" s="15"/>
      <c r="B57" s="59" t="s">
        <v>50</v>
      </c>
      <c r="C57" s="59"/>
      <c r="D57" s="58">
        <v>0.22</v>
      </c>
      <c r="E57" s="30"/>
      <c r="F57" s="30"/>
      <c r="G57" s="30"/>
      <c r="H57" s="15"/>
      <c r="I57" s="204"/>
      <c r="J57" s="204"/>
      <c r="K57" s="204"/>
      <c r="L57" s="15"/>
      <c r="M57" s="15"/>
      <c r="N57" s="15"/>
      <c r="O57" s="15"/>
    </row>
    <row r="58" spans="1:16" ht="26.25" x14ac:dyDescent="0.25">
      <c r="A58" s="15"/>
      <c r="B58" s="59" t="s">
        <v>51</v>
      </c>
      <c r="C58" s="59"/>
      <c r="D58" s="58">
        <v>0.1</v>
      </c>
      <c r="E58" s="60"/>
      <c r="F58" s="30"/>
      <c r="G58" s="30"/>
      <c r="H58" s="15"/>
      <c r="I58" s="204"/>
      <c r="J58" s="204"/>
      <c r="K58" s="204"/>
      <c r="L58" s="15"/>
      <c r="M58" s="15"/>
      <c r="N58" s="15"/>
      <c r="O58" s="15"/>
    </row>
    <row r="59" spans="1:16" x14ac:dyDescent="0.25">
      <c r="A59" s="15"/>
      <c r="B59" s="15"/>
      <c r="C59" s="15"/>
      <c r="D59" s="15"/>
      <c r="E59" s="15"/>
      <c r="F59" s="15"/>
      <c r="G59" s="15"/>
      <c r="H59" s="15"/>
      <c r="I59" s="204"/>
      <c r="J59" s="204"/>
      <c r="K59" s="204"/>
      <c r="L59" s="15"/>
      <c r="M59" s="15"/>
      <c r="N59" s="15"/>
      <c r="O59" s="15"/>
    </row>
    <row r="60" spans="1:16" ht="18.75" customHeight="1" x14ac:dyDescent="0.3">
      <c r="B60" s="189" t="s">
        <v>52</v>
      </c>
      <c r="C60" s="189"/>
      <c r="D60" s="189"/>
      <c r="E60" s="189"/>
      <c r="F60" s="61"/>
      <c r="G60" s="61"/>
      <c r="H60" s="62"/>
      <c r="I60" s="62"/>
      <c r="J60" s="62"/>
      <c r="K60" s="62"/>
      <c r="L60" s="62"/>
      <c r="M60" s="62"/>
      <c r="N60" s="62"/>
      <c r="O60" s="62"/>
    </row>
    <row r="61" spans="1:16" ht="15" customHeight="1" x14ac:dyDescent="0.25">
      <c r="B61" s="190" t="s">
        <v>52</v>
      </c>
      <c r="C61" s="63"/>
      <c r="D61" s="64">
        <f t="shared" ref="D61:M62" si="7">G5</f>
        <v>200</v>
      </c>
      <c r="E61" s="64">
        <f t="shared" si="7"/>
        <v>201</v>
      </c>
      <c r="F61" s="64">
        <f t="shared" si="7"/>
        <v>202</v>
      </c>
      <c r="G61" s="64">
        <f t="shared" si="7"/>
        <v>203</v>
      </c>
      <c r="H61" s="64">
        <f t="shared" si="7"/>
        <v>204</v>
      </c>
      <c r="I61" s="64">
        <f t="shared" si="7"/>
        <v>205</v>
      </c>
      <c r="J61" s="64">
        <f t="shared" si="7"/>
        <v>206</v>
      </c>
      <c r="K61" s="64">
        <f t="shared" si="7"/>
        <v>207</v>
      </c>
      <c r="L61" s="64">
        <f t="shared" si="7"/>
        <v>208</v>
      </c>
      <c r="M61" s="64">
        <f t="shared" si="7"/>
        <v>209</v>
      </c>
      <c r="N61" s="192" t="s">
        <v>53</v>
      </c>
      <c r="O61" s="62"/>
    </row>
    <row r="62" spans="1:16" ht="27.75" customHeight="1" x14ac:dyDescent="0.25">
      <c r="B62" s="191"/>
      <c r="C62" s="63"/>
      <c r="D62" s="64" t="str">
        <f t="shared" si="7"/>
        <v>Самоненко С. Г</v>
      </c>
      <c r="E62" s="64" t="str">
        <f t="shared" si="7"/>
        <v>Авдошина В. В</v>
      </c>
      <c r="F62" s="64" t="str">
        <f t="shared" si="7"/>
        <v>Бакирова А. П</v>
      </c>
      <c r="G62" s="64" t="str">
        <f t="shared" si="7"/>
        <v>Шкап Е. В</v>
      </c>
      <c r="H62" s="64" t="str">
        <f t="shared" si="7"/>
        <v>Неваляшка М. П</v>
      </c>
      <c r="I62" s="64" t="str">
        <f t="shared" si="7"/>
        <v>Антонов С. Ю</v>
      </c>
      <c r="J62" s="64" t="str">
        <f t="shared" si="7"/>
        <v>Евген П. Л</v>
      </c>
      <c r="K62" s="64" t="str">
        <f t="shared" si="7"/>
        <v>Павлов П. П</v>
      </c>
      <c r="L62" s="64" t="str">
        <f t="shared" si="7"/>
        <v>Иванова С. Д</v>
      </c>
      <c r="M62" s="64" t="str">
        <f t="shared" si="7"/>
        <v>Петров В. К</v>
      </c>
      <c r="N62" s="193"/>
      <c r="O62" s="65"/>
      <c r="P62" s="66"/>
    </row>
    <row r="63" spans="1:16" x14ac:dyDescent="0.25">
      <c r="B63" s="78" t="s">
        <v>54</v>
      </c>
      <c r="C63" s="78"/>
      <c r="D63" s="46">
        <v>10</v>
      </c>
      <c r="E63" s="46">
        <v>17</v>
      </c>
      <c r="F63" s="46">
        <v>12</v>
      </c>
      <c r="G63" s="46">
        <v>12</v>
      </c>
      <c r="H63" s="46">
        <v>17</v>
      </c>
      <c r="I63" s="67">
        <v>14</v>
      </c>
      <c r="J63" s="67">
        <v>17</v>
      </c>
      <c r="K63" s="67">
        <v>17</v>
      </c>
      <c r="L63" s="67">
        <v>7</v>
      </c>
      <c r="M63" s="67">
        <v>17</v>
      </c>
      <c r="N63" s="68">
        <f>SUM(D63:M63)</f>
        <v>140</v>
      </c>
      <c r="O63" s="69"/>
      <c r="P63" s="69"/>
    </row>
    <row r="64" spans="1:16" x14ac:dyDescent="0.25">
      <c r="B64" s="79" t="s">
        <v>60</v>
      </c>
      <c r="C64" s="79"/>
      <c r="D64" s="68">
        <f t="shared" ref="D64:M64" si="8">SUM(D63:D63)</f>
        <v>10</v>
      </c>
      <c r="E64" s="68">
        <f t="shared" si="8"/>
        <v>17</v>
      </c>
      <c r="F64" s="68">
        <f t="shared" si="8"/>
        <v>12</v>
      </c>
      <c r="G64" s="68">
        <f t="shared" si="8"/>
        <v>12</v>
      </c>
      <c r="H64" s="68">
        <f t="shared" si="8"/>
        <v>17</v>
      </c>
      <c r="I64" s="68">
        <f t="shared" si="8"/>
        <v>14</v>
      </c>
      <c r="J64" s="68">
        <f t="shared" si="8"/>
        <v>17</v>
      </c>
      <c r="K64" s="68">
        <f t="shared" si="8"/>
        <v>17</v>
      </c>
      <c r="L64" s="68">
        <f t="shared" si="8"/>
        <v>7</v>
      </c>
      <c r="M64" s="68">
        <f t="shared" si="8"/>
        <v>17</v>
      </c>
      <c r="N64" s="68">
        <f>SUM(D64:M64)</f>
        <v>140</v>
      </c>
      <c r="O64" s="69"/>
      <c r="P64" s="69"/>
    </row>
    <row r="65" spans="3:15" x14ac:dyDescent="0.25">
      <c r="N65" s="69"/>
      <c r="O65" s="69"/>
    </row>
    <row r="66" spans="3:15" x14ac:dyDescent="0.25">
      <c r="N66" s="69"/>
      <c r="O66" s="69"/>
    </row>
    <row r="67" spans="3:15" x14ac:dyDescent="0.25">
      <c r="N67" s="69"/>
      <c r="O67" s="69"/>
    </row>
    <row r="68" spans="3:15" x14ac:dyDescent="0.25">
      <c r="N68" s="69"/>
      <c r="O68" s="69"/>
    </row>
    <row r="70" spans="3:15" x14ac:dyDescent="0.25">
      <c r="C70" s="96"/>
      <c r="F70" s="114" t="s">
        <v>24</v>
      </c>
      <c r="G70" s="114" t="s">
        <v>82</v>
      </c>
      <c r="H70" s="114" t="s">
        <v>83</v>
      </c>
      <c r="I70" s="114" t="s">
        <v>84</v>
      </c>
    </row>
    <row r="71" spans="3:15" x14ac:dyDescent="0.25">
      <c r="F71" s="108" t="s">
        <v>72</v>
      </c>
      <c r="G71" s="108">
        <v>1800000</v>
      </c>
      <c r="H71" s="108">
        <v>249</v>
      </c>
      <c r="I71" s="108">
        <v>975000</v>
      </c>
    </row>
    <row r="72" spans="3:15" x14ac:dyDescent="0.25">
      <c r="F72" s="108" t="s">
        <v>73</v>
      </c>
      <c r="G72" s="108">
        <v>1350000</v>
      </c>
      <c r="H72" s="108">
        <v>249</v>
      </c>
      <c r="I72" s="108">
        <v>975000</v>
      </c>
    </row>
    <row r="73" spans="3:15" x14ac:dyDescent="0.25">
      <c r="F73" s="108" t="s">
        <v>74</v>
      </c>
      <c r="G73" s="108">
        <v>990000</v>
      </c>
      <c r="H73" s="108">
        <v>249</v>
      </c>
      <c r="I73" s="108">
        <v>975000</v>
      </c>
    </row>
    <row r="74" spans="3:15" x14ac:dyDescent="0.25">
      <c r="F74" s="108" t="s">
        <v>75</v>
      </c>
      <c r="G74" s="108">
        <v>900000</v>
      </c>
      <c r="H74" s="108">
        <v>249</v>
      </c>
      <c r="I74" s="108">
        <v>975000</v>
      </c>
    </row>
    <row r="75" spans="3:15" x14ac:dyDescent="0.25">
      <c r="F75" s="108" t="s">
        <v>76</v>
      </c>
      <c r="G75" s="108">
        <v>702000</v>
      </c>
      <c r="H75" s="108">
        <v>249</v>
      </c>
      <c r="I75" s="108">
        <v>975000</v>
      </c>
    </row>
    <row r="76" spans="3:15" x14ac:dyDescent="0.25">
      <c r="F76" s="108" t="s">
        <v>77</v>
      </c>
      <c r="G76" s="108">
        <v>360000</v>
      </c>
      <c r="H76" s="108">
        <v>249</v>
      </c>
      <c r="I76" s="108">
        <v>720000</v>
      </c>
    </row>
    <row r="77" spans="3:15" x14ac:dyDescent="0.25">
      <c r="F77" s="108" t="s">
        <v>78</v>
      </c>
      <c r="G77" s="108">
        <v>378000</v>
      </c>
      <c r="H77" s="108">
        <v>249</v>
      </c>
      <c r="I77" s="108">
        <v>756000</v>
      </c>
    </row>
    <row r="78" spans="3:15" x14ac:dyDescent="0.25">
      <c r="F78" s="108" t="s">
        <v>79</v>
      </c>
      <c r="G78" s="108">
        <v>342000</v>
      </c>
      <c r="H78" s="108">
        <v>249</v>
      </c>
      <c r="I78" s="108">
        <v>684000</v>
      </c>
    </row>
    <row r="79" spans="3:15" x14ac:dyDescent="0.25">
      <c r="F79" s="108" t="s">
        <v>80</v>
      </c>
      <c r="G79" s="108">
        <v>270000</v>
      </c>
      <c r="H79" s="108">
        <v>249</v>
      </c>
      <c r="I79" s="108">
        <v>540000</v>
      </c>
    </row>
    <row r="80" spans="3:15" x14ac:dyDescent="0.25">
      <c r="F80" s="108" t="s">
        <v>81</v>
      </c>
      <c r="G80" s="108">
        <v>216000</v>
      </c>
      <c r="H80" s="108">
        <v>249</v>
      </c>
      <c r="I80" s="108">
        <v>432000</v>
      </c>
    </row>
  </sheetData>
  <mergeCells count="29">
    <mergeCell ref="A1:B1"/>
    <mergeCell ref="D1:E1"/>
    <mergeCell ref="E5:F5"/>
    <mergeCell ref="E6:F6"/>
    <mergeCell ref="B37:D37"/>
    <mergeCell ref="E15:F15"/>
    <mergeCell ref="E30:J30"/>
    <mergeCell ref="E8:F8"/>
    <mergeCell ref="E10:J10"/>
    <mergeCell ref="E11:F11"/>
    <mergeCell ref="E13:F13"/>
    <mergeCell ref="A5:D5"/>
    <mergeCell ref="D2:E2"/>
    <mergeCell ref="E7:F7"/>
    <mergeCell ref="H1:I1"/>
    <mergeCell ref="A18:D18"/>
    <mergeCell ref="B60:E60"/>
    <mergeCell ref="B61:B62"/>
    <mergeCell ref="N61:N62"/>
    <mergeCell ref="E31:F31"/>
    <mergeCell ref="E32:F32"/>
    <mergeCell ref="E33:J33"/>
    <mergeCell ref="E34:F34"/>
    <mergeCell ref="E35:F35"/>
    <mergeCell ref="B42:D42"/>
    <mergeCell ref="F42:I42"/>
    <mergeCell ref="B47:D47"/>
    <mergeCell ref="A31:C31"/>
    <mergeCell ref="I56:K59"/>
  </mergeCells>
  <phoneticPr fontId="14" type="noConversion"/>
  <dataValidations count="5">
    <dataValidation type="custom" allowBlank="1" showInputMessage="1" showErrorMessage="1" sqref="G6:P6">
      <formula1>INDIRECT($B7)</formula1>
    </dataValidation>
    <dataValidation type="list" errorStyle="warning" allowBlank="1" showInputMessage="1" showErrorMessage="1" error="Введенный табельный номер не соответствует Списку сотрудников организации" prompt="Введите табельный номер из всплывающего списка, согласно Списка сотрудников организации" sqref="G5:P5">
      <formula1>Таб_номер</formula1>
    </dataValidation>
    <dataValidation allowBlank="1" showInputMessage="1" showErrorMessage="1" prompt="Поле для ввода Наименования организации" sqref="D1:E1"/>
    <dataValidation allowBlank="1" showInputMessage="1" showErrorMessage="1" prompt="Поле для ввода отчетного периода (год)" sqref="H1"/>
    <dataValidation type="list" allowBlank="1" showInputMessage="1" showErrorMessage="1" error="Не может быть более 2-х" sqref="G7:P7">
      <formula1>"1,2"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"/>
  <sheetViews>
    <sheetView tabSelected="1" topLeftCell="D1" workbookViewId="0">
      <selection activeCell="K22" sqref="K22"/>
    </sheetView>
  </sheetViews>
  <sheetFormatPr defaultRowHeight="15" x14ac:dyDescent="0.25"/>
  <cols>
    <col min="1" max="1" width="9.28515625" customWidth="1"/>
    <col min="2" max="4" width="10.42578125" customWidth="1"/>
    <col min="7" max="7" width="10" bestFit="1" customWidth="1"/>
    <col min="8" max="9" width="10" customWidth="1"/>
    <col min="11" max="11" width="12.85546875" customWidth="1"/>
  </cols>
  <sheetData>
    <row r="2" spans="1:11" x14ac:dyDescent="0.25">
      <c r="A2" s="217" t="s">
        <v>163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</row>
    <row r="4" spans="1:11" ht="30" x14ac:dyDescent="0.25">
      <c r="A4" s="186"/>
      <c r="B4" s="184" t="s">
        <v>161</v>
      </c>
      <c r="C4" s="187" t="s">
        <v>168</v>
      </c>
      <c r="D4" s="187" t="s">
        <v>169</v>
      </c>
      <c r="E4" s="183" t="s">
        <v>170</v>
      </c>
      <c r="F4" s="183">
        <v>68</v>
      </c>
      <c r="G4" s="183" t="s">
        <v>165</v>
      </c>
      <c r="H4" s="183" t="s">
        <v>166</v>
      </c>
      <c r="I4" s="183" t="s">
        <v>167</v>
      </c>
      <c r="J4" s="183">
        <v>76</v>
      </c>
      <c r="K4" s="172" t="s">
        <v>164</v>
      </c>
    </row>
    <row r="5" spans="1:11" ht="30" x14ac:dyDescent="0.25">
      <c r="A5" s="184" t="s">
        <v>162</v>
      </c>
      <c r="B5" s="185"/>
      <c r="C5" s="185"/>
      <c r="D5" s="185"/>
      <c r="E5" s="186"/>
      <c r="F5" s="186"/>
      <c r="G5" s="186"/>
      <c r="H5" s="186"/>
      <c r="I5" s="186"/>
      <c r="J5" s="186"/>
      <c r="K5" s="186"/>
    </row>
    <row r="6" spans="1:11" ht="24.75" customHeight="1" x14ac:dyDescent="0.25">
      <c r="A6" s="183">
        <v>20</v>
      </c>
      <c r="B6" s="182"/>
      <c r="C6" s="182"/>
      <c r="D6" s="182"/>
      <c r="E6" s="114"/>
      <c r="F6" s="114"/>
      <c r="G6" s="182">
        <f>РПВ!L22</f>
        <v>127419.12</v>
      </c>
      <c r="H6" s="182">
        <f>РПВ!I22</f>
        <v>4734.24</v>
      </c>
      <c r="I6" s="182">
        <f>РПВ!J22</f>
        <v>10714.29</v>
      </c>
      <c r="J6" s="114"/>
      <c r="K6" s="182">
        <f>SUM(B6:J6)</f>
        <v>142867.65</v>
      </c>
    </row>
    <row r="7" spans="1:11" ht="20.25" customHeight="1" x14ac:dyDescent="0.25">
      <c r="A7" s="183">
        <v>25</v>
      </c>
      <c r="B7" s="182"/>
      <c r="C7" s="182"/>
      <c r="D7" s="182"/>
      <c r="E7" s="114"/>
      <c r="F7" s="114"/>
      <c r="G7" s="114">
        <f>РПВ!L15</f>
        <v>129513.47</v>
      </c>
      <c r="H7" s="182">
        <f>РПВ!I15</f>
        <v>0</v>
      </c>
      <c r="I7" s="182">
        <f>РПВ!J15</f>
        <v>0</v>
      </c>
      <c r="J7" s="114"/>
      <c r="K7" s="182">
        <f t="shared" ref="K7:K9" si="0">SUM(B7:J7)</f>
        <v>129513.47</v>
      </c>
    </row>
    <row r="8" spans="1:11" ht="21.75" customHeight="1" x14ac:dyDescent="0.25">
      <c r="A8" s="183">
        <v>26</v>
      </c>
      <c r="B8" s="182"/>
      <c r="C8" s="182"/>
      <c r="D8" s="182"/>
      <c r="E8" s="114"/>
      <c r="F8" s="114"/>
      <c r="G8" s="182">
        <f>РПВ!L11</f>
        <v>343390.73</v>
      </c>
      <c r="H8" s="182">
        <f>РПВ!J11</f>
        <v>30612.240000000002</v>
      </c>
      <c r="I8" s="182">
        <f>РПВ!J11</f>
        <v>30612.240000000002</v>
      </c>
      <c r="J8" s="114"/>
      <c r="K8" s="182">
        <f t="shared" si="0"/>
        <v>404615.20999999996</v>
      </c>
    </row>
    <row r="9" spans="1:11" ht="20.25" customHeight="1" x14ac:dyDescent="0.25">
      <c r="A9" s="183">
        <v>70</v>
      </c>
      <c r="B9" s="182"/>
      <c r="C9" s="182">
        <f>РПВ!L23</f>
        <v>600323.31999999995</v>
      </c>
      <c r="D9" s="182">
        <f>РПВ!I23</f>
        <v>7939.7199999999993</v>
      </c>
      <c r="E9" s="182">
        <f>РПВ!J23</f>
        <v>41326.53</v>
      </c>
      <c r="F9" s="182">
        <f>РПВ!M23</f>
        <v>75468</v>
      </c>
      <c r="G9" s="114"/>
      <c r="H9" s="114"/>
      <c r="I9" s="114"/>
      <c r="J9" s="182">
        <f>РПВ!N23</f>
        <v>18426.127500000002</v>
      </c>
      <c r="K9" s="182">
        <f t="shared" si="0"/>
        <v>743483.69750000001</v>
      </c>
    </row>
    <row r="10" spans="1:11" x14ac:dyDescent="0.25">
      <c r="A10" s="173" t="s">
        <v>164</v>
      </c>
      <c r="B10" s="108"/>
      <c r="C10" s="181">
        <f>SUM(C6:C9)</f>
        <v>600323.31999999995</v>
      </c>
      <c r="D10" s="181">
        <f t="shared" ref="D10:K10" si="1">SUM(D6:D9)</f>
        <v>7939.7199999999993</v>
      </c>
      <c r="E10" s="181">
        <f t="shared" si="1"/>
        <v>41326.53</v>
      </c>
      <c r="F10" s="181">
        <f t="shared" si="1"/>
        <v>75468</v>
      </c>
      <c r="G10" s="181">
        <f t="shared" si="1"/>
        <v>600323.31999999995</v>
      </c>
      <c r="H10" s="181">
        <f t="shared" si="1"/>
        <v>35346.480000000003</v>
      </c>
      <c r="I10" s="181">
        <f t="shared" si="1"/>
        <v>41326.53</v>
      </c>
      <c r="J10" s="181">
        <f t="shared" si="1"/>
        <v>18426.127500000002</v>
      </c>
      <c r="K10" s="188">
        <f t="shared" si="1"/>
        <v>1420480.0274999999</v>
      </c>
    </row>
  </sheetData>
  <mergeCells count="1">
    <mergeCell ref="A2:K2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80"/>
  <sheetViews>
    <sheetView showFormulas="1" topLeftCell="J1" zoomScaleNormal="100" workbookViewId="0">
      <selection activeCell="G24" sqref="G24"/>
    </sheetView>
  </sheetViews>
  <sheetFormatPr defaultRowHeight="15" x14ac:dyDescent="0.25"/>
  <cols>
    <col min="1" max="1" width="15.85546875" customWidth="1"/>
    <col min="2" max="2" width="16.42578125" customWidth="1"/>
    <col min="3" max="3" width="13.5703125" customWidth="1"/>
    <col min="4" max="4" width="33.140625" customWidth="1"/>
    <col min="5" max="5" width="22.5703125" customWidth="1"/>
    <col min="6" max="6" width="18.85546875" customWidth="1"/>
    <col min="7" max="7" width="20.85546875" customWidth="1"/>
    <col min="8" max="8" width="21.28515625" customWidth="1"/>
    <col min="9" max="9" width="20.85546875" customWidth="1"/>
    <col min="10" max="10" width="20.5703125" customWidth="1"/>
    <col min="11" max="11" width="20.7109375" customWidth="1"/>
    <col min="12" max="12" width="20.28515625" customWidth="1"/>
    <col min="13" max="13" width="21.42578125" customWidth="1"/>
    <col min="14" max="14" width="20.85546875" customWidth="1"/>
    <col min="15" max="15" width="21.28515625" customWidth="1"/>
    <col min="16" max="16" width="20.85546875" customWidth="1"/>
  </cols>
  <sheetData>
    <row r="1" spans="1:16" ht="15.75" x14ac:dyDescent="0.25">
      <c r="A1" s="205" t="s">
        <v>17</v>
      </c>
      <c r="B1" s="205"/>
      <c r="C1" s="154"/>
      <c r="D1" s="206" t="s">
        <v>18</v>
      </c>
      <c r="E1" s="206"/>
      <c r="G1" s="14" t="s">
        <v>19</v>
      </c>
      <c r="H1" s="218" t="s">
        <v>55</v>
      </c>
      <c r="I1" s="218"/>
      <c r="J1" s="15"/>
      <c r="K1" s="15"/>
      <c r="L1" s="15"/>
      <c r="M1" s="15"/>
      <c r="N1" s="15"/>
      <c r="O1" s="15"/>
    </row>
    <row r="2" spans="1:16" s="19" customFormat="1" x14ac:dyDescent="0.25">
      <c r="A2" s="16"/>
      <c r="B2" s="16"/>
      <c r="C2" s="16"/>
      <c r="D2" s="216" t="s">
        <v>130</v>
      </c>
      <c r="E2" s="217"/>
      <c r="F2" s="17"/>
      <c r="G2" s="17"/>
      <c r="H2" s="17"/>
      <c r="I2" s="17"/>
      <c r="J2" s="17"/>
      <c r="K2" s="18"/>
      <c r="L2" s="18"/>
      <c r="M2" s="18"/>
      <c r="N2" s="18"/>
      <c r="O2" s="18"/>
    </row>
    <row r="3" spans="1:16" x14ac:dyDescent="0.25">
      <c r="D3" s="20"/>
      <c r="E3" s="9"/>
      <c r="F3" s="21" t="s">
        <v>20</v>
      </c>
      <c r="G3" s="21"/>
      <c r="H3" s="21"/>
      <c r="I3" s="21"/>
      <c r="J3" s="17"/>
      <c r="K3" s="15"/>
      <c r="L3" s="15"/>
      <c r="M3" s="15"/>
      <c r="N3" s="15"/>
      <c r="O3" s="15"/>
    </row>
    <row r="4" spans="1:16" ht="14.25" customHeight="1" x14ac:dyDescent="0.25">
      <c r="D4" s="22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6" ht="17.25" customHeight="1" x14ac:dyDescent="0.25">
      <c r="A5" s="213" t="s">
        <v>21</v>
      </c>
      <c r="B5" s="213"/>
      <c r="C5" s="214"/>
      <c r="D5" s="215"/>
      <c r="E5" s="207" t="s">
        <v>22</v>
      </c>
      <c r="F5" s="208"/>
      <c r="G5" s="24">
        <v>200</v>
      </c>
      <c r="H5" s="24">
        <v>201</v>
      </c>
      <c r="I5" s="24">
        <v>202</v>
      </c>
      <c r="J5" s="24">
        <v>203</v>
      </c>
      <c r="K5" s="24">
        <v>204</v>
      </c>
      <c r="L5" s="24">
        <v>205</v>
      </c>
      <c r="M5" s="24">
        <v>206</v>
      </c>
      <c r="N5" s="24">
        <v>207</v>
      </c>
      <c r="O5" s="24">
        <v>208</v>
      </c>
      <c r="P5" s="24">
        <v>209</v>
      </c>
    </row>
    <row r="6" spans="1:16" x14ac:dyDescent="0.25">
      <c r="A6" s="138" t="s">
        <v>23</v>
      </c>
      <c r="B6" s="138" t="s">
        <v>24</v>
      </c>
      <c r="C6" s="138" t="s">
        <v>69</v>
      </c>
      <c r="D6" s="139" t="s">
        <v>101</v>
      </c>
      <c r="E6" s="196" t="s">
        <v>24</v>
      </c>
      <c r="F6" s="197"/>
      <c r="G6" s="25" t="str">
        <f t="shared" ref="G6:P6" si="0">VLOOKUP(G5,$A$7:$B$36,2)</f>
        <v>Самоненко С. Г</v>
      </c>
      <c r="H6" s="25" t="str">
        <f t="shared" si="0"/>
        <v>Авдошина В. В</v>
      </c>
      <c r="I6" s="25" t="str">
        <f t="shared" si="0"/>
        <v>Бакирова А. П</v>
      </c>
      <c r="J6" s="25" t="str">
        <f t="shared" si="0"/>
        <v>Шкап Е. В</v>
      </c>
      <c r="K6" s="25" t="str">
        <f t="shared" si="0"/>
        <v>Неваляшка М. П</v>
      </c>
      <c r="L6" s="25" t="str">
        <f t="shared" si="0"/>
        <v>Антонов С. Ю</v>
      </c>
      <c r="M6" s="25" t="str">
        <f t="shared" si="0"/>
        <v>Евген П. Л</v>
      </c>
      <c r="N6" s="25" t="str">
        <f t="shared" si="0"/>
        <v>Павлов П. П</v>
      </c>
      <c r="O6" s="25" t="str">
        <f t="shared" si="0"/>
        <v>Иванова С. Д</v>
      </c>
      <c r="P6" s="25" t="str">
        <f t="shared" si="0"/>
        <v>Петров В. К</v>
      </c>
    </row>
    <row r="7" spans="1:16" ht="27" customHeight="1" x14ac:dyDescent="0.25">
      <c r="A7" s="134">
        <v>200</v>
      </c>
      <c r="B7" s="135" t="s">
        <v>102</v>
      </c>
      <c r="C7" s="136">
        <v>1</v>
      </c>
      <c r="D7" s="137" t="s">
        <v>103</v>
      </c>
      <c r="E7" s="196" t="s">
        <v>25</v>
      </c>
      <c r="F7" s="197"/>
      <c r="G7" s="27">
        <v>1</v>
      </c>
      <c r="H7" s="27">
        <v>2</v>
      </c>
      <c r="I7" s="27"/>
      <c r="J7" s="27">
        <v>2</v>
      </c>
      <c r="K7" s="27">
        <v>1</v>
      </c>
      <c r="L7" s="27">
        <v>1</v>
      </c>
      <c r="M7" s="27">
        <v>2</v>
      </c>
      <c r="N7" s="27"/>
      <c r="O7" s="27">
        <v>1</v>
      </c>
      <c r="P7" s="27">
        <v>2</v>
      </c>
    </row>
    <row r="8" spans="1:16" ht="26.25" customHeight="1" x14ac:dyDescent="0.25">
      <c r="A8" s="134">
        <v>201</v>
      </c>
      <c r="B8" s="135" t="s">
        <v>104</v>
      </c>
      <c r="C8" s="136">
        <v>1</v>
      </c>
      <c r="D8" s="137" t="s">
        <v>106</v>
      </c>
      <c r="E8" s="196" t="s">
        <v>26</v>
      </c>
      <c r="F8" s="197"/>
      <c r="G8" s="27"/>
      <c r="H8" s="27"/>
      <c r="I8" s="27"/>
      <c r="J8" s="27">
        <v>1</v>
      </c>
      <c r="K8" s="27"/>
      <c r="L8" s="27"/>
      <c r="M8" s="27"/>
      <c r="N8" s="27"/>
      <c r="O8" s="27"/>
      <c r="P8" s="27"/>
    </row>
    <row r="9" spans="1:16" s="19" customFormat="1" x14ac:dyDescent="0.25">
      <c r="A9" s="134">
        <v>202</v>
      </c>
      <c r="B9" s="135" t="s">
        <v>105</v>
      </c>
      <c r="C9" s="136">
        <v>0.8</v>
      </c>
      <c r="D9" s="137" t="s">
        <v>107</v>
      </c>
      <c r="F9" s="28"/>
      <c r="G9" s="28"/>
      <c r="H9" s="28"/>
      <c r="I9" s="28"/>
      <c r="J9" s="28"/>
      <c r="K9" s="18"/>
      <c r="L9" s="18"/>
      <c r="M9" s="18"/>
      <c r="N9" s="18"/>
      <c r="O9" s="18"/>
    </row>
    <row r="10" spans="1:16" ht="15" customHeight="1" x14ac:dyDescent="0.25">
      <c r="A10" s="134">
        <v>203</v>
      </c>
      <c r="B10" s="135" t="s">
        <v>108</v>
      </c>
      <c r="C10" s="136">
        <v>1</v>
      </c>
      <c r="D10" s="137" t="s">
        <v>110</v>
      </c>
      <c r="E10" s="211" t="s">
        <v>131</v>
      </c>
      <c r="F10" s="212"/>
      <c r="G10" s="212"/>
      <c r="H10" s="212"/>
      <c r="I10" s="212"/>
      <c r="J10" s="212"/>
      <c r="K10" s="15"/>
      <c r="L10" s="15"/>
      <c r="M10" s="15"/>
      <c r="N10" s="15"/>
      <c r="O10" s="15"/>
    </row>
    <row r="11" spans="1:16" x14ac:dyDescent="0.25">
      <c r="A11" s="134">
        <v>204</v>
      </c>
      <c r="B11" s="135" t="s">
        <v>109</v>
      </c>
      <c r="C11" s="136">
        <v>0.8</v>
      </c>
      <c r="D11" s="137" t="s">
        <v>111</v>
      </c>
      <c r="E11" s="196" t="s">
        <v>27</v>
      </c>
      <c r="F11" s="197"/>
      <c r="G11" s="29">
        <f t="shared" ref="G11:P11" si="1">$D$43*G7+$D$44*G8</f>
        <v>1400</v>
      </c>
      <c r="H11" s="29">
        <f t="shared" si="1"/>
        <v>2800</v>
      </c>
      <c r="I11" s="29">
        <f t="shared" si="1"/>
        <v>0</v>
      </c>
      <c r="J11" s="29">
        <f t="shared" si="1"/>
        <v>5800</v>
      </c>
      <c r="K11" s="29">
        <f t="shared" si="1"/>
        <v>1400</v>
      </c>
      <c r="L11" s="29">
        <f t="shared" si="1"/>
        <v>1400</v>
      </c>
      <c r="M11" s="29">
        <f t="shared" si="1"/>
        <v>2800</v>
      </c>
      <c r="N11" s="29">
        <f t="shared" si="1"/>
        <v>0</v>
      </c>
      <c r="O11" s="29">
        <f t="shared" si="1"/>
        <v>1400</v>
      </c>
      <c r="P11" s="29">
        <f t="shared" si="1"/>
        <v>2800</v>
      </c>
    </row>
    <row r="12" spans="1:16" x14ac:dyDescent="0.25">
      <c r="A12" s="134">
        <v>205</v>
      </c>
      <c r="B12" s="135" t="s">
        <v>28</v>
      </c>
      <c r="C12" s="136">
        <v>1</v>
      </c>
      <c r="D12" s="137" t="s">
        <v>112</v>
      </c>
      <c r="F12" s="30"/>
      <c r="G12" s="31"/>
      <c r="H12" s="31"/>
      <c r="I12" s="31"/>
      <c r="J12" s="31"/>
      <c r="K12" s="15"/>
      <c r="L12" s="15"/>
      <c r="M12" s="15"/>
      <c r="N12" s="15"/>
      <c r="O12" s="15"/>
    </row>
    <row r="13" spans="1:16" x14ac:dyDescent="0.25">
      <c r="A13" s="134">
        <v>206</v>
      </c>
      <c r="B13" s="135" t="s">
        <v>29</v>
      </c>
      <c r="C13" s="136">
        <v>0.6</v>
      </c>
      <c r="D13" s="137" t="s">
        <v>114</v>
      </c>
      <c r="E13" s="196" t="s">
        <v>30</v>
      </c>
      <c r="F13" s="197"/>
      <c r="G13" s="32">
        <v>1966</v>
      </c>
      <c r="H13" s="32">
        <v>1974</v>
      </c>
      <c r="I13" s="32">
        <v>1980</v>
      </c>
      <c r="J13" s="32">
        <v>1983</v>
      </c>
      <c r="K13" s="32">
        <v>1970</v>
      </c>
      <c r="L13" s="32">
        <v>1989</v>
      </c>
      <c r="M13" s="32">
        <v>1975</v>
      </c>
      <c r="N13" s="32">
        <v>1980</v>
      </c>
      <c r="O13" s="32">
        <v>1989</v>
      </c>
      <c r="P13" s="32">
        <v>1983</v>
      </c>
    </row>
    <row r="14" spans="1:16" x14ac:dyDescent="0.25">
      <c r="A14" s="134">
        <v>207</v>
      </c>
      <c r="B14" s="135" t="s">
        <v>113</v>
      </c>
      <c r="C14" s="136">
        <v>0.8</v>
      </c>
      <c r="D14" s="137" t="s">
        <v>115</v>
      </c>
      <c r="F14" s="30"/>
      <c r="G14" s="31"/>
      <c r="H14" s="31"/>
      <c r="I14" s="31"/>
      <c r="J14" s="31"/>
      <c r="K14" s="15"/>
      <c r="L14" s="15"/>
      <c r="M14" s="15"/>
      <c r="N14" s="15"/>
      <c r="O14" s="15"/>
    </row>
    <row r="15" spans="1:16" x14ac:dyDescent="0.25">
      <c r="A15" s="134">
        <v>208</v>
      </c>
      <c r="B15" s="135" t="s">
        <v>116</v>
      </c>
      <c r="C15" s="136">
        <v>0.8</v>
      </c>
      <c r="D15" s="137" t="s">
        <v>118</v>
      </c>
      <c r="E15" s="196" t="s">
        <v>31</v>
      </c>
      <c r="F15" s="197"/>
      <c r="G15" s="33">
        <v>100000</v>
      </c>
      <c r="H15" s="33">
        <v>75000</v>
      </c>
      <c r="I15" s="33">
        <v>55000</v>
      </c>
      <c r="J15" s="33">
        <v>50000</v>
      </c>
      <c r="K15" s="33">
        <v>39000</v>
      </c>
      <c r="L15" s="33">
        <v>20000</v>
      </c>
      <c r="M15" s="33">
        <v>21000</v>
      </c>
      <c r="N15" s="33">
        <v>19000</v>
      </c>
      <c r="O15" s="33">
        <v>15000</v>
      </c>
      <c r="P15" s="33">
        <v>12000</v>
      </c>
    </row>
    <row r="16" spans="1:16" s="19" customFormat="1" ht="13.5" customHeight="1" x14ac:dyDescent="0.25">
      <c r="A16" s="134">
        <v>209</v>
      </c>
      <c r="B16" s="135" t="s">
        <v>117</v>
      </c>
      <c r="C16" s="136">
        <v>0.8</v>
      </c>
      <c r="D16" s="137" t="s">
        <v>119</v>
      </c>
      <c r="E16" s="85"/>
      <c r="F16" s="28"/>
      <c r="G16" s="34"/>
      <c r="H16" s="34"/>
      <c r="I16" s="34"/>
      <c r="J16" s="34"/>
      <c r="K16" s="18"/>
      <c r="L16" s="18"/>
      <c r="M16" s="18"/>
      <c r="N16" s="18"/>
      <c r="O16" s="18"/>
    </row>
    <row r="17" spans="1:16" s="19" customFormat="1" ht="28.5" customHeight="1" x14ac:dyDescent="0.25">
      <c r="A17" s="84"/>
      <c r="B17" s="70"/>
      <c r="C17" s="70"/>
      <c r="D17" s="26"/>
      <c r="E17" s="88" t="s">
        <v>65</v>
      </c>
      <c r="F17" s="89"/>
      <c r="G17" s="90">
        <v>0.2</v>
      </c>
      <c r="H17" s="90">
        <v>0.2</v>
      </c>
      <c r="I17" s="90">
        <v>0.2</v>
      </c>
      <c r="J17" s="90">
        <v>0.2</v>
      </c>
      <c r="K17" s="92">
        <v>0.2</v>
      </c>
      <c r="L17" s="92">
        <v>0.2</v>
      </c>
      <c r="M17" s="92">
        <v>0.2</v>
      </c>
      <c r="N17" s="92">
        <v>0.2</v>
      </c>
      <c r="O17" s="92">
        <v>0.2</v>
      </c>
      <c r="P17" s="93">
        <v>0.2</v>
      </c>
    </row>
    <row r="18" spans="1:16" s="19" customFormat="1" ht="12.75" customHeight="1" x14ac:dyDescent="0.25">
      <c r="A18" s="219" t="s">
        <v>126</v>
      </c>
      <c r="B18" s="220"/>
      <c r="C18" s="220"/>
      <c r="D18" s="221"/>
      <c r="E18" s="86"/>
      <c r="F18" s="87"/>
      <c r="G18" s="34"/>
      <c r="H18" s="34"/>
      <c r="I18" s="34"/>
      <c r="J18" s="34"/>
      <c r="K18" s="18"/>
      <c r="L18" s="18"/>
      <c r="M18" s="18"/>
      <c r="N18" s="18"/>
      <c r="O18" s="18"/>
    </row>
    <row r="19" spans="1:16" s="19" customFormat="1" ht="56.25" customHeight="1" x14ac:dyDescent="0.25">
      <c r="A19" s="140" t="s">
        <v>127</v>
      </c>
      <c r="B19" s="141" t="s">
        <v>128</v>
      </c>
      <c r="C19" s="142" t="s">
        <v>129</v>
      </c>
      <c r="D19" s="144" t="s">
        <v>136</v>
      </c>
      <c r="E19" s="88" t="s">
        <v>66</v>
      </c>
      <c r="F19" s="89"/>
      <c r="G19" s="90">
        <v>0.3</v>
      </c>
      <c r="H19" s="90">
        <v>0.3</v>
      </c>
      <c r="I19" s="90">
        <v>0.3</v>
      </c>
      <c r="J19" s="90">
        <v>0.3</v>
      </c>
      <c r="K19" s="91">
        <v>0.3</v>
      </c>
      <c r="L19" s="91">
        <v>0.3</v>
      </c>
      <c r="M19" s="91">
        <v>0.3</v>
      </c>
      <c r="N19" s="91">
        <v>0.3</v>
      </c>
      <c r="O19" s="91">
        <v>0.3</v>
      </c>
      <c r="P19" s="88">
        <v>0.3</v>
      </c>
    </row>
    <row r="20" spans="1:16" s="19" customFormat="1" ht="18" customHeight="1" x14ac:dyDescent="0.25">
      <c r="A20" s="134" t="str">
        <f>B7</f>
        <v>Самоненко С. Г</v>
      </c>
      <c r="B20" s="135">
        <v>0</v>
      </c>
      <c r="C20" s="135">
        <v>1</v>
      </c>
      <c r="D20" s="143">
        <v>0</v>
      </c>
      <c r="E20" s="86"/>
      <c r="F20" s="87"/>
      <c r="G20" s="34"/>
      <c r="H20" s="34"/>
      <c r="I20" s="34"/>
      <c r="J20" s="34"/>
      <c r="K20" s="133"/>
      <c r="L20" s="133"/>
      <c r="M20" s="133"/>
      <c r="N20" s="133"/>
      <c r="O20" s="133"/>
      <c r="P20" s="86"/>
    </row>
    <row r="21" spans="1:16" s="19" customFormat="1" ht="16.5" customHeight="1" x14ac:dyDescent="0.25">
      <c r="A21" s="134" t="str">
        <f t="shared" ref="A21:A29" si="2">B8</f>
        <v>Авдошина В. В</v>
      </c>
      <c r="B21" s="135">
        <v>1</v>
      </c>
      <c r="C21" s="135">
        <v>1</v>
      </c>
      <c r="D21" s="143">
        <v>0</v>
      </c>
      <c r="E21" s="86"/>
      <c r="F21" s="87"/>
      <c r="G21" s="34"/>
      <c r="H21" s="34"/>
      <c r="I21" s="34"/>
      <c r="J21" s="34"/>
      <c r="K21" s="133"/>
      <c r="L21" s="133"/>
      <c r="M21" s="133"/>
      <c r="N21" s="133"/>
      <c r="O21" s="133"/>
      <c r="P21" s="86"/>
    </row>
    <row r="22" spans="1:16" s="19" customFormat="1" ht="20.25" customHeight="1" x14ac:dyDescent="0.25">
      <c r="A22" s="134" t="str">
        <f t="shared" si="2"/>
        <v>Бакирова А. П</v>
      </c>
      <c r="B22" s="135">
        <v>0</v>
      </c>
      <c r="C22" s="135">
        <v>0</v>
      </c>
      <c r="D22" s="143">
        <v>0</v>
      </c>
      <c r="E22" s="86"/>
      <c r="F22" s="87"/>
      <c r="G22" s="34"/>
      <c r="H22" s="34"/>
      <c r="I22" s="34"/>
      <c r="J22" s="34"/>
      <c r="K22" s="133"/>
      <c r="L22" s="133"/>
      <c r="M22" s="133"/>
      <c r="N22" s="133"/>
      <c r="O22" s="133"/>
      <c r="P22" s="86"/>
    </row>
    <row r="23" spans="1:16" s="19" customFormat="1" ht="18" customHeight="1" x14ac:dyDescent="0.25">
      <c r="A23" s="134" t="str">
        <f t="shared" si="2"/>
        <v>Шкап Е. В</v>
      </c>
      <c r="B23" s="135">
        <v>3</v>
      </c>
      <c r="C23" s="135">
        <v>0</v>
      </c>
      <c r="D23" s="143">
        <v>0</v>
      </c>
      <c r="E23" s="86"/>
      <c r="F23" s="87"/>
      <c r="G23" s="34"/>
      <c r="H23" s="34"/>
      <c r="I23" s="34"/>
      <c r="J23" s="34"/>
      <c r="K23" s="133"/>
      <c r="L23" s="133"/>
      <c r="M23" s="133"/>
      <c r="N23" s="133"/>
      <c r="O23" s="133"/>
      <c r="P23" s="86"/>
    </row>
    <row r="24" spans="1:16" s="19" customFormat="1" ht="15.75" customHeight="1" x14ac:dyDescent="0.25">
      <c r="A24" s="134" t="str">
        <f t="shared" si="2"/>
        <v>Неваляшка М. П</v>
      </c>
      <c r="B24" s="135">
        <v>0</v>
      </c>
      <c r="C24" s="135">
        <v>1</v>
      </c>
      <c r="D24" s="143">
        <v>0</v>
      </c>
      <c r="E24" s="86"/>
      <c r="F24" s="87"/>
      <c r="G24" s="34"/>
      <c r="H24" s="34"/>
      <c r="I24" s="34"/>
      <c r="J24" s="34"/>
      <c r="K24" s="133"/>
      <c r="L24" s="133"/>
      <c r="M24" s="133"/>
      <c r="N24" s="133"/>
      <c r="O24" s="133"/>
      <c r="P24" s="86"/>
    </row>
    <row r="25" spans="1:16" s="19" customFormat="1" ht="15" customHeight="1" x14ac:dyDescent="0.25">
      <c r="A25" s="134" t="str">
        <f t="shared" si="2"/>
        <v>Антонов С. Ю</v>
      </c>
      <c r="B25" s="135">
        <v>1</v>
      </c>
      <c r="C25" s="135">
        <v>0</v>
      </c>
      <c r="D25" s="143">
        <v>1</v>
      </c>
      <c r="E25" s="86"/>
      <c r="F25" s="87"/>
      <c r="G25" s="34"/>
      <c r="H25" s="34"/>
      <c r="I25" s="34"/>
      <c r="J25" s="34"/>
      <c r="K25" s="133"/>
      <c r="L25" s="133"/>
      <c r="M25" s="133"/>
      <c r="N25" s="133"/>
      <c r="O25" s="133"/>
      <c r="P25" s="86"/>
    </row>
    <row r="26" spans="1:16" s="19" customFormat="1" ht="17.25" customHeight="1" x14ac:dyDescent="0.25">
      <c r="A26" s="134" t="str">
        <f t="shared" si="2"/>
        <v>Евген П. Л</v>
      </c>
      <c r="B26" s="135">
        <v>2</v>
      </c>
      <c r="C26" s="135">
        <v>0</v>
      </c>
      <c r="D26" s="143">
        <v>2</v>
      </c>
      <c r="E26" s="86"/>
      <c r="F26" s="87"/>
      <c r="G26" s="34"/>
      <c r="H26" s="34"/>
      <c r="I26" s="34"/>
      <c r="J26" s="34"/>
      <c r="K26" s="133"/>
      <c r="L26" s="133"/>
      <c r="M26" s="133"/>
      <c r="N26" s="133"/>
      <c r="O26" s="133"/>
      <c r="P26" s="86"/>
    </row>
    <row r="27" spans="1:16" s="19" customFormat="1" ht="15.75" customHeight="1" x14ac:dyDescent="0.25">
      <c r="A27" s="134" t="str">
        <f t="shared" si="2"/>
        <v>Павлов П. П</v>
      </c>
      <c r="B27" s="135">
        <v>0</v>
      </c>
      <c r="C27" s="135">
        <v>0</v>
      </c>
      <c r="D27" s="143">
        <v>0</v>
      </c>
      <c r="E27" s="86"/>
      <c r="F27" s="87"/>
      <c r="G27" s="34"/>
      <c r="H27" s="34"/>
      <c r="I27" s="34"/>
      <c r="J27" s="34"/>
      <c r="K27" s="133"/>
      <c r="L27" s="133"/>
      <c r="M27" s="133"/>
      <c r="N27" s="133"/>
      <c r="O27" s="133"/>
      <c r="P27" s="86"/>
    </row>
    <row r="28" spans="1:16" s="19" customFormat="1" ht="15" customHeight="1" x14ac:dyDescent="0.25">
      <c r="A28" s="134" t="str">
        <f t="shared" si="2"/>
        <v>Иванова С. Д</v>
      </c>
      <c r="B28" s="135">
        <v>1</v>
      </c>
      <c r="C28" s="135">
        <v>0</v>
      </c>
      <c r="D28" s="143">
        <v>0</v>
      </c>
      <c r="E28" s="86"/>
      <c r="F28" s="87"/>
      <c r="G28" s="34"/>
      <c r="H28" s="34"/>
      <c r="I28" s="34"/>
      <c r="J28" s="34"/>
      <c r="K28" s="133"/>
      <c r="L28" s="133"/>
      <c r="M28" s="133"/>
      <c r="N28" s="133"/>
      <c r="O28" s="133"/>
      <c r="P28" s="86"/>
    </row>
    <row r="29" spans="1:16" s="19" customFormat="1" ht="15" customHeight="1" x14ac:dyDescent="0.25">
      <c r="A29" s="134" t="str">
        <f t="shared" si="2"/>
        <v>Петров В. К</v>
      </c>
      <c r="B29" s="135">
        <v>2</v>
      </c>
      <c r="C29" s="135">
        <v>0</v>
      </c>
      <c r="D29" s="143">
        <v>0</v>
      </c>
      <c r="F29" s="28"/>
      <c r="G29" s="34"/>
      <c r="H29" s="34"/>
      <c r="I29" s="34"/>
      <c r="J29" s="34"/>
      <c r="K29" s="18"/>
      <c r="L29" s="18"/>
      <c r="M29" s="18"/>
      <c r="N29" s="18"/>
      <c r="O29" s="18"/>
    </row>
    <row r="30" spans="1:16" s="19" customFormat="1" ht="14.25" customHeight="1" x14ac:dyDescent="0.25">
      <c r="A30" s="84"/>
      <c r="B30" s="26"/>
      <c r="C30" s="26"/>
      <c r="D30" s="26"/>
      <c r="E30" s="210" t="s">
        <v>32</v>
      </c>
      <c r="F30" s="210"/>
      <c r="G30" s="210"/>
      <c r="H30" s="210"/>
      <c r="I30" s="210"/>
      <c r="J30" s="210"/>
      <c r="K30" s="18"/>
      <c r="L30" s="18"/>
      <c r="M30" s="18"/>
      <c r="N30" s="18"/>
      <c r="O30" s="18"/>
    </row>
    <row r="31" spans="1:16" s="19" customFormat="1" ht="30" customHeight="1" x14ac:dyDescent="0.25">
      <c r="A31" s="202" t="s">
        <v>16</v>
      </c>
      <c r="B31" s="202"/>
      <c r="C31" s="202"/>
      <c r="D31" s="26"/>
      <c r="E31" s="194" t="s">
        <v>132</v>
      </c>
      <c r="F31" s="195"/>
      <c r="G31" s="36">
        <v>0.4</v>
      </c>
      <c r="H31" s="34"/>
      <c r="I31" s="34"/>
      <c r="J31" s="34"/>
      <c r="K31" s="18"/>
      <c r="L31" s="18"/>
      <c r="M31" s="18"/>
      <c r="N31" s="18"/>
      <c r="O31" s="18"/>
    </row>
    <row r="32" spans="1:16" ht="24.75" x14ac:dyDescent="0.25">
      <c r="A32" s="73" t="s">
        <v>24</v>
      </c>
      <c r="B32" s="74" t="s">
        <v>56</v>
      </c>
      <c r="C32" s="74" t="s">
        <v>57</v>
      </c>
      <c r="D32" s="26"/>
      <c r="E32" s="196" t="s">
        <v>33</v>
      </c>
      <c r="F32" s="197"/>
      <c r="G32" s="37">
        <f t="shared" ref="G32:P32" si="3">G15*Процент_аванса</f>
        <v>40000</v>
      </c>
      <c r="H32" s="37">
        <f t="shared" si="3"/>
        <v>30000</v>
      </c>
      <c r="I32" s="37">
        <f t="shared" si="3"/>
        <v>22000</v>
      </c>
      <c r="J32" s="37">
        <f t="shared" si="3"/>
        <v>20000</v>
      </c>
      <c r="K32" s="37">
        <f t="shared" si="3"/>
        <v>15600</v>
      </c>
      <c r="L32" s="37">
        <f t="shared" si="3"/>
        <v>8000</v>
      </c>
      <c r="M32" s="37">
        <f t="shared" si="3"/>
        <v>8400</v>
      </c>
      <c r="N32" s="37">
        <f t="shared" si="3"/>
        <v>7600</v>
      </c>
      <c r="O32" s="37">
        <f t="shared" si="3"/>
        <v>6000</v>
      </c>
      <c r="P32" s="37">
        <f t="shared" si="3"/>
        <v>4800</v>
      </c>
    </row>
    <row r="33" spans="1:16" ht="24.75" customHeight="1" x14ac:dyDescent="0.25">
      <c r="A33" s="71" t="s">
        <v>28</v>
      </c>
      <c r="B33" s="72" t="s">
        <v>135</v>
      </c>
      <c r="C33" s="72" t="s">
        <v>58</v>
      </c>
      <c r="D33" s="26"/>
      <c r="E33" s="198" t="s">
        <v>34</v>
      </c>
      <c r="F33" s="198"/>
      <c r="G33" s="198"/>
      <c r="H33" s="198"/>
      <c r="I33" s="198"/>
      <c r="J33" s="198"/>
      <c r="K33" s="15"/>
      <c r="L33" s="15"/>
      <c r="M33" s="15"/>
      <c r="N33" s="15"/>
      <c r="O33" s="15"/>
    </row>
    <row r="34" spans="1:16" x14ac:dyDescent="0.25">
      <c r="A34" s="71" t="s">
        <v>29</v>
      </c>
      <c r="B34" s="72" t="s">
        <v>134</v>
      </c>
      <c r="C34" s="72" t="s">
        <v>59</v>
      </c>
      <c r="D34" s="26"/>
      <c r="E34" s="196" t="s">
        <v>35</v>
      </c>
      <c r="F34" s="197"/>
      <c r="G34" s="38">
        <f t="shared" ref="G34:P34" si="4">IF(G$13&gt;1,(IF(G$13&gt;=1967,$D$55,$D$57)), )</f>
        <v>0.22</v>
      </c>
      <c r="H34" s="38">
        <f t="shared" si="4"/>
        <v>0.16</v>
      </c>
      <c r="I34" s="38">
        <f t="shared" si="4"/>
        <v>0.16</v>
      </c>
      <c r="J34" s="38">
        <f t="shared" si="4"/>
        <v>0.16</v>
      </c>
      <c r="K34" s="38">
        <f t="shared" si="4"/>
        <v>0.16</v>
      </c>
      <c r="L34" s="38">
        <f t="shared" si="4"/>
        <v>0.16</v>
      </c>
      <c r="M34" s="38">
        <f t="shared" si="4"/>
        <v>0.16</v>
      </c>
      <c r="N34" s="38">
        <f t="shared" si="4"/>
        <v>0.16</v>
      </c>
      <c r="O34" s="38">
        <f t="shared" si="4"/>
        <v>0.16</v>
      </c>
      <c r="P34" s="38">
        <f t="shared" si="4"/>
        <v>0.16</v>
      </c>
    </row>
    <row r="35" spans="1:16" x14ac:dyDescent="0.25">
      <c r="A35" s="35"/>
      <c r="B35" s="23"/>
      <c r="C35" s="23"/>
      <c r="D35" s="23"/>
      <c r="E35" s="196" t="s">
        <v>36</v>
      </c>
      <c r="F35" s="197"/>
      <c r="G35" s="38">
        <f t="shared" ref="G35:P35" si="5">IF(G$13&gt;1,(IF(G$13&gt;=1967,$D$56,0)), )</f>
        <v>0</v>
      </c>
      <c r="H35" s="38">
        <f t="shared" si="5"/>
        <v>0.06</v>
      </c>
      <c r="I35" s="38">
        <f t="shared" si="5"/>
        <v>0.06</v>
      </c>
      <c r="J35" s="38">
        <f t="shared" si="5"/>
        <v>0.06</v>
      </c>
      <c r="K35" s="38">
        <f t="shared" si="5"/>
        <v>0.06</v>
      </c>
      <c r="L35" s="38">
        <f t="shared" si="5"/>
        <v>0.06</v>
      </c>
      <c r="M35" s="38">
        <f t="shared" si="5"/>
        <v>0.06</v>
      </c>
      <c r="N35" s="38">
        <f t="shared" si="5"/>
        <v>0.06</v>
      </c>
      <c r="O35" s="38">
        <f t="shared" si="5"/>
        <v>0.06</v>
      </c>
      <c r="P35" s="38">
        <f t="shared" si="5"/>
        <v>0.06</v>
      </c>
    </row>
    <row r="36" spans="1:16" x14ac:dyDescent="0.25">
      <c r="A36" s="35"/>
      <c r="B36" s="39"/>
      <c r="C36" s="39"/>
      <c r="D36" s="39"/>
      <c r="E36" s="30"/>
      <c r="F36" s="30"/>
      <c r="G36" s="30"/>
      <c r="H36" s="15"/>
      <c r="I36" s="15"/>
      <c r="J36" s="15"/>
      <c r="K36" s="15"/>
      <c r="L36" s="15"/>
      <c r="M36" s="15"/>
      <c r="N36" s="15"/>
      <c r="O36" s="15"/>
    </row>
    <row r="37" spans="1:16" ht="30" customHeight="1" x14ac:dyDescent="0.25">
      <c r="A37" s="15"/>
      <c r="B37" s="209" t="s">
        <v>37</v>
      </c>
      <c r="C37" s="209"/>
      <c r="D37" s="209"/>
      <c r="E37" s="77" t="str">
        <f>H1</f>
        <v>январь, 2013 г.</v>
      </c>
      <c r="F37" s="40"/>
      <c r="G37" s="40"/>
      <c r="H37" s="40"/>
      <c r="I37" s="40"/>
      <c r="J37" s="40"/>
      <c r="K37" s="40"/>
      <c r="L37" s="40"/>
      <c r="M37" s="40"/>
      <c r="N37" s="40"/>
      <c r="O37" s="40"/>
    </row>
    <row r="38" spans="1:16" ht="21" customHeight="1" x14ac:dyDescent="0.25">
      <c r="A38" s="15"/>
      <c r="B38" s="41"/>
      <c r="C38" s="41"/>
      <c r="D38" s="41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</row>
    <row r="39" spans="1:16" x14ac:dyDescent="0.25">
      <c r="A39" s="15"/>
      <c r="B39" s="43" t="s">
        <v>38</v>
      </c>
      <c r="C39" s="43"/>
      <c r="D39" s="44" t="s">
        <v>39</v>
      </c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</row>
    <row r="40" spans="1:16" ht="30" x14ac:dyDescent="0.25">
      <c r="A40" s="15"/>
      <c r="B40" s="45" t="s">
        <v>40</v>
      </c>
      <c r="C40" s="45"/>
      <c r="D40" s="46">
        <v>17</v>
      </c>
      <c r="E40" s="75"/>
      <c r="F40" s="75"/>
      <c r="G40" s="75"/>
      <c r="H40" s="76"/>
      <c r="I40" s="76"/>
      <c r="J40" s="76"/>
      <c r="K40" s="76"/>
      <c r="L40" s="76"/>
      <c r="M40" s="76"/>
      <c r="N40" s="76"/>
      <c r="O40" s="76"/>
    </row>
    <row r="41" spans="1:16" x14ac:dyDescent="0.25">
      <c r="A41" s="15"/>
      <c r="B41" s="30"/>
      <c r="C41" s="30"/>
      <c r="D41" s="30"/>
      <c r="E41" s="30"/>
      <c r="F41" s="30"/>
      <c r="G41" s="30"/>
      <c r="H41" s="15"/>
      <c r="I41" s="15"/>
      <c r="J41" s="15"/>
      <c r="K41" s="15"/>
      <c r="L41" s="15"/>
      <c r="M41" s="15"/>
      <c r="N41" s="15"/>
      <c r="O41" s="15"/>
    </row>
    <row r="42" spans="1:16" ht="52.5" customHeight="1" x14ac:dyDescent="0.25">
      <c r="A42" s="15"/>
      <c r="B42" s="199" t="s">
        <v>41</v>
      </c>
      <c r="C42" s="199"/>
      <c r="D42" s="199"/>
      <c r="E42" s="47"/>
      <c r="F42" s="200" t="s">
        <v>42</v>
      </c>
      <c r="G42" s="200"/>
      <c r="H42" s="200"/>
      <c r="I42" s="200"/>
      <c r="K42" s="15"/>
      <c r="L42" s="15"/>
      <c r="M42" s="15"/>
      <c r="N42" s="15"/>
      <c r="O42" s="15"/>
    </row>
    <row r="43" spans="1:16" ht="30" x14ac:dyDescent="0.25">
      <c r="A43" s="15"/>
      <c r="B43" s="43" t="s">
        <v>43</v>
      </c>
      <c r="C43" s="43"/>
      <c r="D43" s="32">
        <v>1400</v>
      </c>
      <c r="G43" s="48" t="s">
        <v>44</v>
      </c>
      <c r="H43" s="32">
        <v>280000</v>
      </c>
      <c r="I43" s="49"/>
      <c r="J43" s="49"/>
      <c r="K43" s="15"/>
      <c r="L43" s="15"/>
      <c r="M43" s="15"/>
      <c r="N43" s="15"/>
      <c r="O43" s="15"/>
    </row>
    <row r="44" spans="1:16" ht="42.75" customHeight="1" x14ac:dyDescent="0.25">
      <c r="A44" s="15"/>
      <c r="B44" s="43" t="s">
        <v>45</v>
      </c>
      <c r="C44" s="43"/>
      <c r="D44" s="32">
        <v>3000</v>
      </c>
      <c r="G44" s="30"/>
      <c r="H44" s="15"/>
      <c r="I44" s="49"/>
      <c r="J44" s="49"/>
      <c r="K44" s="15"/>
      <c r="L44" s="15"/>
      <c r="M44" s="15"/>
      <c r="N44" s="15"/>
      <c r="O44" s="15"/>
    </row>
    <row r="45" spans="1:16" ht="36.75" x14ac:dyDescent="0.25">
      <c r="A45" s="15"/>
      <c r="B45" s="50"/>
      <c r="C45" s="50"/>
      <c r="D45" s="50"/>
      <c r="E45" s="30"/>
      <c r="F45" s="30"/>
      <c r="I45" s="80" t="s">
        <v>24</v>
      </c>
      <c r="J45" s="81" t="s">
        <v>61</v>
      </c>
      <c r="K45" s="81" t="s">
        <v>63</v>
      </c>
      <c r="L45" s="81" t="s">
        <v>64</v>
      </c>
      <c r="M45" s="82" t="s">
        <v>67</v>
      </c>
      <c r="N45" s="15"/>
      <c r="O45" s="15"/>
    </row>
    <row r="46" spans="1:16" x14ac:dyDescent="0.25">
      <c r="A46" s="15"/>
      <c r="B46" s="50"/>
      <c r="C46" s="50"/>
      <c r="D46" s="50"/>
      <c r="E46" s="30"/>
      <c r="F46" s="30"/>
      <c r="G46" s="30"/>
      <c r="H46" s="15"/>
      <c r="I46" s="82" t="str">
        <f t="shared" ref="I46:I55" si="6">B7</f>
        <v>Самоненко С. Г</v>
      </c>
      <c r="J46" s="83">
        <v>7</v>
      </c>
      <c r="K46" s="82"/>
      <c r="L46" s="82"/>
      <c r="M46" s="82"/>
      <c r="N46" s="15"/>
      <c r="O46" s="15"/>
    </row>
    <row r="47" spans="1:16" ht="15" customHeight="1" x14ac:dyDescent="0.25">
      <c r="A47" s="15"/>
      <c r="B47" s="201" t="s">
        <v>46</v>
      </c>
      <c r="C47" s="201"/>
      <c r="D47" s="201"/>
      <c r="E47" s="51"/>
      <c r="F47" s="51"/>
      <c r="G47" s="30"/>
      <c r="H47" s="15"/>
      <c r="I47" s="82" t="str">
        <f t="shared" si="6"/>
        <v>Авдошина В. В</v>
      </c>
      <c r="J47" s="82"/>
      <c r="K47" s="82"/>
      <c r="L47" s="82"/>
      <c r="M47" s="82">
        <v>8</v>
      </c>
      <c r="N47" s="15"/>
      <c r="O47" s="15"/>
    </row>
    <row r="48" spans="1:16" x14ac:dyDescent="0.25">
      <c r="A48" s="15"/>
      <c r="B48" s="52"/>
      <c r="C48" s="52"/>
      <c r="D48" s="52"/>
      <c r="E48" s="51"/>
      <c r="F48" s="51"/>
      <c r="G48" s="30"/>
      <c r="H48" s="15"/>
      <c r="I48" s="82" t="str">
        <f t="shared" si="6"/>
        <v>Бакирова А. П</v>
      </c>
      <c r="J48" s="82"/>
      <c r="K48" s="82">
        <v>3</v>
      </c>
      <c r="L48" s="82">
        <v>2</v>
      </c>
      <c r="M48" s="82"/>
      <c r="N48" s="15"/>
      <c r="O48" s="15"/>
    </row>
    <row r="49" spans="1:16" ht="60" x14ac:dyDescent="0.25">
      <c r="A49" s="15"/>
      <c r="B49" s="53" t="s">
        <v>47</v>
      </c>
      <c r="C49" s="53"/>
      <c r="D49" s="54">
        <v>568000</v>
      </c>
      <c r="E49" s="30"/>
      <c r="F49" s="30"/>
      <c r="G49" s="30"/>
      <c r="H49" s="15"/>
      <c r="I49" s="82" t="str">
        <f t="shared" si="6"/>
        <v>Шкап Е. В</v>
      </c>
      <c r="J49" s="82">
        <v>5</v>
      </c>
      <c r="K49" s="82"/>
      <c r="L49" s="82"/>
      <c r="M49" s="82"/>
      <c r="N49" s="15"/>
      <c r="O49" s="15"/>
    </row>
    <row r="50" spans="1:16" x14ac:dyDescent="0.25">
      <c r="A50" s="15"/>
      <c r="B50" s="55"/>
      <c r="C50" s="55"/>
      <c r="D50" s="56"/>
      <c r="E50" s="56"/>
      <c r="F50" s="56"/>
      <c r="G50" s="30"/>
      <c r="H50" s="15"/>
      <c r="I50" s="82" t="str">
        <f t="shared" si="6"/>
        <v>Неваляшка М. П</v>
      </c>
      <c r="J50" s="82"/>
      <c r="K50" s="82"/>
      <c r="L50" s="82"/>
      <c r="M50" s="82"/>
      <c r="N50" s="15"/>
      <c r="O50" s="15"/>
    </row>
    <row r="51" spans="1:16" x14ac:dyDescent="0.25">
      <c r="A51" s="15"/>
      <c r="B51" s="57" t="s">
        <v>9</v>
      </c>
      <c r="C51" s="57"/>
      <c r="D51" s="58">
        <v>0.13</v>
      </c>
      <c r="E51" s="30"/>
      <c r="F51" s="30"/>
      <c r="G51" s="30"/>
      <c r="H51" s="15"/>
      <c r="I51" s="82" t="str">
        <f t="shared" si="6"/>
        <v>Антонов С. Ю</v>
      </c>
      <c r="J51" s="82"/>
      <c r="K51" s="82">
        <v>3</v>
      </c>
      <c r="L51" s="82">
        <v>0</v>
      </c>
      <c r="M51" s="82"/>
      <c r="N51" s="15"/>
      <c r="O51" s="15"/>
    </row>
    <row r="52" spans="1:16" x14ac:dyDescent="0.25">
      <c r="A52" s="15"/>
      <c r="B52" s="59" t="s">
        <v>10</v>
      </c>
      <c r="C52" s="59"/>
      <c r="D52" s="58">
        <v>2E-3</v>
      </c>
      <c r="E52" s="30"/>
      <c r="F52" s="30"/>
      <c r="G52" s="30"/>
      <c r="H52" s="15"/>
      <c r="I52" s="82" t="str">
        <f t="shared" si="6"/>
        <v>Евген П. Л</v>
      </c>
      <c r="J52" s="82"/>
      <c r="K52" s="82"/>
      <c r="L52" s="82"/>
      <c r="M52" s="82">
        <v>10</v>
      </c>
      <c r="N52" s="15"/>
      <c r="O52" s="15"/>
    </row>
    <row r="53" spans="1:16" x14ac:dyDescent="0.25">
      <c r="A53" s="15"/>
      <c r="B53" s="59" t="s">
        <v>11</v>
      </c>
      <c r="C53" s="59"/>
      <c r="D53" s="58">
        <v>2.9000000000000001E-2</v>
      </c>
      <c r="E53" s="30"/>
      <c r="F53" s="30"/>
      <c r="G53" s="30"/>
      <c r="H53" s="15"/>
      <c r="I53" s="82" t="str">
        <f t="shared" si="6"/>
        <v>Павлов П. П</v>
      </c>
      <c r="J53" s="82"/>
      <c r="K53" s="82"/>
      <c r="L53" s="82"/>
      <c r="M53" s="82"/>
      <c r="N53" s="15"/>
      <c r="O53" s="15"/>
    </row>
    <row r="54" spans="1:16" x14ac:dyDescent="0.25">
      <c r="A54" s="15"/>
      <c r="B54" s="59" t="s">
        <v>12</v>
      </c>
      <c r="C54" s="59"/>
      <c r="D54" s="58">
        <v>5.0999999999999997E-2</v>
      </c>
      <c r="E54" s="30"/>
      <c r="F54" s="30"/>
      <c r="G54" s="30"/>
      <c r="H54" s="15"/>
      <c r="I54" s="82" t="str">
        <f t="shared" si="6"/>
        <v>Иванова С. Д</v>
      </c>
      <c r="J54" s="82"/>
      <c r="K54" s="82">
        <v>3</v>
      </c>
      <c r="L54" s="82">
        <v>7</v>
      </c>
      <c r="M54" s="82"/>
      <c r="N54" s="15"/>
      <c r="O54" s="15"/>
    </row>
    <row r="55" spans="1:16" ht="26.25" x14ac:dyDescent="0.25">
      <c r="A55" s="15"/>
      <c r="B55" s="59" t="s">
        <v>48</v>
      </c>
      <c r="C55" s="59"/>
      <c r="D55" s="58">
        <v>0.16</v>
      </c>
      <c r="E55" s="30"/>
      <c r="F55" s="30"/>
      <c r="G55" s="30"/>
      <c r="H55" s="15"/>
      <c r="I55" s="82" t="str">
        <f t="shared" si="6"/>
        <v>Петров В. К</v>
      </c>
      <c r="J55" s="82"/>
      <c r="K55" s="82"/>
      <c r="L55" s="82"/>
      <c r="M55" s="82"/>
      <c r="N55" s="15"/>
      <c r="O55" s="15"/>
    </row>
    <row r="56" spans="1:16" ht="26.25" customHeight="1" x14ac:dyDescent="0.25">
      <c r="A56" s="15"/>
      <c r="B56" s="59" t="s">
        <v>49</v>
      </c>
      <c r="C56" s="59"/>
      <c r="D56" s="58">
        <v>0.06</v>
      </c>
      <c r="E56" s="30"/>
      <c r="F56" s="30"/>
      <c r="G56" s="30"/>
      <c r="H56" s="15"/>
      <c r="I56" s="203" t="s">
        <v>62</v>
      </c>
      <c r="J56" s="203"/>
      <c r="K56" s="203"/>
      <c r="L56" s="15"/>
      <c r="M56" s="15"/>
      <c r="N56" s="15"/>
      <c r="O56" s="15"/>
    </row>
    <row r="57" spans="1:16" ht="26.25" x14ac:dyDescent="0.25">
      <c r="A57" s="15"/>
      <c r="B57" s="59" t="s">
        <v>50</v>
      </c>
      <c r="C57" s="59"/>
      <c r="D57" s="58">
        <v>0.22</v>
      </c>
      <c r="E57" s="30"/>
      <c r="F57" s="30"/>
      <c r="G57" s="30"/>
      <c r="H57" s="15"/>
      <c r="I57" s="204"/>
      <c r="J57" s="204"/>
      <c r="K57" s="204"/>
      <c r="L57" s="15"/>
      <c r="M57" s="15"/>
      <c r="N57" s="15"/>
      <c r="O57" s="15"/>
    </row>
    <row r="58" spans="1:16" ht="26.25" x14ac:dyDescent="0.25">
      <c r="A58" s="15"/>
      <c r="B58" s="59" t="s">
        <v>51</v>
      </c>
      <c r="C58" s="59"/>
      <c r="D58" s="58">
        <v>0.1</v>
      </c>
      <c r="E58" s="60"/>
      <c r="F58" s="30"/>
      <c r="G58" s="30"/>
      <c r="H58" s="15"/>
      <c r="I58" s="204"/>
      <c r="J58" s="204"/>
      <c r="K58" s="204"/>
      <c r="L58" s="15"/>
      <c r="M58" s="15"/>
      <c r="N58" s="15"/>
      <c r="O58" s="15"/>
    </row>
    <row r="59" spans="1:16" x14ac:dyDescent="0.25">
      <c r="A59" s="15"/>
      <c r="B59" s="15"/>
      <c r="C59" s="15"/>
      <c r="D59" s="15"/>
      <c r="E59" s="15"/>
      <c r="F59" s="15"/>
      <c r="G59" s="15"/>
      <c r="H59" s="15"/>
      <c r="I59" s="204"/>
      <c r="J59" s="204"/>
      <c r="K59" s="204"/>
      <c r="L59" s="15"/>
      <c r="M59" s="15"/>
      <c r="N59" s="15"/>
      <c r="O59" s="15"/>
    </row>
    <row r="60" spans="1:16" ht="18.75" customHeight="1" x14ac:dyDescent="0.3">
      <c r="B60" s="189" t="s">
        <v>52</v>
      </c>
      <c r="C60" s="189"/>
      <c r="D60" s="189"/>
      <c r="E60" s="189"/>
      <c r="F60" s="61"/>
      <c r="G60" s="61"/>
      <c r="H60" s="62"/>
      <c r="I60" s="62"/>
      <c r="J60" s="62"/>
      <c r="K60" s="62"/>
      <c r="L60" s="62"/>
      <c r="M60" s="62"/>
      <c r="N60" s="62"/>
      <c r="O60" s="62"/>
    </row>
    <row r="61" spans="1:16" ht="15" customHeight="1" x14ac:dyDescent="0.25">
      <c r="B61" s="190" t="s">
        <v>52</v>
      </c>
      <c r="C61" s="63"/>
      <c r="D61" s="64">
        <f t="shared" ref="D61:M62" si="7">G5</f>
        <v>200</v>
      </c>
      <c r="E61" s="64">
        <f t="shared" si="7"/>
        <v>201</v>
      </c>
      <c r="F61" s="64">
        <f t="shared" si="7"/>
        <v>202</v>
      </c>
      <c r="G61" s="64">
        <f t="shared" si="7"/>
        <v>203</v>
      </c>
      <c r="H61" s="64">
        <f t="shared" si="7"/>
        <v>204</v>
      </c>
      <c r="I61" s="64">
        <f t="shared" si="7"/>
        <v>205</v>
      </c>
      <c r="J61" s="64">
        <f t="shared" si="7"/>
        <v>206</v>
      </c>
      <c r="K61" s="64">
        <f t="shared" si="7"/>
        <v>207</v>
      </c>
      <c r="L61" s="64">
        <f t="shared" si="7"/>
        <v>208</v>
      </c>
      <c r="M61" s="64">
        <f t="shared" si="7"/>
        <v>209</v>
      </c>
      <c r="N61" s="192" t="s">
        <v>53</v>
      </c>
      <c r="O61" s="62"/>
    </row>
    <row r="62" spans="1:16" ht="27.75" customHeight="1" x14ac:dyDescent="0.25">
      <c r="B62" s="191"/>
      <c r="C62" s="63"/>
      <c r="D62" s="64" t="str">
        <f t="shared" si="7"/>
        <v>Самоненко С. Г</v>
      </c>
      <c r="E62" s="64" t="str">
        <f t="shared" si="7"/>
        <v>Авдошина В. В</v>
      </c>
      <c r="F62" s="64" t="str">
        <f t="shared" si="7"/>
        <v>Бакирова А. П</v>
      </c>
      <c r="G62" s="64" t="str">
        <f t="shared" si="7"/>
        <v>Шкап Е. В</v>
      </c>
      <c r="H62" s="64" t="str">
        <f t="shared" si="7"/>
        <v>Неваляшка М. П</v>
      </c>
      <c r="I62" s="64" t="str">
        <f t="shared" si="7"/>
        <v>Антонов С. Ю</v>
      </c>
      <c r="J62" s="64" t="str">
        <f t="shared" si="7"/>
        <v>Евген П. Л</v>
      </c>
      <c r="K62" s="64" t="str">
        <f t="shared" si="7"/>
        <v>Павлов П. П</v>
      </c>
      <c r="L62" s="64" t="str">
        <f t="shared" si="7"/>
        <v>Иванова С. Д</v>
      </c>
      <c r="M62" s="64" t="str">
        <f t="shared" si="7"/>
        <v>Петров В. К</v>
      </c>
      <c r="N62" s="193"/>
      <c r="O62" s="153"/>
      <c r="P62" s="66"/>
    </row>
    <row r="63" spans="1:16" x14ac:dyDescent="0.25">
      <c r="B63" s="78" t="s">
        <v>54</v>
      </c>
      <c r="C63" s="78"/>
      <c r="D63" s="46">
        <v>10</v>
      </c>
      <c r="E63" s="46">
        <v>17</v>
      </c>
      <c r="F63" s="46">
        <v>12</v>
      </c>
      <c r="G63" s="46">
        <v>12</v>
      </c>
      <c r="H63" s="46">
        <v>17</v>
      </c>
      <c r="I63" s="67">
        <v>14</v>
      </c>
      <c r="J63" s="67">
        <v>17</v>
      </c>
      <c r="K63" s="67">
        <v>17</v>
      </c>
      <c r="L63" s="67">
        <v>7</v>
      </c>
      <c r="M63" s="67">
        <v>17</v>
      </c>
      <c r="N63" s="68">
        <f>SUM(D63:M63)</f>
        <v>140</v>
      </c>
      <c r="O63" s="69"/>
      <c r="P63" s="69"/>
    </row>
    <row r="64" spans="1:16" x14ac:dyDescent="0.25">
      <c r="B64" s="79" t="s">
        <v>60</v>
      </c>
      <c r="C64" s="79"/>
      <c r="D64" s="68">
        <f t="shared" ref="D64:M64" si="8">SUM(D63:D63)</f>
        <v>10</v>
      </c>
      <c r="E64" s="68">
        <f t="shared" si="8"/>
        <v>17</v>
      </c>
      <c r="F64" s="68">
        <f t="shared" si="8"/>
        <v>12</v>
      </c>
      <c r="G64" s="68">
        <f t="shared" si="8"/>
        <v>12</v>
      </c>
      <c r="H64" s="68">
        <f t="shared" si="8"/>
        <v>17</v>
      </c>
      <c r="I64" s="68">
        <f t="shared" si="8"/>
        <v>14</v>
      </c>
      <c r="J64" s="68">
        <f t="shared" si="8"/>
        <v>17</v>
      </c>
      <c r="K64" s="68">
        <f t="shared" si="8"/>
        <v>17</v>
      </c>
      <c r="L64" s="68">
        <f t="shared" si="8"/>
        <v>7</v>
      </c>
      <c r="M64" s="68">
        <f t="shared" si="8"/>
        <v>17</v>
      </c>
      <c r="N64" s="68">
        <f>SUM(D64:M64)</f>
        <v>140</v>
      </c>
      <c r="O64" s="69"/>
      <c r="P64" s="69"/>
    </row>
    <row r="65" spans="3:15" x14ac:dyDescent="0.25">
      <c r="N65" s="69"/>
      <c r="O65" s="69"/>
    </row>
    <row r="66" spans="3:15" x14ac:dyDescent="0.25">
      <c r="N66" s="69"/>
      <c r="O66" s="69"/>
    </row>
    <row r="67" spans="3:15" x14ac:dyDescent="0.25">
      <c r="N67" s="69"/>
      <c r="O67" s="69"/>
    </row>
    <row r="68" spans="3:15" x14ac:dyDescent="0.25">
      <c r="N68" s="69"/>
      <c r="O68" s="69"/>
    </row>
    <row r="70" spans="3:15" x14ac:dyDescent="0.25">
      <c r="C70" s="96"/>
      <c r="F70" s="114" t="s">
        <v>24</v>
      </c>
      <c r="G70" s="114" t="s">
        <v>82</v>
      </c>
      <c r="H70" s="114" t="s">
        <v>83</v>
      </c>
      <c r="I70" s="114" t="s">
        <v>84</v>
      </c>
    </row>
    <row r="71" spans="3:15" x14ac:dyDescent="0.25">
      <c r="F71" s="108" t="s">
        <v>72</v>
      </c>
      <c r="G71" s="108">
        <v>1800000</v>
      </c>
      <c r="H71" s="108">
        <v>249</v>
      </c>
      <c r="I71" s="108">
        <v>975000</v>
      </c>
    </row>
    <row r="72" spans="3:15" x14ac:dyDescent="0.25">
      <c r="F72" s="108" t="s">
        <v>73</v>
      </c>
      <c r="G72" s="108">
        <v>1350000</v>
      </c>
      <c r="H72" s="108">
        <v>249</v>
      </c>
      <c r="I72" s="108">
        <v>975000</v>
      </c>
    </row>
    <row r="73" spans="3:15" x14ac:dyDescent="0.25">
      <c r="F73" s="108" t="s">
        <v>74</v>
      </c>
      <c r="G73" s="108">
        <v>990000</v>
      </c>
      <c r="H73" s="108">
        <v>249</v>
      </c>
      <c r="I73" s="108">
        <v>975000</v>
      </c>
    </row>
    <row r="74" spans="3:15" x14ac:dyDescent="0.25">
      <c r="F74" s="108" t="s">
        <v>75</v>
      </c>
      <c r="G74" s="108">
        <v>900000</v>
      </c>
      <c r="H74" s="108">
        <v>249</v>
      </c>
      <c r="I74" s="108">
        <v>975000</v>
      </c>
    </row>
    <row r="75" spans="3:15" x14ac:dyDescent="0.25">
      <c r="F75" s="108" t="s">
        <v>76</v>
      </c>
      <c r="G75" s="108">
        <v>702000</v>
      </c>
      <c r="H75" s="108">
        <v>249</v>
      </c>
      <c r="I75" s="108">
        <v>975000</v>
      </c>
    </row>
    <row r="76" spans="3:15" x14ac:dyDescent="0.25">
      <c r="F76" s="108" t="s">
        <v>77</v>
      </c>
      <c r="G76" s="108">
        <v>360000</v>
      </c>
      <c r="H76" s="108">
        <v>249</v>
      </c>
      <c r="I76" s="108">
        <v>720000</v>
      </c>
    </row>
    <row r="77" spans="3:15" x14ac:dyDescent="0.25">
      <c r="F77" s="108" t="s">
        <v>78</v>
      </c>
      <c r="G77" s="108">
        <v>378000</v>
      </c>
      <c r="H77" s="108">
        <v>249</v>
      </c>
      <c r="I77" s="108">
        <v>756000</v>
      </c>
    </row>
    <row r="78" spans="3:15" x14ac:dyDescent="0.25">
      <c r="F78" s="108" t="s">
        <v>79</v>
      </c>
      <c r="G78" s="108">
        <v>342000</v>
      </c>
      <c r="H78" s="108">
        <v>249</v>
      </c>
      <c r="I78" s="108">
        <v>684000</v>
      </c>
    </row>
    <row r="79" spans="3:15" x14ac:dyDescent="0.25">
      <c r="F79" s="108" t="s">
        <v>80</v>
      </c>
      <c r="G79" s="108">
        <v>270000</v>
      </c>
      <c r="H79" s="108">
        <v>249</v>
      </c>
      <c r="I79" s="108">
        <v>540000</v>
      </c>
    </row>
    <row r="80" spans="3:15" x14ac:dyDescent="0.25">
      <c r="F80" s="108" t="s">
        <v>81</v>
      </c>
      <c r="G80" s="108">
        <v>216000</v>
      </c>
      <c r="H80" s="108">
        <v>249</v>
      </c>
      <c r="I80" s="108">
        <v>432000</v>
      </c>
    </row>
  </sheetData>
  <mergeCells count="29">
    <mergeCell ref="A1:B1"/>
    <mergeCell ref="D1:E1"/>
    <mergeCell ref="H1:I1"/>
    <mergeCell ref="D2:E2"/>
    <mergeCell ref="A5:D5"/>
    <mergeCell ref="E5:F5"/>
    <mergeCell ref="E32:F32"/>
    <mergeCell ref="E6:F6"/>
    <mergeCell ref="E7:F7"/>
    <mergeCell ref="E8:F8"/>
    <mergeCell ref="E10:J10"/>
    <mergeCell ref="E11:F11"/>
    <mergeCell ref="E13:F13"/>
    <mergeCell ref="E15:F15"/>
    <mergeCell ref="A18:D18"/>
    <mergeCell ref="E30:J30"/>
    <mergeCell ref="A31:C31"/>
    <mergeCell ref="E31:F31"/>
    <mergeCell ref="E33:J33"/>
    <mergeCell ref="E34:F34"/>
    <mergeCell ref="E35:F35"/>
    <mergeCell ref="B37:D37"/>
    <mergeCell ref="B42:D42"/>
    <mergeCell ref="F42:I42"/>
    <mergeCell ref="B47:D47"/>
    <mergeCell ref="I56:K59"/>
    <mergeCell ref="B60:E60"/>
    <mergeCell ref="B61:B62"/>
    <mergeCell ref="N61:N62"/>
  </mergeCells>
  <dataValidations count="5">
    <dataValidation type="list" allowBlank="1" showInputMessage="1" showErrorMessage="1" error="Не может быть более 2-х" sqref="G7:P7">
      <formula1>"1,2"</formula1>
    </dataValidation>
    <dataValidation allowBlank="1" showInputMessage="1" showErrorMessage="1" prompt="Поле для ввода отчетного периода (год)" sqref="H1"/>
    <dataValidation allowBlank="1" showInputMessage="1" showErrorMessage="1" prompt="Поле для ввода Наименования организации" sqref="D1:E1"/>
    <dataValidation type="list" errorStyle="warning" allowBlank="1" showInputMessage="1" showErrorMessage="1" error="Введенный табельный номер не соответствует Списку сотрудников организации" prompt="Введите табельный номер из всплывающего списка, согласно Списка сотрудников организации" sqref="G5:P5">
      <formula1>Таб_номер</formula1>
    </dataValidation>
    <dataValidation type="custom" allowBlank="1" showInputMessage="1" showErrorMessage="1" sqref="G6:P6">
      <formula1>INDIRECT($B7)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18"/>
  <sheetViews>
    <sheetView topLeftCell="K1" workbookViewId="0">
      <selection activeCell="F21" sqref="F21"/>
    </sheetView>
  </sheetViews>
  <sheetFormatPr defaultRowHeight="15" x14ac:dyDescent="0.25"/>
  <cols>
    <col min="1" max="1" width="9.7109375" customWidth="1"/>
    <col min="2" max="2" width="21" customWidth="1"/>
    <col min="3" max="3" width="9.7109375" customWidth="1"/>
    <col min="4" max="4" width="11.42578125" customWidth="1"/>
    <col min="5" max="5" width="11.85546875" customWidth="1"/>
    <col min="6" max="6" width="15.140625" customWidth="1"/>
    <col min="7" max="7" width="16.28515625" customWidth="1"/>
    <col min="8" max="12" width="12.7109375" customWidth="1"/>
    <col min="13" max="13" width="16.42578125" customWidth="1"/>
    <col min="14" max="27" width="12.7109375" customWidth="1"/>
    <col min="28" max="28" width="15" customWidth="1"/>
    <col min="29" max="38" width="12.7109375" customWidth="1"/>
  </cols>
  <sheetData>
    <row r="1" spans="1:35" x14ac:dyDescent="0.25">
      <c r="A1" s="217" t="s">
        <v>90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146"/>
      <c r="AE1" s="146"/>
      <c r="AF1" s="146"/>
      <c r="AG1" s="146"/>
      <c r="AH1" s="145"/>
      <c r="AI1" s="121"/>
    </row>
    <row r="3" spans="1:35" ht="76.5" x14ac:dyDescent="0.25">
      <c r="A3" s="99" t="s">
        <v>85</v>
      </c>
      <c r="B3" s="100" t="s">
        <v>120</v>
      </c>
      <c r="C3" s="101" t="s">
        <v>3</v>
      </c>
      <c r="D3" s="101" t="s">
        <v>4</v>
      </c>
      <c r="E3" s="102" t="s">
        <v>71</v>
      </c>
      <c r="F3" s="101" t="s">
        <v>65</v>
      </c>
      <c r="G3" s="101" t="s">
        <v>66</v>
      </c>
      <c r="H3" s="101" t="s">
        <v>5</v>
      </c>
      <c r="I3" s="102" t="s">
        <v>6</v>
      </c>
      <c r="J3" s="102" t="s">
        <v>68</v>
      </c>
      <c r="K3" s="102" t="s">
        <v>15</v>
      </c>
      <c r="L3" s="102" t="s">
        <v>0</v>
      </c>
      <c r="M3" s="101" t="s">
        <v>7</v>
      </c>
      <c r="N3" s="98" t="s">
        <v>133</v>
      </c>
      <c r="O3" s="103" t="s">
        <v>87</v>
      </c>
      <c r="P3" s="102" t="s">
        <v>8</v>
      </c>
      <c r="Q3" s="98" t="s">
        <v>1</v>
      </c>
      <c r="R3" s="98" t="s">
        <v>9</v>
      </c>
      <c r="S3" s="102" t="s">
        <v>141</v>
      </c>
      <c r="T3" s="102" t="s">
        <v>149</v>
      </c>
      <c r="U3" s="102" t="s">
        <v>151</v>
      </c>
      <c r="V3" s="102" t="s">
        <v>152</v>
      </c>
      <c r="W3" s="102" t="s">
        <v>150</v>
      </c>
      <c r="X3" s="104" t="s">
        <v>13</v>
      </c>
      <c r="Y3" s="102" t="s">
        <v>14</v>
      </c>
      <c r="Z3" s="102" t="s">
        <v>70</v>
      </c>
      <c r="AA3" s="98" t="s">
        <v>0</v>
      </c>
      <c r="AB3" s="98" t="s">
        <v>1</v>
      </c>
      <c r="AC3" s="98" t="s">
        <v>2</v>
      </c>
      <c r="AD3" s="105"/>
    </row>
    <row r="4" spans="1:35" x14ac:dyDescent="0.25">
      <c r="A4" s="97">
        <v>17</v>
      </c>
      <c r="B4" s="94" t="str">
        <f>CONCATENATE(Справочник!G5,"-",Справочник!G6)</f>
        <v>200-Самоненко С. Г</v>
      </c>
      <c r="C4" s="2">
        <f>IF(D4&gt;=1,Справочник!G15 )</f>
        <v>100000</v>
      </c>
      <c r="D4" s="3">
        <f>Справочник!D63</f>
        <v>10</v>
      </c>
      <c r="E4" s="7">
        <f>ROUND(C4/$A$4*D4,2)</f>
        <v>58823.53</v>
      </c>
      <c r="F4" s="2">
        <f>ROUND(Справочник!G17*E4,2)</f>
        <v>11764.71</v>
      </c>
      <c r="G4" s="2">
        <f>ROUND(Справочник!G19*E4,2)</f>
        <v>17647.060000000001</v>
      </c>
      <c r="H4" s="4">
        <f>Справочник!J46</f>
        <v>7</v>
      </c>
      <c r="I4" s="8"/>
      <c r="J4" s="8"/>
      <c r="K4" s="8">
        <f>ROUND(Справочник!G71/Справочник!H71*'Расчеты по оплате труда'!H4,2)</f>
        <v>50602.41</v>
      </c>
      <c r="L4" s="2">
        <f>E4+F4+G4+I4+J4+K4</f>
        <v>138837.71</v>
      </c>
      <c r="M4" s="2">
        <f>IF(Справочник!B20+Справочник!C20=1,1400,IF(Справочник!B20+Справочник!C20=2,2800,IF(Справочник!B20+Справочник!C20=3,2800+3000)))</f>
        <v>1400</v>
      </c>
      <c r="N4" s="2">
        <f t="shared" ref="N4:N13" si="0">IF((L4-M4)&gt;0,L4-M4,0)</f>
        <v>137437.71</v>
      </c>
      <c r="O4" s="10">
        <f>(L4-R4)*IF(Справочник!D20=1,1/4,IF(Справочник!D20=2,1/3,IF(Справочник!D20&gt;=3,1/2)))</f>
        <v>0</v>
      </c>
      <c r="P4" s="8">
        <f t="shared" ref="P4:P13" si="1">I4</f>
        <v>0</v>
      </c>
      <c r="Q4" s="2">
        <f t="shared" ref="Q4:Q13" si="2">L4-P4</f>
        <v>138837.71</v>
      </c>
      <c r="R4" s="2">
        <f>ROUND(N4*Справочник!D51,0)</f>
        <v>17867</v>
      </c>
      <c r="S4" s="2">
        <f>(L4-(J4+I4))*2.9%</f>
        <v>4026.2935899999993</v>
      </c>
      <c r="T4" s="2">
        <f t="shared" ref="T4:T13" si="3">(L4-(J4+I4))*5.1%</f>
        <v>7080.7232099999992</v>
      </c>
      <c r="U4" s="2">
        <f>IF(Справочник!G13&gt;1967,('Расчеты по оплате труда'!L4-('Расчеты по оплате труда'!I4+'Расчеты по оплате труда'!J4))*16%,('Расчеты по оплате труда'!L4-('Расчеты по оплате труда'!I4+'Расчеты по оплате труда'!J4))*22%)</f>
        <v>30544.296199999997</v>
      </c>
      <c r="V4" s="2">
        <f>IF(Справочник!G13&lt;1967,(('Расчеты по оплате труда'!L4-('Расчеты по оплате труда'!I4+'Расчеты по оплате труда'!J4))*0%),(('Расчеты по оплате труда'!L4-('Расчеты по оплате труда'!I4+'Расчеты по оплате труда'!J4))*6%))</f>
        <v>0</v>
      </c>
      <c r="W4" s="2">
        <f>(L4-(J4+I4))*2.8%</f>
        <v>3887.4558799999995</v>
      </c>
      <c r="X4" s="2">
        <f>L4-R4-O4</f>
        <v>120970.70999999999</v>
      </c>
      <c r="Y4" s="11">
        <f>IF(D4&gt;=1,Справочник!G32,0)</f>
        <v>40000</v>
      </c>
      <c r="Z4" s="2">
        <f t="shared" ref="Z4:Z13" si="4">X4-Y4</f>
        <v>80970.709999999992</v>
      </c>
      <c r="AA4" s="2">
        <f t="shared" ref="AA4:AA14" si="5">L4</f>
        <v>138837.71</v>
      </c>
      <c r="AB4" s="2">
        <f t="shared" ref="AB4:AB14" si="6">Q4</f>
        <v>138837.71</v>
      </c>
      <c r="AC4" s="2">
        <f t="shared" ref="AC4:AC14" si="7">R4</f>
        <v>17867</v>
      </c>
    </row>
    <row r="5" spans="1:35" x14ac:dyDescent="0.25">
      <c r="A5" s="97">
        <v>17</v>
      </c>
      <c r="B5" s="94" t="str">
        <f>CONCATENATE(Справочник!H5,"-",Справочник!H6)</f>
        <v>201-Авдошина В. В</v>
      </c>
      <c r="C5" s="2">
        <f>IF(D5&gt;=1,Справочник!H15 )</f>
        <v>75000</v>
      </c>
      <c r="D5" s="3">
        <f>Справочник!E63</f>
        <v>17</v>
      </c>
      <c r="E5" s="7">
        <f t="shared" ref="E5:E13" si="8">ROUND(C5/$A$4*D5,2)</f>
        <v>75000</v>
      </c>
      <c r="F5" s="2">
        <f>ROUND(Справочник!H17*E5,2)</f>
        <v>15000</v>
      </c>
      <c r="G5" s="2">
        <f>ROUND(Справочник!H19*E5,2)</f>
        <v>22500</v>
      </c>
      <c r="H5" s="4"/>
      <c r="I5" s="8"/>
      <c r="J5" s="8">
        <f>ROUND(Справочник!G72/29.4/12*Справочник!M47,2)</f>
        <v>30612.240000000002</v>
      </c>
      <c r="K5" s="8"/>
      <c r="L5" s="2">
        <f t="shared" ref="L5:L13" si="9">E5+F5+G5+I5+J5+K5</f>
        <v>143112.24</v>
      </c>
      <c r="M5" s="2">
        <f>IF(Справочник!B21+Справочник!C21=1,1400,IF(Справочник!B21+Справочник!C21=2,2800,IF(Справочник!B21+Справочник!C21=3,2800+3000)))</f>
        <v>2800</v>
      </c>
      <c r="N5" s="2">
        <f t="shared" si="0"/>
        <v>140312.24</v>
      </c>
      <c r="O5" s="10">
        <f>(L5-R5)*IF(Справочник!D21=1,1/4,IF(Справочник!D21=2,1/3,IF(Справочник!D21&gt;=3,1/2)))</f>
        <v>0</v>
      </c>
      <c r="P5" s="8">
        <f t="shared" si="1"/>
        <v>0</v>
      </c>
      <c r="Q5" s="2">
        <f t="shared" si="2"/>
        <v>143112.24</v>
      </c>
      <c r="R5" s="2">
        <f>ROUND(N5*Справочник!D51,0)</f>
        <v>18241</v>
      </c>
      <c r="S5" s="2">
        <f t="shared" ref="S5:S13" si="10">(L5-(J5+I5))*2.9%</f>
        <v>3262.4999999999995</v>
      </c>
      <c r="T5" s="2">
        <f t="shared" si="3"/>
        <v>5737.4999999999991</v>
      </c>
      <c r="U5" s="2">
        <f>IF(Справочник!G14&gt;1967,('Расчеты по оплате труда'!L5-('Расчеты по оплате труда'!I5+'Расчеты по оплате труда'!J5))*16%,('Расчеты по оплате труда'!L5-('Расчеты по оплате труда'!I5+'Расчеты по оплате труда'!J5))*22%)</f>
        <v>24749.999999999996</v>
      </c>
      <c r="V5" s="2">
        <f>IF(Справочник!H13&lt;1967,(('Расчеты по оплате труда'!L5-('Расчеты по оплате труда'!I5+'Расчеты по оплате труда'!J5))*0%),(('Расчеты по оплате труда'!L5-('Расчеты по оплате труда'!I5+'Расчеты по оплате труда'!J5))*6%))</f>
        <v>6749.9999999999991</v>
      </c>
      <c r="W5" s="2">
        <f t="shared" ref="W5:W13" si="11">(L5-(J5+I5))*2.8%</f>
        <v>3149.9999999999991</v>
      </c>
      <c r="X5" s="2">
        <f t="shared" ref="X5:X13" si="12">L5-R5</f>
        <v>124871.23999999999</v>
      </c>
      <c r="Y5" s="11">
        <f>IF(D5&gt;=1,Справочник!H32,0)</f>
        <v>30000</v>
      </c>
      <c r="Z5" s="2">
        <f t="shared" si="4"/>
        <v>94871.239999999991</v>
      </c>
      <c r="AA5" s="2">
        <f t="shared" si="5"/>
        <v>143112.24</v>
      </c>
      <c r="AB5" s="2">
        <f t="shared" si="6"/>
        <v>143112.24</v>
      </c>
      <c r="AC5" s="2">
        <f t="shared" si="7"/>
        <v>18241</v>
      </c>
    </row>
    <row r="6" spans="1:35" x14ac:dyDescent="0.25">
      <c r="A6" s="97">
        <v>17</v>
      </c>
      <c r="B6" s="94" t="str">
        <f>CONCATENATE(Справочник!I5,"-",Справочник!I6)</f>
        <v>202-Бакирова А. П</v>
      </c>
      <c r="C6" s="2">
        <f>IF(D6&gt;=1,Справочник!I15 )</f>
        <v>55000</v>
      </c>
      <c r="D6" s="3">
        <f>Справочник!F63</f>
        <v>12</v>
      </c>
      <c r="E6" s="7">
        <f t="shared" si="8"/>
        <v>38823.53</v>
      </c>
      <c r="F6" s="2">
        <f>ROUND(Справочник!I17*E6,2)</f>
        <v>7764.71</v>
      </c>
      <c r="G6" s="2">
        <f>ROUND(Справочник!I19*E6,2)</f>
        <v>11647.06</v>
      </c>
      <c r="H6" s="5"/>
      <c r="I6" s="8">
        <f>ROUND(Справочник!I73/730*Справочник!C9*Справочник!K48,2)</f>
        <v>3205.48</v>
      </c>
      <c r="J6" s="8"/>
      <c r="K6" s="8"/>
      <c r="L6" s="2">
        <f t="shared" si="9"/>
        <v>61440.78</v>
      </c>
      <c r="M6" s="2"/>
      <c r="N6" s="2">
        <f t="shared" si="0"/>
        <v>61440.78</v>
      </c>
      <c r="O6" s="10">
        <f>(L6-R6)*IF(Справочник!D22=1,1/4,IF(Справочник!D22=2,1/3,IF(Справочник!D22&gt;=3,1/2)))</f>
        <v>0</v>
      </c>
      <c r="P6" s="8">
        <f t="shared" si="1"/>
        <v>3205.48</v>
      </c>
      <c r="Q6" s="2">
        <f t="shared" si="2"/>
        <v>58235.299999999996</v>
      </c>
      <c r="R6" s="2">
        <f>ROUND((+N6)*Справочник!D51,0)</f>
        <v>7987</v>
      </c>
      <c r="S6" s="2">
        <f t="shared" si="10"/>
        <v>1688.8236999999997</v>
      </c>
      <c r="T6" s="2">
        <f t="shared" si="3"/>
        <v>2970.0002999999997</v>
      </c>
      <c r="U6" s="2">
        <f>IF(Справочник!G15&gt;1967,('Расчеты по оплате труда'!L6-('Расчеты по оплате труда'!I6+'Расчеты по оплате труда'!J6))*16%,('Расчеты по оплате труда'!L6-('Расчеты по оплате труда'!I6+'Расчеты по оплате труда'!J6))*22%)</f>
        <v>9317.6479999999992</v>
      </c>
      <c r="V6" s="2">
        <f>IF(Справочник!I13&lt;1967,(('Расчеты по оплате труда'!L6-('Расчеты по оплате труда'!I6+'Расчеты по оплате труда'!J6))*0%),(('Расчеты по оплате труда'!L6-('Расчеты по оплате труда'!I6+'Расчеты по оплате труда'!J6))*6%))</f>
        <v>3494.1179999999995</v>
      </c>
      <c r="W6" s="2">
        <f t="shared" si="11"/>
        <v>1630.5883999999996</v>
      </c>
      <c r="X6" s="2">
        <f t="shared" si="12"/>
        <v>53453.78</v>
      </c>
      <c r="Y6" s="11">
        <f>IF(D6&gt;=1,Справочник!I32,0)</f>
        <v>22000</v>
      </c>
      <c r="Z6" s="2">
        <f t="shared" si="4"/>
        <v>31453.78</v>
      </c>
      <c r="AA6" s="2">
        <f t="shared" si="5"/>
        <v>61440.78</v>
      </c>
      <c r="AB6" s="2">
        <f t="shared" si="6"/>
        <v>58235.299999999996</v>
      </c>
      <c r="AC6" s="2">
        <f t="shared" si="7"/>
        <v>7987</v>
      </c>
    </row>
    <row r="7" spans="1:35" x14ac:dyDescent="0.25">
      <c r="A7" s="97">
        <v>17</v>
      </c>
      <c r="B7" s="94" t="str">
        <f>CONCATENATE(Справочник!J5,"-",Справочник!J6)</f>
        <v>203-Шкап Е. В</v>
      </c>
      <c r="C7" s="2">
        <f>IF(D7&gt;=1,Справочник!J15 )</f>
        <v>50000</v>
      </c>
      <c r="D7" s="3">
        <f>Справочник!G63</f>
        <v>12</v>
      </c>
      <c r="E7" s="7">
        <f t="shared" si="8"/>
        <v>35294.120000000003</v>
      </c>
      <c r="F7" s="2">
        <f>ROUND(Справочник!J17*E7,2)</f>
        <v>7058.82</v>
      </c>
      <c r="G7" s="2">
        <f>ROUND(Справочник!J19*E7,2)</f>
        <v>10588.24</v>
      </c>
      <c r="H7" s="5">
        <f>Справочник!J49</f>
        <v>5</v>
      </c>
      <c r="I7" s="8"/>
      <c r="J7" s="8"/>
      <c r="K7" s="8">
        <f>ROUND(Справочник!G74/Справочник!H74*'Расчеты по оплате труда'!H7,2)</f>
        <v>18072.29</v>
      </c>
      <c r="L7" s="2">
        <f t="shared" si="9"/>
        <v>71013.47</v>
      </c>
      <c r="M7" s="2">
        <f>IF(Справочник!B23+Справочник!C23=1,1400,IF(Справочник!B23+Справочник!C23=2,2800,IF(Справочник!B23+Справочник!C23=3,2800+3000)))</f>
        <v>5800</v>
      </c>
      <c r="N7" s="2">
        <f t="shared" si="0"/>
        <v>65213.47</v>
      </c>
      <c r="O7" s="10">
        <f>(L7-R7)*IF(Справочник!D23=1,1/4,IF(Справочник!D23=2,1/3,IF(Справочник!D23&gt;=3,1/2)))</f>
        <v>0</v>
      </c>
      <c r="P7" s="8">
        <f t="shared" si="1"/>
        <v>0</v>
      </c>
      <c r="Q7" s="2">
        <f t="shared" si="2"/>
        <v>71013.47</v>
      </c>
      <c r="R7" s="2">
        <f>ROUND((+N7)*Справочник!D51,0)</f>
        <v>8478</v>
      </c>
      <c r="S7" s="2">
        <f t="shared" si="10"/>
        <v>2059.3906299999999</v>
      </c>
      <c r="T7" s="2">
        <f t="shared" si="3"/>
        <v>3621.6869699999997</v>
      </c>
      <c r="U7" s="2">
        <f>IF(Справочник!G16&gt;1967,('Расчеты по оплате труда'!L7-('Расчеты по оплате труда'!I7+'Расчеты по оплате труда'!J7))*16%,('Расчеты по оплате труда'!L7-('Расчеты по оплате труда'!I7+'Расчеты по оплате труда'!J7))*22%)</f>
        <v>15622.963400000001</v>
      </c>
      <c r="V7" s="2">
        <f>IF(Справочник!J13&lt;1967,(('Расчеты по оплате труда'!L7-('Расчеты по оплате труда'!I7+'Расчеты по оплате труда'!J7))*0%),(('Расчеты по оплате труда'!L7-('Расчеты по оплате труда'!I7+'Расчеты по оплате труда'!J7))*6%))</f>
        <v>4260.8081999999995</v>
      </c>
      <c r="W7" s="2">
        <f t="shared" si="11"/>
        <v>1988.3771599999998</v>
      </c>
      <c r="X7" s="2">
        <f t="shared" si="12"/>
        <v>62535.47</v>
      </c>
      <c r="Y7" s="11">
        <f>IF(D7&gt;=1,Справочник!J32,0)</f>
        <v>20000</v>
      </c>
      <c r="Z7" s="2">
        <f t="shared" si="4"/>
        <v>42535.47</v>
      </c>
      <c r="AA7" s="2">
        <f t="shared" si="5"/>
        <v>71013.47</v>
      </c>
      <c r="AB7" s="2">
        <f t="shared" si="6"/>
        <v>71013.47</v>
      </c>
      <c r="AC7" s="2">
        <f t="shared" si="7"/>
        <v>8478</v>
      </c>
    </row>
    <row r="8" spans="1:35" x14ac:dyDescent="0.25">
      <c r="A8" s="97">
        <v>17</v>
      </c>
      <c r="B8" s="94" t="str">
        <f>CONCATENATE(Справочник!K5,"-",Справочник!K6)</f>
        <v>204-Неваляшка М. П</v>
      </c>
      <c r="C8" s="2">
        <f>IF(D8&gt;=1,Справочник!K15 )</f>
        <v>39000</v>
      </c>
      <c r="D8" s="3">
        <f>Справочник!H63</f>
        <v>17</v>
      </c>
      <c r="E8" s="7">
        <f t="shared" si="8"/>
        <v>39000</v>
      </c>
      <c r="F8" s="2">
        <f>ROUND(Справочник!K17*E8,2)</f>
        <v>7800</v>
      </c>
      <c r="G8" s="2">
        <f>ROUND(Справочник!K19*E8,2)</f>
        <v>11700</v>
      </c>
      <c r="H8" s="5"/>
      <c r="I8" s="8"/>
      <c r="J8" s="8"/>
      <c r="K8" s="8"/>
      <c r="L8" s="2">
        <f t="shared" si="9"/>
        <v>58500</v>
      </c>
      <c r="M8" s="2">
        <f>IF(Справочник!B24+Справочник!C24=1,1400,IF(Справочник!B24+Справочник!C24=2,2800,IF(Справочник!B24+Справочник!C24=3,2800+3000)))</f>
        <v>1400</v>
      </c>
      <c r="N8" s="2">
        <f t="shared" si="0"/>
        <v>57100</v>
      </c>
      <c r="O8" s="10">
        <f>(L8-R8)*IF(Справочник!D24=1,1/4,IF(Справочник!D24=2,1/3,IF(Справочник!D24&gt;=3,1/2)))</f>
        <v>0</v>
      </c>
      <c r="P8" s="8">
        <f t="shared" si="1"/>
        <v>0</v>
      </c>
      <c r="Q8" s="2">
        <f t="shared" si="2"/>
        <v>58500</v>
      </c>
      <c r="R8" s="2">
        <f>ROUND((+N8)*Справочник!D51,0)</f>
        <v>7423</v>
      </c>
      <c r="S8" s="2">
        <f t="shared" si="10"/>
        <v>1696.4999999999998</v>
      </c>
      <c r="T8" s="2">
        <f t="shared" si="3"/>
        <v>2983.5</v>
      </c>
      <c r="U8" s="2">
        <f>IF(Справочник!G17&gt;1967,('Расчеты по оплате труда'!L8-('Расчеты по оплате труда'!I8+'Расчеты по оплате труда'!J8))*16%,('Расчеты по оплате труда'!L8-('Расчеты по оплате труда'!I8+'Расчеты по оплате труда'!J8))*22%)</f>
        <v>12870</v>
      </c>
      <c r="V8" s="2">
        <f>IF(Справочник!K13&lt;1967,(('Расчеты по оплате труда'!L8-('Расчеты по оплате труда'!I8+'Расчеты по оплате труда'!J8))*0%),(('Расчеты по оплате труда'!L8-('Расчеты по оплате труда'!I8+'Расчеты по оплате труда'!J8))*6%))</f>
        <v>3510</v>
      </c>
      <c r="W8" s="2">
        <f t="shared" si="11"/>
        <v>1637.9999999999998</v>
      </c>
      <c r="X8" s="2">
        <f t="shared" si="12"/>
        <v>51077</v>
      </c>
      <c r="Y8" s="11">
        <f>IF(D8&gt;=1,Справочник!K32,0)</f>
        <v>15600</v>
      </c>
      <c r="Z8" s="2">
        <f t="shared" si="4"/>
        <v>35477</v>
      </c>
      <c r="AA8" s="2">
        <f t="shared" si="5"/>
        <v>58500</v>
      </c>
      <c r="AB8" s="2">
        <f t="shared" si="6"/>
        <v>58500</v>
      </c>
      <c r="AC8" s="2">
        <f t="shared" si="7"/>
        <v>7423</v>
      </c>
    </row>
    <row r="9" spans="1:35" x14ac:dyDescent="0.25">
      <c r="A9" s="97">
        <v>17</v>
      </c>
      <c r="B9" s="94" t="str">
        <f>CONCATENATE(Справочник!L5,"-",Справочник!L6)</f>
        <v>205-Антонов С. Ю</v>
      </c>
      <c r="C9" s="2">
        <f>IF(D9&gt;=1,Справочник!L15 )</f>
        <v>20000</v>
      </c>
      <c r="D9" s="3">
        <f>Справочник!I63</f>
        <v>14</v>
      </c>
      <c r="E9" s="7">
        <f t="shared" si="8"/>
        <v>16470.59</v>
      </c>
      <c r="F9" s="2">
        <f>ROUND(Справочник!L17*E9,2)</f>
        <v>3294.12</v>
      </c>
      <c r="G9" s="2">
        <f>ROUND(Справочник!L19*E9,2)</f>
        <v>4941.18</v>
      </c>
      <c r="H9" s="5"/>
      <c r="I9" s="8">
        <f>ROUND(Справочник!I76/730*Справочник!C12*Справочник!K51,2)</f>
        <v>2958.9</v>
      </c>
      <c r="J9" s="8"/>
      <c r="K9" s="8"/>
      <c r="L9" s="2">
        <f t="shared" si="9"/>
        <v>27664.79</v>
      </c>
      <c r="M9" s="2">
        <f>IF(Справочник!B25+Справочник!C25=1,1400,IF(Справочник!B25+Справочник!C25=2,2800,IF(Справочник!B25+Справочник!C25=3,2800+3000)))</f>
        <v>1400</v>
      </c>
      <c r="N9" s="2">
        <f t="shared" si="0"/>
        <v>26264.79</v>
      </c>
      <c r="O9" s="10">
        <f>(L9-R9)*IF(Справочник!D25=1,1/4,IF(Справочник!D25=2,1/3,IF(Справочник!D25&gt;=3,1/2)))</f>
        <v>6062.6975000000002</v>
      </c>
      <c r="P9" s="8">
        <f t="shared" si="1"/>
        <v>2958.9</v>
      </c>
      <c r="Q9" s="2">
        <f t="shared" si="2"/>
        <v>24705.89</v>
      </c>
      <c r="R9" s="2">
        <f>ROUND((+N9)*Справочник!D51,0)</f>
        <v>3414</v>
      </c>
      <c r="S9" s="2">
        <f t="shared" si="10"/>
        <v>716.47080999999991</v>
      </c>
      <c r="T9" s="2">
        <f t="shared" si="3"/>
        <v>1260.0003899999999</v>
      </c>
      <c r="U9" s="2">
        <f>IF(Справочник!G18&gt;1967,('Расчеты по оплате труда'!L9-('Расчеты по оплате труда'!I9+'Расчеты по оплате труда'!J9))*16%,('Расчеты по оплате труда'!L9-('Расчеты по оплате труда'!I9+'Расчеты по оплате труда'!J9))*22%)</f>
        <v>5435.2957999999999</v>
      </c>
      <c r="V9" s="2">
        <f>IF(Справочник!L13&lt;1967,(('Расчеты по оплате труда'!L9-('Расчеты по оплате труда'!I9+'Расчеты по оплате труда'!J9))*0%),(('Расчеты по оплате труда'!L9-('Расчеты по оплате труда'!I9+'Расчеты по оплате труда'!J9))*6%))</f>
        <v>1482.3534</v>
      </c>
      <c r="W9" s="2">
        <f t="shared" si="11"/>
        <v>691.76491999999996</v>
      </c>
      <c r="X9" s="2">
        <f t="shared" si="12"/>
        <v>24250.79</v>
      </c>
      <c r="Y9" s="11">
        <f>IF(D9&gt;=1,Справочник!L32,0)</f>
        <v>8000</v>
      </c>
      <c r="Z9" s="2">
        <f t="shared" si="4"/>
        <v>16250.79</v>
      </c>
      <c r="AA9" s="2">
        <f t="shared" si="5"/>
        <v>27664.79</v>
      </c>
      <c r="AB9" s="2">
        <f t="shared" si="6"/>
        <v>24705.89</v>
      </c>
      <c r="AC9" s="2">
        <f t="shared" si="7"/>
        <v>3414</v>
      </c>
    </row>
    <row r="10" spans="1:35" x14ac:dyDescent="0.25">
      <c r="A10" s="97">
        <v>17</v>
      </c>
      <c r="B10" s="94" t="str">
        <f>CONCATENATE(Справочник!M5,"-",Справочник!M6)</f>
        <v>206-Евген П. Л</v>
      </c>
      <c r="C10" s="2">
        <f>IF(D10&gt;=1,Справочник!M15 )</f>
        <v>21000</v>
      </c>
      <c r="D10" s="3">
        <f>Справочник!J63</f>
        <v>17</v>
      </c>
      <c r="E10" s="7">
        <f t="shared" si="8"/>
        <v>21000</v>
      </c>
      <c r="F10" s="2">
        <f>ROUND(Справочник!M17*E10,2)</f>
        <v>4200</v>
      </c>
      <c r="G10" s="2">
        <f>ROUND(Справочник!M19*E10,2)</f>
        <v>6300</v>
      </c>
      <c r="H10" s="5"/>
      <c r="I10" s="8"/>
      <c r="J10" s="8">
        <f>ROUND(Справочник!G77/29.4/12*Справочник!M52,2)</f>
        <v>10714.29</v>
      </c>
      <c r="K10" s="8"/>
      <c r="L10" s="2">
        <f t="shared" si="9"/>
        <v>42214.29</v>
      </c>
      <c r="M10" s="2">
        <f>IF(Справочник!B26+Справочник!C26=1,1400,IF(Справочник!B26+Справочник!C26=2,2800,IF(Справочник!B26+Справочник!C26=3,2800+3000)))</f>
        <v>2800</v>
      </c>
      <c r="N10" s="2">
        <f t="shared" si="0"/>
        <v>39414.29</v>
      </c>
      <c r="O10" s="10">
        <f>(L10-R10)*IF(Справочник!D26=1,1/4,IF(Справочник!D26=2,1/3,IF(Справочник!D26&gt;=3,1/2)))</f>
        <v>12363.43</v>
      </c>
      <c r="P10" s="8">
        <f t="shared" si="1"/>
        <v>0</v>
      </c>
      <c r="Q10" s="2">
        <f t="shared" si="2"/>
        <v>42214.29</v>
      </c>
      <c r="R10" s="2">
        <f>ROUND((+N10)*Справочник!D51,0)</f>
        <v>5124</v>
      </c>
      <c r="S10" s="2">
        <f t="shared" si="10"/>
        <v>913.49999999999989</v>
      </c>
      <c r="T10" s="2">
        <f t="shared" si="3"/>
        <v>1606.5</v>
      </c>
      <c r="U10" s="2">
        <f>IF(Справочник!G19&gt;1967,('Расчеты по оплате труда'!L10-('Расчеты по оплате труда'!I10+'Расчеты по оплате труда'!J10))*16%,('Расчеты по оплате труда'!L10-('Расчеты по оплате труда'!I10+'Расчеты по оплате труда'!J10))*22%)</f>
        <v>6930</v>
      </c>
      <c r="V10" s="2">
        <f>IF(Справочник!M13&lt;1967,(('Расчеты по оплате труда'!L10-('Расчеты по оплате труда'!I10+'Расчеты по оплате труда'!J10))*0%),(('Расчеты по оплате труда'!L10-('Расчеты по оплате труда'!I10+'Расчеты по оплате труда'!J10))*6%))</f>
        <v>1890</v>
      </c>
      <c r="W10" s="2">
        <f t="shared" si="11"/>
        <v>881.99999999999989</v>
      </c>
      <c r="X10" s="2">
        <f t="shared" si="12"/>
        <v>37090.29</v>
      </c>
      <c r="Y10" s="11">
        <f>IF(D10&gt;=1,Справочник!M32,0)</f>
        <v>8400</v>
      </c>
      <c r="Z10" s="2">
        <f t="shared" si="4"/>
        <v>28690.29</v>
      </c>
      <c r="AA10" s="2">
        <f t="shared" si="5"/>
        <v>42214.29</v>
      </c>
      <c r="AB10" s="2">
        <f t="shared" si="6"/>
        <v>42214.29</v>
      </c>
      <c r="AC10" s="2">
        <f t="shared" si="7"/>
        <v>5124</v>
      </c>
    </row>
    <row r="11" spans="1:35" x14ac:dyDescent="0.25">
      <c r="A11" s="97">
        <v>17</v>
      </c>
      <c r="B11" s="94" t="str">
        <f>CONCATENATE(Справочник!N5,"-",Справочник!N6)</f>
        <v>207-Павлов П. П</v>
      </c>
      <c r="C11" s="2">
        <f>IF(D11&gt;=1,Справочник!N15 )</f>
        <v>19000</v>
      </c>
      <c r="D11" s="3">
        <f>Справочник!K63</f>
        <v>17</v>
      </c>
      <c r="E11" s="7">
        <f t="shared" si="8"/>
        <v>19000</v>
      </c>
      <c r="F11" s="2">
        <f>ROUND(Справочник!N17*E11,2)</f>
        <v>3800</v>
      </c>
      <c r="G11" s="2">
        <f>ROUND(Справочник!N19*E11,2)</f>
        <v>5700</v>
      </c>
      <c r="H11" s="5"/>
      <c r="I11" s="8"/>
      <c r="J11" s="8"/>
      <c r="K11" s="8"/>
      <c r="L11" s="2">
        <f t="shared" si="9"/>
        <v>28500</v>
      </c>
      <c r="M11" s="2"/>
      <c r="N11" s="2">
        <f t="shared" si="0"/>
        <v>28500</v>
      </c>
      <c r="O11" s="10">
        <f>(L11-R11)*IF(Справочник!D27=1,1/4,IF(Справочник!D27=2,1/3,IF(Справочник!D27&gt;=3,1/2)))</f>
        <v>0</v>
      </c>
      <c r="P11" s="8">
        <f t="shared" si="1"/>
        <v>0</v>
      </c>
      <c r="Q11" s="2">
        <f t="shared" si="2"/>
        <v>28500</v>
      </c>
      <c r="R11" s="2">
        <f>ROUND((+N11)*Справочник!D51,0)</f>
        <v>3705</v>
      </c>
      <c r="S11" s="2">
        <f t="shared" si="10"/>
        <v>826.49999999999989</v>
      </c>
      <c r="T11" s="2">
        <f t="shared" si="3"/>
        <v>1453.5</v>
      </c>
      <c r="U11" s="2">
        <f>IF(Справочник!G20&gt;1967,('Расчеты по оплате труда'!L11-('Расчеты по оплате труда'!I11+'Расчеты по оплате труда'!J11))*16%,('Расчеты по оплате труда'!L11-('Расчеты по оплате труда'!I11+'Расчеты по оплате труда'!J11))*22%)</f>
        <v>6270</v>
      </c>
      <c r="V11" s="2">
        <f>IF(Справочник!N13&lt;1967,(('Расчеты по оплате труда'!L11-('Расчеты по оплате труда'!I11+'Расчеты по оплате труда'!J11))*0%),(('Расчеты по оплате труда'!L11-('Расчеты по оплате труда'!I11+'Расчеты по оплате труда'!J11))*6%))</f>
        <v>1710</v>
      </c>
      <c r="W11" s="2">
        <f t="shared" si="11"/>
        <v>797.99999999999989</v>
      </c>
      <c r="X11" s="2">
        <f t="shared" si="12"/>
        <v>24795</v>
      </c>
      <c r="Y11" s="11">
        <f>IF(D11&gt;=1,Справочник!N32,0)</f>
        <v>7600</v>
      </c>
      <c r="Z11" s="2">
        <f t="shared" si="4"/>
        <v>17195</v>
      </c>
      <c r="AA11" s="2">
        <f t="shared" si="5"/>
        <v>28500</v>
      </c>
      <c r="AB11" s="2">
        <f t="shared" si="6"/>
        <v>28500</v>
      </c>
      <c r="AC11" s="2">
        <f t="shared" si="7"/>
        <v>3705</v>
      </c>
    </row>
    <row r="12" spans="1:35" x14ac:dyDescent="0.25">
      <c r="A12" s="97">
        <v>17</v>
      </c>
      <c r="B12" s="94" t="str">
        <f>CONCATENATE(Справочник!O5,"-",Справочник!O6)</f>
        <v>208-Иванова С. Д</v>
      </c>
      <c r="C12" s="2">
        <f>IF(D12&gt;=1,Справочник!O15 )</f>
        <v>15000</v>
      </c>
      <c r="D12" s="3">
        <f>Справочник!L63</f>
        <v>7</v>
      </c>
      <c r="E12" s="7">
        <f t="shared" si="8"/>
        <v>6176.47</v>
      </c>
      <c r="F12" s="2">
        <f>ROUND(Справочник!O17*E12,2)</f>
        <v>1235.29</v>
      </c>
      <c r="G12" s="2">
        <f>ROUND(Справочник!O19*E12,2)</f>
        <v>1852.94</v>
      </c>
      <c r="H12" s="5"/>
      <c r="I12" s="8">
        <f>ROUND(Справочник!I79/730*Справочник!C15*Справочник!K54,2)</f>
        <v>1775.34</v>
      </c>
      <c r="J12" s="8"/>
      <c r="K12" s="8"/>
      <c r="L12" s="2">
        <f t="shared" si="9"/>
        <v>11040.04</v>
      </c>
      <c r="M12" s="2">
        <f>IF(Справочник!B28+Справочник!C28=1,1400,IF(Справочник!B28+Справочник!C28=2,2800,IF(Справочник!B28+Справочник!C28=3,2800+3000)))</f>
        <v>1400</v>
      </c>
      <c r="N12" s="2">
        <f t="shared" si="0"/>
        <v>9640.0400000000009</v>
      </c>
      <c r="O12" s="10">
        <f>(L12-R12)*IF(Справочник!D28=1,1/4,IF(Справочник!D28=2,1/3,IF(Справочник!D28&gt;=3,1/2)))</f>
        <v>0</v>
      </c>
      <c r="P12" s="8">
        <f t="shared" si="1"/>
        <v>1775.34</v>
      </c>
      <c r="Q12" s="2">
        <f t="shared" si="2"/>
        <v>9264.7000000000007</v>
      </c>
      <c r="R12" s="2">
        <f>ROUND((+N12)*Справочник!D51,0)</f>
        <v>1253</v>
      </c>
      <c r="S12" s="2">
        <f t="shared" si="10"/>
        <v>268.67630000000003</v>
      </c>
      <c r="T12" s="2">
        <f t="shared" si="3"/>
        <v>472.49970000000002</v>
      </c>
      <c r="U12" s="2">
        <f>IF(Справочник!G21&gt;1967,('Расчеты по оплате труда'!L12-('Расчеты по оплате труда'!I12+'Расчеты по оплате труда'!J12))*16%,('Расчеты по оплате труда'!L12-('Расчеты по оплате труда'!I12+'Расчеты по оплате труда'!J12))*22%)</f>
        <v>2038.2340000000002</v>
      </c>
      <c r="V12" s="2">
        <f>IF(Справочник!O13&lt;1967,(('Расчеты по оплате труда'!L12-('Расчеты по оплате труда'!I12+'Расчеты по оплате труда'!J12))*0%),(('Расчеты по оплате труда'!L12-('Расчеты по оплате труда'!I12+'Расчеты по оплате труда'!J12))*6%))</f>
        <v>555.88200000000006</v>
      </c>
      <c r="W12" s="2">
        <f t="shared" si="11"/>
        <v>259.41160000000002</v>
      </c>
      <c r="X12" s="2">
        <f t="shared" si="12"/>
        <v>9787.0400000000009</v>
      </c>
      <c r="Y12" s="11">
        <f>IF(D12&gt;=1,Справочник!O32,0)</f>
        <v>6000</v>
      </c>
      <c r="Z12" s="2">
        <f t="shared" si="4"/>
        <v>3787.0400000000009</v>
      </c>
      <c r="AA12" s="2">
        <f t="shared" si="5"/>
        <v>11040.04</v>
      </c>
      <c r="AB12" s="2">
        <f t="shared" si="6"/>
        <v>9264.7000000000007</v>
      </c>
      <c r="AC12" s="2">
        <f t="shared" si="7"/>
        <v>1253</v>
      </c>
    </row>
    <row r="13" spans="1:35" x14ac:dyDescent="0.25">
      <c r="A13" s="97">
        <v>17</v>
      </c>
      <c r="B13" s="94" t="str">
        <f>CONCATENATE(Справочник!P5,"-",Справочник!P6)</f>
        <v>209-Петров В. К</v>
      </c>
      <c r="C13" s="2">
        <f>IF(D13&gt;=1,Справочник!P15 )</f>
        <v>12000</v>
      </c>
      <c r="D13" s="3">
        <f>Справочник!M63</f>
        <v>17</v>
      </c>
      <c r="E13" s="7">
        <f t="shared" si="8"/>
        <v>12000</v>
      </c>
      <c r="F13" s="2">
        <f>ROUND(Справочник!P17*E13,2)</f>
        <v>2400</v>
      </c>
      <c r="G13" s="2">
        <f>ROUND(Справочник!P19*E13,2)</f>
        <v>3600</v>
      </c>
      <c r="H13" s="5"/>
      <c r="I13" s="8"/>
      <c r="J13" s="8"/>
      <c r="K13" s="8"/>
      <c r="L13" s="2">
        <f t="shared" si="9"/>
        <v>18000</v>
      </c>
      <c r="M13" s="2">
        <f>IF(Справочник!B29+Справочник!C29=1,1400,IF(Справочник!B29+Справочник!C29=2,2800,IF(Справочник!B29+Справочник!C29=3,2800+3000)))</f>
        <v>2800</v>
      </c>
      <c r="N13" s="2">
        <f t="shared" si="0"/>
        <v>15200</v>
      </c>
      <c r="O13" s="10">
        <f>(L13-R13)*IF(Справочник!D29=1,1/4,IF(Справочник!D29=2,1/3,IF(Справочник!D29&gt;=3,1/2)))</f>
        <v>0</v>
      </c>
      <c r="P13" s="8">
        <f t="shared" si="1"/>
        <v>0</v>
      </c>
      <c r="Q13" s="2">
        <f t="shared" si="2"/>
        <v>18000</v>
      </c>
      <c r="R13" s="2">
        <f>ROUND((+N13)*Справочник!D51,0)</f>
        <v>1976</v>
      </c>
      <c r="S13" s="2">
        <f t="shared" si="10"/>
        <v>522</v>
      </c>
      <c r="T13" s="2">
        <f t="shared" si="3"/>
        <v>917.99999999999989</v>
      </c>
      <c r="U13" s="2">
        <f>IF(Справочник!G22&gt;1967,('Расчеты по оплате труда'!L13-('Расчеты по оплате труда'!I13+'Расчеты по оплате труда'!J13))*16%,('Расчеты по оплате труда'!L13-('Расчеты по оплате труда'!I13+'Расчеты по оплате труда'!J13))*22%)</f>
        <v>3960</v>
      </c>
      <c r="V13" s="2">
        <f>IF(Справочник!P13&lt;1967,(('Расчеты по оплате труда'!L13-('Расчеты по оплате труда'!I13+'Расчеты по оплате труда'!J13))*0%),(('Расчеты по оплате труда'!L13-('Расчеты по оплате труда'!I13+'Расчеты по оплате труда'!J13))*6%))</f>
        <v>1080</v>
      </c>
      <c r="W13" s="2">
        <f t="shared" si="11"/>
        <v>503.99999999999994</v>
      </c>
      <c r="X13" s="2">
        <f t="shared" si="12"/>
        <v>16024</v>
      </c>
      <c r="Y13" s="11">
        <f>IF(D13&gt;=1,Справочник!P32,0)</f>
        <v>4800</v>
      </c>
      <c r="Z13" s="2">
        <f t="shared" si="4"/>
        <v>11224</v>
      </c>
      <c r="AA13" s="2">
        <f t="shared" si="5"/>
        <v>18000</v>
      </c>
      <c r="AB13" s="2">
        <f t="shared" si="6"/>
        <v>18000</v>
      </c>
      <c r="AC13" s="2">
        <f t="shared" si="7"/>
        <v>1976</v>
      </c>
    </row>
    <row r="14" spans="1:35" x14ac:dyDescent="0.25">
      <c r="A14" s="1"/>
      <c r="B14" s="95" t="s">
        <v>86</v>
      </c>
      <c r="C14" s="2">
        <f>SUM(C4:C13)</f>
        <v>406000</v>
      </c>
      <c r="D14" s="2">
        <f>SUM(D4:D13)</f>
        <v>140</v>
      </c>
      <c r="E14" s="2">
        <f>SUM(E4:E13)</f>
        <v>321588.24</v>
      </c>
      <c r="F14" s="2">
        <f>SUM(F4:F13)</f>
        <v>64317.65</v>
      </c>
      <c r="G14" s="2">
        <f>SUM(G4:G13)</f>
        <v>96476.479999999981</v>
      </c>
      <c r="H14" s="6"/>
      <c r="I14" s="2">
        <f t="shared" ref="I14:N14" si="13">SUM(I4:I13)</f>
        <v>7939.72</v>
      </c>
      <c r="J14" s="2">
        <f t="shared" si="13"/>
        <v>41326.53</v>
      </c>
      <c r="K14" s="2">
        <f t="shared" si="13"/>
        <v>68674.700000000012</v>
      </c>
      <c r="L14" s="2">
        <f>SUM(L4:L13)</f>
        <v>600323.31999999995</v>
      </c>
      <c r="M14" s="2">
        <f>SUM(M4:M13)</f>
        <v>19800</v>
      </c>
      <c r="N14" s="2">
        <f t="shared" si="13"/>
        <v>580523.31999999995</v>
      </c>
      <c r="O14" s="2">
        <f>SUM(O4:O13)</f>
        <v>18426.127500000002</v>
      </c>
      <c r="P14" s="2">
        <f>SUM(P4:P13)</f>
        <v>7939.72</v>
      </c>
      <c r="Q14" s="2">
        <f>SUM(Q4:Q13)</f>
        <v>592383.6</v>
      </c>
      <c r="R14" s="2">
        <f>ROUND((+N14)*Справочник!D51,0)</f>
        <v>75468</v>
      </c>
      <c r="S14" s="2">
        <f>SUM(S4:S13)</f>
        <v>15980.655029999998</v>
      </c>
      <c r="T14" s="2">
        <f t="shared" ref="T14:Z14" si="14">SUM(T4:T13)</f>
        <v>28103.91057</v>
      </c>
      <c r="U14" s="2">
        <f t="shared" si="14"/>
        <v>117738.4374</v>
      </c>
      <c r="V14" s="2">
        <f t="shared" si="14"/>
        <v>24733.161599999999</v>
      </c>
      <c r="W14" s="2">
        <f t="shared" si="14"/>
        <v>15429.597959999997</v>
      </c>
      <c r="X14" s="2">
        <f t="shared" si="14"/>
        <v>524855.31999999983</v>
      </c>
      <c r="Y14" s="2">
        <f t="shared" si="14"/>
        <v>162400</v>
      </c>
      <c r="Z14" s="2">
        <f t="shared" si="14"/>
        <v>362455.31999999989</v>
      </c>
      <c r="AA14" s="2">
        <f t="shared" si="5"/>
        <v>600323.31999999995</v>
      </c>
      <c r="AB14" s="2">
        <f t="shared" si="6"/>
        <v>592383.6</v>
      </c>
      <c r="AC14" s="2">
        <f t="shared" si="7"/>
        <v>75468</v>
      </c>
      <c r="AE14" s="12"/>
    </row>
    <row r="17" spans="11:11" x14ac:dyDescent="0.25">
      <c r="K17" s="158"/>
    </row>
    <row r="18" spans="11:11" x14ac:dyDescent="0.25">
      <c r="K18" s="158"/>
    </row>
  </sheetData>
  <mergeCells count="1">
    <mergeCell ref="A1:AC1"/>
  </mergeCells>
  <printOptions heading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18"/>
  <sheetViews>
    <sheetView topLeftCell="V1" zoomScale="75" zoomScaleNormal="75" workbookViewId="0">
      <selection activeCell="V21" sqref="V21"/>
    </sheetView>
  </sheetViews>
  <sheetFormatPr defaultRowHeight="15" x14ac:dyDescent="0.25"/>
  <cols>
    <col min="1" max="1" width="9.7109375" customWidth="1"/>
    <col min="2" max="2" width="19.5703125" customWidth="1"/>
    <col min="3" max="3" width="14" customWidth="1"/>
    <col min="4" max="4" width="8.140625" customWidth="1"/>
    <col min="5" max="5" width="11.28515625" customWidth="1"/>
    <col min="6" max="7" width="14" customWidth="1"/>
    <col min="8" max="8" width="7.140625" customWidth="1"/>
    <col min="9" max="9" width="27.42578125" customWidth="1"/>
    <col min="10" max="10" width="22.7109375" customWidth="1"/>
    <col min="11" max="11" width="32.140625" customWidth="1"/>
    <col min="12" max="12" width="11.7109375" customWidth="1"/>
    <col min="13" max="13" width="61.85546875" customWidth="1"/>
    <col min="14" max="14" width="12.85546875" customWidth="1"/>
    <col min="15" max="15" width="41.42578125" customWidth="1"/>
    <col min="16" max="16" width="7" customWidth="1"/>
    <col min="17" max="17" width="7.140625" customWidth="1"/>
    <col min="18" max="18" width="15" customWidth="1"/>
    <col min="19" max="20" width="9" customWidth="1"/>
    <col min="21" max="21" width="98.5703125" customWidth="1"/>
    <col min="22" max="22" width="98.85546875" customWidth="1"/>
    <col min="23" max="23" width="9.28515625" customWidth="1"/>
    <col min="24" max="24" width="6.85546875" customWidth="1"/>
    <col min="25" max="25" width="14.140625" customWidth="1"/>
    <col min="26" max="26" width="6.5703125" customWidth="1"/>
    <col min="27" max="27" width="3.85546875" customWidth="1"/>
    <col min="28" max="28" width="5" customWidth="1"/>
    <col min="29" max="29" width="5.42578125" customWidth="1"/>
    <col min="30" max="38" width="12.7109375" customWidth="1"/>
  </cols>
  <sheetData>
    <row r="1" spans="1:35" x14ac:dyDescent="0.25">
      <c r="A1" s="217" t="s">
        <v>90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156"/>
      <c r="AE1" s="156"/>
      <c r="AF1" s="156"/>
      <c r="AG1" s="156"/>
      <c r="AH1" s="155"/>
      <c r="AI1" s="155"/>
    </row>
    <row r="3" spans="1:35" ht="140.25" x14ac:dyDescent="0.25">
      <c r="A3" s="99" t="s">
        <v>85</v>
      </c>
      <c r="B3" s="100" t="s">
        <v>120</v>
      </c>
      <c r="C3" s="101" t="s">
        <v>3</v>
      </c>
      <c r="D3" s="101" t="s">
        <v>4</v>
      </c>
      <c r="E3" s="102" t="s">
        <v>71</v>
      </c>
      <c r="F3" s="101" t="s">
        <v>65</v>
      </c>
      <c r="G3" s="101" t="s">
        <v>66</v>
      </c>
      <c r="H3" s="101" t="s">
        <v>5</v>
      </c>
      <c r="I3" s="102" t="s">
        <v>6</v>
      </c>
      <c r="J3" s="102" t="s">
        <v>68</v>
      </c>
      <c r="K3" s="102" t="s">
        <v>15</v>
      </c>
      <c r="L3" s="102" t="s">
        <v>0</v>
      </c>
      <c r="M3" s="101" t="s">
        <v>7</v>
      </c>
      <c r="N3" s="98" t="s">
        <v>133</v>
      </c>
      <c r="O3" s="103" t="s">
        <v>87</v>
      </c>
      <c r="P3" s="102" t="s">
        <v>8</v>
      </c>
      <c r="Q3" s="98" t="s">
        <v>1</v>
      </c>
      <c r="R3" s="98" t="s">
        <v>9</v>
      </c>
      <c r="S3" s="102" t="s">
        <v>141</v>
      </c>
      <c r="T3" s="102" t="s">
        <v>149</v>
      </c>
      <c r="U3" s="102" t="s">
        <v>151</v>
      </c>
      <c r="V3" s="102" t="s">
        <v>152</v>
      </c>
      <c r="W3" s="102" t="s">
        <v>150</v>
      </c>
      <c r="X3" s="104" t="s">
        <v>13</v>
      </c>
      <c r="Y3" s="102" t="s">
        <v>14</v>
      </c>
      <c r="Z3" s="102" t="s">
        <v>70</v>
      </c>
      <c r="AA3" s="98" t="s">
        <v>0</v>
      </c>
      <c r="AB3" s="98" t="s">
        <v>1</v>
      </c>
      <c r="AC3" s="98" t="s">
        <v>2</v>
      </c>
      <c r="AD3" s="105"/>
    </row>
    <row r="4" spans="1:35" x14ac:dyDescent="0.25">
      <c r="A4" s="97">
        <v>17</v>
      </c>
      <c r="B4" s="94" t="str">
        <f>CONCATENATE(Справочник!G5,"-",Справочник!G6)</f>
        <v>200-Самоненко С. Г</v>
      </c>
      <c r="C4" s="2">
        <f>IF(D4&gt;=1,Справочник!G15 )</f>
        <v>100000</v>
      </c>
      <c r="D4" s="3">
        <f>Справочник!D63</f>
        <v>10</v>
      </c>
      <c r="E4" s="7">
        <f>ROUND(C4/$A$4*D4,2)</f>
        <v>58823.53</v>
      </c>
      <c r="F4" s="2">
        <f>ROUND(Справочник!G17*E4,2)</f>
        <v>11764.71</v>
      </c>
      <c r="G4" s="2">
        <f>ROUND(Справочник!G19*E4,2)</f>
        <v>17647.060000000001</v>
      </c>
      <c r="H4" s="4">
        <f>Справочник!J46</f>
        <v>7</v>
      </c>
      <c r="I4" s="8"/>
      <c r="J4" s="8"/>
      <c r="K4" s="8">
        <f>ROUND(Справочник!G71/Справочник!H71*'Расчеты по оплате труда Ф'!H4,2)</f>
        <v>50602.41</v>
      </c>
      <c r="L4" s="2">
        <f>E4+F4+G4+I4+J4+K4</f>
        <v>138837.71</v>
      </c>
      <c r="M4" s="2">
        <f>IF(Справочник!B20+Справочник!C20=1,1400,IF(Справочник!B20+Справочник!C20=2,2800,IF(Справочник!B20+Справочник!C20=3,2800+3000)))</f>
        <v>1400</v>
      </c>
      <c r="N4" s="2">
        <f t="shared" ref="N4:N13" si="0">IF((L4-M4)&gt;0,L4-M4,0)</f>
        <v>137437.71</v>
      </c>
      <c r="O4" s="10">
        <f>(L4-R4)*IF(Справочник!D20=1,1/4,IF(Справочник!D20=2,1/3,IF(Справочник!D20&gt;=3,1/2)))</f>
        <v>0</v>
      </c>
      <c r="P4" s="8">
        <f t="shared" ref="P4:P13" si="1">I4</f>
        <v>0</v>
      </c>
      <c r="Q4" s="2">
        <f t="shared" ref="Q4:Q13" si="2">L4-P4</f>
        <v>138837.71</v>
      </c>
      <c r="R4" s="2">
        <f>ROUND(N4*Справочник!D51,0)</f>
        <v>17867</v>
      </c>
      <c r="S4" s="2">
        <f>(L4-(J4+I4))*2.9%</f>
        <v>4026.2935899999993</v>
      </c>
      <c r="T4" s="2">
        <f t="shared" ref="T4:T13" si="3">(L4-(J4+I4))*5.1%</f>
        <v>7080.7232099999992</v>
      </c>
      <c r="U4" s="2">
        <f>IF(Справочник!G13&gt;1967,('Расчеты по оплате труда Ф'!L4-('Расчеты по оплате труда Ф'!I4+'Расчеты по оплате труда Ф'!J4))*16%,('Расчеты по оплате труда Ф'!L4-('Расчеты по оплате труда Ф'!I4+'Расчеты по оплате труда Ф'!J4))*22%)</f>
        <v>30544.296199999997</v>
      </c>
      <c r="V4" s="2">
        <f>IF(Справочник!G13&lt;1967,(('Расчеты по оплате труда Ф'!L4-('Расчеты по оплате труда Ф'!I4+'Расчеты по оплате труда Ф'!J4))*0%),(('Расчеты по оплате труда Ф'!L4-('Расчеты по оплате труда Ф'!I4+'Расчеты по оплате труда Ф'!J4))*6%))</f>
        <v>0</v>
      </c>
      <c r="W4" s="2">
        <f>(L4-(J4+I4))*2.8%</f>
        <v>3887.4558799999995</v>
      </c>
      <c r="X4" s="2">
        <f>L4-R4-O4</f>
        <v>120970.70999999999</v>
      </c>
      <c r="Y4" s="11">
        <f>IF(D4&gt;=1,Справочник!G32,0)</f>
        <v>40000</v>
      </c>
      <c r="Z4" s="2">
        <f t="shared" ref="Z4:Z13" si="4">X4-Y4</f>
        <v>80970.709999999992</v>
      </c>
      <c r="AA4" s="2">
        <f t="shared" ref="AA4:AA14" si="5">L4</f>
        <v>138837.71</v>
      </c>
      <c r="AB4" s="2">
        <f t="shared" ref="AB4:AC14" si="6">Q4</f>
        <v>138837.71</v>
      </c>
      <c r="AC4" s="2">
        <f t="shared" si="6"/>
        <v>17867</v>
      </c>
    </row>
    <row r="5" spans="1:35" x14ac:dyDescent="0.25">
      <c r="A5" s="97">
        <v>17</v>
      </c>
      <c r="B5" s="94" t="str">
        <f>CONCATENATE(Справочник!H5,"-",Справочник!H6)</f>
        <v>201-Авдошина В. В</v>
      </c>
      <c r="C5" s="2">
        <f>IF(D5&gt;=1,Справочник!H15 )</f>
        <v>75000</v>
      </c>
      <c r="D5" s="3">
        <f>Справочник!E63</f>
        <v>17</v>
      </c>
      <c r="E5" s="7">
        <f t="shared" ref="E5:E13" si="7">ROUND(C5/$A$4*D5,2)</f>
        <v>75000</v>
      </c>
      <c r="F5" s="2">
        <f>ROUND(Справочник!H17*E5,2)</f>
        <v>15000</v>
      </c>
      <c r="G5" s="2">
        <f>ROUND(Справочник!H19*E5,2)</f>
        <v>22500</v>
      </c>
      <c r="H5" s="4"/>
      <c r="I5" s="8"/>
      <c r="J5" s="8">
        <f>ROUND(Справочник!G72/29.4/12*Справочник!M47,2)</f>
        <v>30612.240000000002</v>
      </c>
      <c r="K5" s="8"/>
      <c r="L5" s="2">
        <f t="shared" ref="L5:L13" si="8">E5+F5+G5+I5+J5+K5</f>
        <v>143112.24</v>
      </c>
      <c r="M5" s="2">
        <f>IF(Справочник!B21+Справочник!C21=1,1400,IF(Справочник!B21+Справочник!C21=2,2800,IF(Справочник!B21+Справочник!C21=3,2800+3000)))</f>
        <v>2800</v>
      </c>
      <c r="N5" s="2">
        <f t="shared" si="0"/>
        <v>140312.24</v>
      </c>
      <c r="O5" s="10">
        <f>(L5-R5)*IF(Справочник!D21=1,1/4,IF(Справочник!D21=2,1/3,IF(Справочник!D21&gt;=3,1/2)))</f>
        <v>0</v>
      </c>
      <c r="P5" s="8">
        <f t="shared" si="1"/>
        <v>0</v>
      </c>
      <c r="Q5" s="2">
        <f t="shared" si="2"/>
        <v>143112.24</v>
      </c>
      <c r="R5" s="2">
        <f>ROUND(N5*Справочник!D51,0)</f>
        <v>18241</v>
      </c>
      <c r="S5" s="2">
        <f t="shared" ref="S5:S13" si="9">(L5-(J5+I5))*2.9%</f>
        <v>3262.4999999999995</v>
      </c>
      <c r="T5" s="2">
        <f t="shared" si="3"/>
        <v>5737.4999999999991</v>
      </c>
      <c r="U5" s="2">
        <f>IF(Справочник!G14&gt;1967,('Расчеты по оплате труда Ф'!L5-('Расчеты по оплате труда Ф'!I5+'Расчеты по оплате труда Ф'!J5))*16%,('Расчеты по оплате труда Ф'!L5-('Расчеты по оплате труда Ф'!I5+'Расчеты по оплате труда Ф'!J5))*22%)</f>
        <v>24749.999999999996</v>
      </c>
      <c r="V5" s="2">
        <f>IF(Справочник!H13&lt;1967,(('Расчеты по оплате труда Ф'!L5-('Расчеты по оплате труда Ф'!I5+'Расчеты по оплате труда Ф'!J5))*0%),(('Расчеты по оплате труда Ф'!L5-('Расчеты по оплате труда Ф'!I5+'Расчеты по оплате труда Ф'!J5))*6%))</f>
        <v>6749.9999999999991</v>
      </c>
      <c r="W5" s="2">
        <f t="shared" ref="W5:W13" si="10">(L5-(J5+I5))*2.8%</f>
        <v>3149.9999999999991</v>
      </c>
      <c r="X5" s="2">
        <f t="shared" ref="X5:X13" si="11">L5-R5</f>
        <v>124871.23999999999</v>
      </c>
      <c r="Y5" s="11">
        <f>IF(D5&gt;=1,Справочник!H32,0)</f>
        <v>30000</v>
      </c>
      <c r="Z5" s="2">
        <f t="shared" si="4"/>
        <v>94871.239999999991</v>
      </c>
      <c r="AA5" s="2">
        <f t="shared" si="5"/>
        <v>143112.24</v>
      </c>
      <c r="AB5" s="2">
        <f t="shared" si="6"/>
        <v>143112.24</v>
      </c>
      <c r="AC5" s="2">
        <f t="shared" si="6"/>
        <v>18241</v>
      </c>
    </row>
    <row r="6" spans="1:35" x14ac:dyDescent="0.25">
      <c r="A6" s="97">
        <v>17</v>
      </c>
      <c r="B6" s="94" t="str">
        <f>CONCATENATE(Справочник!I5,"-",Справочник!I6)</f>
        <v>202-Бакирова А. П</v>
      </c>
      <c r="C6" s="2">
        <f>IF(D6&gt;=1,Справочник!I15 )</f>
        <v>55000</v>
      </c>
      <c r="D6" s="3">
        <f>Справочник!F63</f>
        <v>12</v>
      </c>
      <c r="E6" s="7">
        <f t="shared" si="7"/>
        <v>38823.53</v>
      </c>
      <c r="F6" s="2">
        <f>ROUND(Справочник!I17*E6,2)</f>
        <v>7764.71</v>
      </c>
      <c r="G6" s="2">
        <f>ROUND(Справочник!I19*E6,2)</f>
        <v>11647.06</v>
      </c>
      <c r="H6" s="5"/>
      <c r="I6" s="8">
        <f>ROUND(Справочник!I73/730*Справочник!C9*Справочник!K48,2)</f>
        <v>3205.48</v>
      </c>
      <c r="J6" s="8"/>
      <c r="K6" s="8"/>
      <c r="L6" s="2">
        <f t="shared" si="8"/>
        <v>61440.78</v>
      </c>
      <c r="M6" s="2"/>
      <c r="N6" s="2">
        <f t="shared" si="0"/>
        <v>61440.78</v>
      </c>
      <c r="O6" s="10">
        <f>(L6-R6)*IF(Справочник!D22=1,1/4,IF(Справочник!D22=2,1/3,IF(Справочник!D22&gt;=3,1/2)))</f>
        <v>0</v>
      </c>
      <c r="P6" s="8">
        <f t="shared" si="1"/>
        <v>3205.48</v>
      </c>
      <c r="Q6" s="2">
        <f t="shared" si="2"/>
        <v>58235.299999999996</v>
      </c>
      <c r="R6" s="2">
        <f>ROUND((+N6)*Справочник!D51,0)</f>
        <v>7987</v>
      </c>
      <c r="S6" s="2">
        <f t="shared" si="9"/>
        <v>1688.8236999999997</v>
      </c>
      <c r="T6" s="2">
        <f t="shared" si="3"/>
        <v>2970.0002999999997</v>
      </c>
      <c r="U6" s="2">
        <f>IF(Справочник!G15&gt;1967,('Расчеты по оплате труда Ф'!L6-('Расчеты по оплате труда Ф'!I6+'Расчеты по оплате труда Ф'!J6))*16%,('Расчеты по оплате труда Ф'!L6-('Расчеты по оплате труда Ф'!I6+'Расчеты по оплате труда Ф'!J6))*22%)</f>
        <v>9317.6479999999992</v>
      </c>
      <c r="V6" s="2">
        <f>IF(Справочник!I13&lt;1967,(('Расчеты по оплате труда Ф'!L6-('Расчеты по оплате труда Ф'!I6+'Расчеты по оплате труда Ф'!J6))*0%),(('Расчеты по оплате труда Ф'!L6-('Расчеты по оплате труда Ф'!I6+'Расчеты по оплате труда Ф'!J6))*6%))</f>
        <v>3494.1179999999995</v>
      </c>
      <c r="W6" s="2">
        <f t="shared" si="10"/>
        <v>1630.5883999999996</v>
      </c>
      <c r="X6" s="2">
        <f t="shared" si="11"/>
        <v>53453.78</v>
      </c>
      <c r="Y6" s="11">
        <f>IF(D6&gt;=1,Справочник!I32,0)</f>
        <v>22000</v>
      </c>
      <c r="Z6" s="2">
        <f t="shared" si="4"/>
        <v>31453.78</v>
      </c>
      <c r="AA6" s="2">
        <f t="shared" si="5"/>
        <v>61440.78</v>
      </c>
      <c r="AB6" s="2">
        <f t="shared" si="6"/>
        <v>58235.299999999996</v>
      </c>
      <c r="AC6" s="2">
        <f t="shared" si="6"/>
        <v>7987</v>
      </c>
    </row>
    <row r="7" spans="1:35" x14ac:dyDescent="0.25">
      <c r="A7" s="97">
        <v>17</v>
      </c>
      <c r="B7" s="94" t="str">
        <f>CONCATENATE(Справочник!J5,"-",Справочник!J6)</f>
        <v>203-Шкап Е. В</v>
      </c>
      <c r="C7" s="2">
        <f>IF(D7&gt;=1,Справочник!J15 )</f>
        <v>50000</v>
      </c>
      <c r="D7" s="3">
        <f>Справочник!G63</f>
        <v>12</v>
      </c>
      <c r="E7" s="7">
        <f t="shared" si="7"/>
        <v>35294.120000000003</v>
      </c>
      <c r="F7" s="2">
        <f>ROUND(Справочник!J17*E7,2)</f>
        <v>7058.82</v>
      </c>
      <c r="G7" s="2">
        <f>ROUND(Справочник!J19*E7,2)</f>
        <v>10588.24</v>
      </c>
      <c r="H7" s="5">
        <f>Справочник!J49</f>
        <v>5</v>
      </c>
      <c r="I7" s="8"/>
      <c r="J7" s="8"/>
      <c r="K7" s="8">
        <f>ROUND(Справочник!G74/Справочник!H74*'Расчеты по оплате труда Ф'!H7,2)</f>
        <v>18072.29</v>
      </c>
      <c r="L7" s="2">
        <f t="shared" si="8"/>
        <v>71013.47</v>
      </c>
      <c r="M7" s="2">
        <f>IF(Справочник!B23+Справочник!C23=1,1400,IF(Справочник!B23+Справочник!C23=2,2800,IF(Справочник!B23+Справочник!C23=3,2800+3000)))</f>
        <v>5800</v>
      </c>
      <c r="N7" s="2">
        <f t="shared" si="0"/>
        <v>65213.47</v>
      </c>
      <c r="O7" s="10">
        <f>(L7-R7)*IF(Справочник!D23=1,1/4,IF(Справочник!D23=2,1/3,IF(Справочник!D23&gt;=3,1/2)))</f>
        <v>0</v>
      </c>
      <c r="P7" s="8">
        <f t="shared" si="1"/>
        <v>0</v>
      </c>
      <c r="Q7" s="2">
        <f t="shared" si="2"/>
        <v>71013.47</v>
      </c>
      <c r="R7" s="2">
        <f>ROUND((+N7)*Справочник!D51,0)</f>
        <v>8478</v>
      </c>
      <c r="S7" s="2">
        <f t="shared" si="9"/>
        <v>2059.3906299999999</v>
      </c>
      <c r="T7" s="2">
        <f t="shared" si="3"/>
        <v>3621.6869699999997</v>
      </c>
      <c r="U7" s="2">
        <f>IF(Справочник!G16&gt;1967,('Расчеты по оплате труда Ф'!L7-('Расчеты по оплате труда Ф'!I7+'Расчеты по оплате труда Ф'!J7))*16%,('Расчеты по оплате труда Ф'!L7-('Расчеты по оплате труда Ф'!I7+'Расчеты по оплате труда Ф'!J7))*22%)</f>
        <v>15622.963400000001</v>
      </c>
      <c r="V7" s="2">
        <f>IF(Справочник!J13&lt;1967,(('Расчеты по оплате труда Ф'!L7-('Расчеты по оплате труда Ф'!I7+'Расчеты по оплате труда Ф'!J7))*0%),(('Расчеты по оплате труда Ф'!L7-('Расчеты по оплате труда Ф'!I7+'Расчеты по оплате труда Ф'!J7))*6%))</f>
        <v>4260.8081999999995</v>
      </c>
      <c r="W7" s="2">
        <f t="shared" si="10"/>
        <v>1988.3771599999998</v>
      </c>
      <c r="X7" s="2">
        <f t="shared" si="11"/>
        <v>62535.47</v>
      </c>
      <c r="Y7" s="11">
        <f>IF(D7&gt;=1,Справочник!J32,0)</f>
        <v>20000</v>
      </c>
      <c r="Z7" s="2">
        <f t="shared" si="4"/>
        <v>42535.47</v>
      </c>
      <c r="AA7" s="2">
        <f t="shared" si="5"/>
        <v>71013.47</v>
      </c>
      <c r="AB7" s="2">
        <f t="shared" si="6"/>
        <v>71013.47</v>
      </c>
      <c r="AC7" s="2">
        <f t="shared" si="6"/>
        <v>8478</v>
      </c>
    </row>
    <row r="8" spans="1:35" x14ac:dyDescent="0.25">
      <c r="A8" s="97">
        <v>17</v>
      </c>
      <c r="B8" s="94" t="str">
        <f>CONCATENATE(Справочник!K5,"-",Справочник!K6)</f>
        <v>204-Неваляшка М. П</v>
      </c>
      <c r="C8" s="2">
        <f>IF(D8&gt;=1,Справочник!K15 )</f>
        <v>39000</v>
      </c>
      <c r="D8" s="3">
        <f>Справочник!H63</f>
        <v>17</v>
      </c>
      <c r="E8" s="7">
        <f t="shared" si="7"/>
        <v>39000</v>
      </c>
      <c r="F8" s="2">
        <f>ROUND(Справочник!K17*E8,2)</f>
        <v>7800</v>
      </c>
      <c r="G8" s="2">
        <f>ROUND(Справочник!K19*E8,2)</f>
        <v>11700</v>
      </c>
      <c r="H8" s="5"/>
      <c r="I8" s="8"/>
      <c r="J8" s="8"/>
      <c r="K8" s="8"/>
      <c r="L8" s="2">
        <f t="shared" si="8"/>
        <v>58500</v>
      </c>
      <c r="M8" s="2">
        <f>IF(Справочник!B24+Справочник!C24=1,1400,IF(Справочник!B24+Справочник!C24=2,2800,IF(Справочник!B24+Справочник!C24=3,2800+3000)))</f>
        <v>1400</v>
      </c>
      <c r="N8" s="2">
        <f t="shared" si="0"/>
        <v>57100</v>
      </c>
      <c r="O8" s="10">
        <f>(L8-R8)*IF(Справочник!D24=1,1/4,IF(Справочник!D24=2,1/3,IF(Справочник!D24&gt;=3,1/2)))</f>
        <v>0</v>
      </c>
      <c r="P8" s="8">
        <f t="shared" si="1"/>
        <v>0</v>
      </c>
      <c r="Q8" s="2">
        <f t="shared" si="2"/>
        <v>58500</v>
      </c>
      <c r="R8" s="2">
        <f>ROUND((+N8)*Справочник!D51,0)</f>
        <v>7423</v>
      </c>
      <c r="S8" s="2">
        <f t="shared" si="9"/>
        <v>1696.4999999999998</v>
      </c>
      <c r="T8" s="2">
        <f t="shared" si="3"/>
        <v>2983.5</v>
      </c>
      <c r="U8" s="2">
        <f>IF(Справочник!G17&gt;1967,('Расчеты по оплате труда Ф'!L8-('Расчеты по оплате труда Ф'!I8+'Расчеты по оплате труда Ф'!J8))*16%,('Расчеты по оплате труда Ф'!L8-('Расчеты по оплате труда Ф'!I8+'Расчеты по оплате труда Ф'!J8))*22%)</f>
        <v>12870</v>
      </c>
      <c r="V8" s="2">
        <f>IF(Справочник!K13&lt;1967,(('Расчеты по оплате труда Ф'!L8-('Расчеты по оплате труда Ф'!I8+'Расчеты по оплате труда Ф'!J8))*0%),(('Расчеты по оплате труда Ф'!L8-('Расчеты по оплате труда Ф'!I8+'Расчеты по оплате труда Ф'!J8))*6%))</f>
        <v>3510</v>
      </c>
      <c r="W8" s="2">
        <f t="shared" si="10"/>
        <v>1637.9999999999998</v>
      </c>
      <c r="X8" s="2">
        <f t="shared" si="11"/>
        <v>51077</v>
      </c>
      <c r="Y8" s="11">
        <f>IF(D8&gt;=1,Справочник!K32,0)</f>
        <v>15600</v>
      </c>
      <c r="Z8" s="2">
        <f t="shared" si="4"/>
        <v>35477</v>
      </c>
      <c r="AA8" s="2">
        <f t="shared" si="5"/>
        <v>58500</v>
      </c>
      <c r="AB8" s="2">
        <f t="shared" si="6"/>
        <v>58500</v>
      </c>
      <c r="AC8" s="2">
        <f t="shared" si="6"/>
        <v>7423</v>
      </c>
    </row>
    <row r="9" spans="1:35" x14ac:dyDescent="0.25">
      <c r="A9" s="97">
        <v>17</v>
      </c>
      <c r="B9" s="94" t="str">
        <f>CONCATENATE(Справочник!L5,"-",Справочник!L6)</f>
        <v>205-Антонов С. Ю</v>
      </c>
      <c r="C9" s="2">
        <f>IF(D9&gt;=1,Справочник!L15 )</f>
        <v>20000</v>
      </c>
      <c r="D9" s="3">
        <f>Справочник!I63</f>
        <v>14</v>
      </c>
      <c r="E9" s="7">
        <f t="shared" si="7"/>
        <v>16470.59</v>
      </c>
      <c r="F9" s="2">
        <f>ROUND(Справочник!L17*E9,2)</f>
        <v>3294.12</v>
      </c>
      <c r="G9" s="2">
        <f>ROUND(Справочник!L19*E9,2)</f>
        <v>4941.18</v>
      </c>
      <c r="H9" s="5"/>
      <c r="I9" s="8">
        <f>ROUND(Справочник!I76/730*Справочник!C12*Справочник!K51,2)</f>
        <v>2958.9</v>
      </c>
      <c r="J9" s="8"/>
      <c r="K9" s="8"/>
      <c r="L9" s="2">
        <f t="shared" si="8"/>
        <v>27664.79</v>
      </c>
      <c r="M9" s="2">
        <f>IF(Справочник!B25+Справочник!C25=1,1400,IF(Справочник!B25+Справочник!C25=2,2800,IF(Справочник!B25+Справочник!C25=3,2800+3000)))</f>
        <v>1400</v>
      </c>
      <c r="N9" s="2">
        <f t="shared" si="0"/>
        <v>26264.79</v>
      </c>
      <c r="O9" s="10">
        <f>(L9-R9)*IF(Справочник!D25=1,1/4,IF(Справочник!D25=2,1/3,IF(Справочник!D25&gt;=3,1/2)))</f>
        <v>6062.6975000000002</v>
      </c>
      <c r="P9" s="8">
        <f t="shared" si="1"/>
        <v>2958.9</v>
      </c>
      <c r="Q9" s="2">
        <f t="shared" si="2"/>
        <v>24705.89</v>
      </c>
      <c r="R9" s="2">
        <f>ROUND((+N9)*Справочник!D51,0)</f>
        <v>3414</v>
      </c>
      <c r="S9" s="2">
        <f t="shared" si="9"/>
        <v>716.47080999999991</v>
      </c>
      <c r="T9" s="2">
        <f t="shared" si="3"/>
        <v>1260.0003899999999</v>
      </c>
      <c r="U9" s="2">
        <f>IF(Справочник!G18&gt;1967,('Расчеты по оплате труда Ф'!L9-('Расчеты по оплате труда Ф'!I9+'Расчеты по оплате труда Ф'!J9))*16%,('Расчеты по оплате труда Ф'!L9-('Расчеты по оплате труда Ф'!I9+'Расчеты по оплате труда Ф'!J9))*22%)</f>
        <v>5435.2957999999999</v>
      </c>
      <c r="V9" s="2">
        <f>IF(Справочник!L13&lt;1967,(('Расчеты по оплате труда Ф'!L9-('Расчеты по оплате труда Ф'!I9+'Расчеты по оплате труда Ф'!J9))*0%),(('Расчеты по оплате труда Ф'!L9-('Расчеты по оплате труда Ф'!I9+'Расчеты по оплате труда Ф'!J9))*6%))</f>
        <v>1482.3534</v>
      </c>
      <c r="W9" s="2">
        <f t="shared" si="10"/>
        <v>691.76491999999996</v>
      </c>
      <c r="X9" s="2">
        <f t="shared" si="11"/>
        <v>24250.79</v>
      </c>
      <c r="Y9" s="11">
        <f>IF(D9&gt;=1,Справочник!L32,0)</f>
        <v>8000</v>
      </c>
      <c r="Z9" s="2">
        <f t="shared" si="4"/>
        <v>16250.79</v>
      </c>
      <c r="AA9" s="2">
        <f t="shared" si="5"/>
        <v>27664.79</v>
      </c>
      <c r="AB9" s="2">
        <f t="shared" si="6"/>
        <v>24705.89</v>
      </c>
      <c r="AC9" s="2">
        <f t="shared" si="6"/>
        <v>3414</v>
      </c>
    </row>
    <row r="10" spans="1:35" x14ac:dyDescent="0.25">
      <c r="A10" s="97">
        <v>17</v>
      </c>
      <c r="B10" s="94" t="str">
        <f>CONCATENATE(Справочник!M5,"-",Справочник!M6)</f>
        <v>206-Евген П. Л</v>
      </c>
      <c r="C10" s="2">
        <f>IF(D10&gt;=1,Справочник!M15 )</f>
        <v>21000</v>
      </c>
      <c r="D10" s="3">
        <f>Справочник!J63</f>
        <v>17</v>
      </c>
      <c r="E10" s="7">
        <f t="shared" si="7"/>
        <v>21000</v>
      </c>
      <c r="F10" s="2">
        <f>ROUND(Справочник!M17*E10,2)</f>
        <v>4200</v>
      </c>
      <c r="G10" s="2">
        <f>ROUND(Справочник!M19*E10,2)</f>
        <v>6300</v>
      </c>
      <c r="H10" s="5"/>
      <c r="I10" s="8"/>
      <c r="J10" s="8">
        <f>ROUND(Справочник!G77/29.4/12*Справочник!M52,2)</f>
        <v>10714.29</v>
      </c>
      <c r="K10" s="8"/>
      <c r="L10" s="2">
        <f t="shared" si="8"/>
        <v>42214.29</v>
      </c>
      <c r="M10" s="2">
        <f>IF(Справочник!B26+Справочник!C26=1,1400,IF(Справочник!B26+Справочник!C26=2,2800,IF(Справочник!B26+Справочник!C26=3,2800+3000)))</f>
        <v>2800</v>
      </c>
      <c r="N10" s="2">
        <f t="shared" si="0"/>
        <v>39414.29</v>
      </c>
      <c r="O10" s="10">
        <f>(L10-R10)*IF(Справочник!D26=1,1/4,IF(Справочник!D26=2,1/3,IF(Справочник!D26&gt;=3,1/2)))</f>
        <v>12363.43</v>
      </c>
      <c r="P10" s="8">
        <f t="shared" si="1"/>
        <v>0</v>
      </c>
      <c r="Q10" s="2">
        <f t="shared" si="2"/>
        <v>42214.29</v>
      </c>
      <c r="R10" s="2">
        <f>ROUND((+N10)*Справочник!D51,0)</f>
        <v>5124</v>
      </c>
      <c r="S10" s="2">
        <f t="shared" si="9"/>
        <v>913.49999999999989</v>
      </c>
      <c r="T10" s="2">
        <f t="shared" si="3"/>
        <v>1606.5</v>
      </c>
      <c r="U10" s="2">
        <f>IF(Справочник!G19&gt;1967,('Расчеты по оплате труда Ф'!L10-('Расчеты по оплате труда Ф'!I10+'Расчеты по оплате труда Ф'!J10))*16%,('Расчеты по оплате труда Ф'!L10-('Расчеты по оплате труда Ф'!I10+'Расчеты по оплате труда Ф'!J10))*22%)</f>
        <v>6930</v>
      </c>
      <c r="V10" s="2">
        <f>IF(Справочник!M13&lt;1967,(('Расчеты по оплате труда Ф'!L10-('Расчеты по оплате труда Ф'!I10+'Расчеты по оплате труда Ф'!J10))*0%),(('Расчеты по оплате труда Ф'!L10-('Расчеты по оплате труда Ф'!I10+'Расчеты по оплате труда Ф'!J10))*6%))</f>
        <v>1890</v>
      </c>
      <c r="W10" s="2">
        <f t="shared" si="10"/>
        <v>881.99999999999989</v>
      </c>
      <c r="X10" s="2">
        <f t="shared" si="11"/>
        <v>37090.29</v>
      </c>
      <c r="Y10" s="11">
        <f>IF(D10&gt;=1,Справочник!M32,0)</f>
        <v>8400</v>
      </c>
      <c r="Z10" s="2">
        <f t="shared" si="4"/>
        <v>28690.29</v>
      </c>
      <c r="AA10" s="2">
        <f t="shared" si="5"/>
        <v>42214.29</v>
      </c>
      <c r="AB10" s="2">
        <f t="shared" si="6"/>
        <v>42214.29</v>
      </c>
      <c r="AC10" s="2">
        <f t="shared" si="6"/>
        <v>5124</v>
      </c>
    </row>
    <row r="11" spans="1:35" x14ac:dyDescent="0.25">
      <c r="A11" s="97">
        <v>17</v>
      </c>
      <c r="B11" s="94" t="str">
        <f>CONCATENATE(Справочник!N5,"-",Справочник!N6)</f>
        <v>207-Павлов П. П</v>
      </c>
      <c r="C11" s="2">
        <f>IF(D11&gt;=1,Справочник!N15 )</f>
        <v>19000</v>
      </c>
      <c r="D11" s="3">
        <f>Справочник!K63</f>
        <v>17</v>
      </c>
      <c r="E11" s="7">
        <f t="shared" si="7"/>
        <v>19000</v>
      </c>
      <c r="F11" s="2">
        <f>ROUND(Справочник!N17*E11,2)</f>
        <v>3800</v>
      </c>
      <c r="G11" s="2">
        <f>ROUND(Справочник!N19*E11,2)</f>
        <v>5700</v>
      </c>
      <c r="H11" s="5"/>
      <c r="I11" s="8"/>
      <c r="J11" s="8"/>
      <c r="K11" s="8"/>
      <c r="L11" s="2">
        <f t="shared" si="8"/>
        <v>28500</v>
      </c>
      <c r="M11" s="2"/>
      <c r="N11" s="2">
        <f t="shared" si="0"/>
        <v>28500</v>
      </c>
      <c r="O11" s="10">
        <f>(L11-R11)*IF(Справочник!D27=1,1/4,IF(Справочник!D27=2,1/3,IF(Справочник!D27&gt;=3,1/2)))</f>
        <v>0</v>
      </c>
      <c r="P11" s="8">
        <f t="shared" si="1"/>
        <v>0</v>
      </c>
      <c r="Q11" s="2">
        <f t="shared" si="2"/>
        <v>28500</v>
      </c>
      <c r="R11" s="2">
        <f>ROUND((+N11)*Справочник!D51,0)</f>
        <v>3705</v>
      </c>
      <c r="S11" s="2">
        <f t="shared" si="9"/>
        <v>826.49999999999989</v>
      </c>
      <c r="T11" s="2">
        <f t="shared" si="3"/>
        <v>1453.5</v>
      </c>
      <c r="U11" s="2">
        <f>IF(Справочник!G20&gt;1967,('Расчеты по оплате труда Ф'!L11-('Расчеты по оплате труда Ф'!I11+'Расчеты по оплате труда Ф'!J11))*16%,('Расчеты по оплате труда Ф'!L11-('Расчеты по оплате труда Ф'!I11+'Расчеты по оплате труда Ф'!J11))*22%)</f>
        <v>6270</v>
      </c>
      <c r="V11" s="2">
        <f>IF(Справочник!N13&lt;1967,(('Расчеты по оплате труда Ф'!L11-('Расчеты по оплате труда Ф'!I11+'Расчеты по оплате труда Ф'!J11))*0%),(('Расчеты по оплате труда Ф'!L11-('Расчеты по оплате труда Ф'!I11+'Расчеты по оплате труда Ф'!J11))*6%))</f>
        <v>1710</v>
      </c>
      <c r="W11" s="2">
        <f t="shared" si="10"/>
        <v>797.99999999999989</v>
      </c>
      <c r="X11" s="2">
        <f t="shared" si="11"/>
        <v>24795</v>
      </c>
      <c r="Y11" s="11">
        <f>IF(D11&gt;=1,Справочник!N32,0)</f>
        <v>7600</v>
      </c>
      <c r="Z11" s="2">
        <f t="shared" si="4"/>
        <v>17195</v>
      </c>
      <c r="AA11" s="2">
        <f t="shared" si="5"/>
        <v>28500</v>
      </c>
      <c r="AB11" s="2">
        <f t="shared" si="6"/>
        <v>28500</v>
      </c>
      <c r="AC11" s="2">
        <f t="shared" si="6"/>
        <v>3705</v>
      </c>
    </row>
    <row r="12" spans="1:35" x14ac:dyDescent="0.25">
      <c r="A12" s="97">
        <v>17</v>
      </c>
      <c r="B12" s="94" t="str">
        <f>CONCATENATE(Справочник!O5,"-",Справочник!O6)</f>
        <v>208-Иванова С. Д</v>
      </c>
      <c r="C12" s="2">
        <f>IF(D12&gt;=1,Справочник!O15 )</f>
        <v>15000</v>
      </c>
      <c r="D12" s="3">
        <f>Справочник!L63</f>
        <v>7</v>
      </c>
      <c r="E12" s="7">
        <f t="shared" si="7"/>
        <v>6176.47</v>
      </c>
      <c r="F12" s="2">
        <f>ROUND(Справочник!O17*E12,2)</f>
        <v>1235.29</v>
      </c>
      <c r="G12" s="2">
        <f>ROUND(Справочник!O19*E12,2)</f>
        <v>1852.94</v>
      </c>
      <c r="H12" s="5"/>
      <c r="I12" s="8">
        <f>ROUND(Справочник!I79/730*Справочник!C15*Справочник!K54,2)</f>
        <v>1775.34</v>
      </c>
      <c r="J12" s="8"/>
      <c r="K12" s="8"/>
      <c r="L12" s="2">
        <f t="shared" si="8"/>
        <v>11040.04</v>
      </c>
      <c r="M12" s="2">
        <f>IF(Справочник!B28+Справочник!C28=1,1400,IF(Справочник!B28+Справочник!C28=2,2800,IF(Справочник!B28+Справочник!C28=3,2800+3000)))</f>
        <v>1400</v>
      </c>
      <c r="N12" s="2">
        <f t="shared" si="0"/>
        <v>9640.0400000000009</v>
      </c>
      <c r="O12" s="10">
        <f>(L12-R12)*IF(Справочник!D28=1,1/4,IF(Справочник!D28=2,1/3,IF(Справочник!D28&gt;=3,1/2)))</f>
        <v>0</v>
      </c>
      <c r="P12" s="8">
        <f t="shared" si="1"/>
        <v>1775.34</v>
      </c>
      <c r="Q12" s="2">
        <f t="shared" si="2"/>
        <v>9264.7000000000007</v>
      </c>
      <c r="R12" s="2">
        <f>ROUND((+N12)*Справочник!D51,0)</f>
        <v>1253</v>
      </c>
      <c r="S12" s="2">
        <f t="shared" si="9"/>
        <v>268.67630000000003</v>
      </c>
      <c r="T12" s="2">
        <f t="shared" si="3"/>
        <v>472.49970000000002</v>
      </c>
      <c r="U12" s="2">
        <f>IF(Справочник!G21&gt;1967,('Расчеты по оплате труда Ф'!L12-('Расчеты по оплате труда Ф'!I12+'Расчеты по оплате труда Ф'!J12))*16%,('Расчеты по оплате труда Ф'!L12-('Расчеты по оплате труда Ф'!I12+'Расчеты по оплате труда Ф'!J12))*22%)</f>
        <v>2038.2340000000002</v>
      </c>
      <c r="V12" s="2">
        <f>IF(Справочник!O13&lt;1967,(('Расчеты по оплате труда Ф'!L12-('Расчеты по оплате труда Ф'!I12+'Расчеты по оплате труда Ф'!J12))*0%),(('Расчеты по оплате труда Ф'!L12-('Расчеты по оплате труда Ф'!I12+'Расчеты по оплате труда Ф'!J12))*6%))</f>
        <v>555.88200000000006</v>
      </c>
      <c r="W12" s="2">
        <f t="shared" si="10"/>
        <v>259.41160000000002</v>
      </c>
      <c r="X12" s="2">
        <f t="shared" si="11"/>
        <v>9787.0400000000009</v>
      </c>
      <c r="Y12" s="11">
        <f>IF(D12&gt;=1,Справочник!O32,0)</f>
        <v>6000</v>
      </c>
      <c r="Z12" s="2">
        <f t="shared" si="4"/>
        <v>3787.0400000000009</v>
      </c>
      <c r="AA12" s="2">
        <f t="shared" si="5"/>
        <v>11040.04</v>
      </c>
      <c r="AB12" s="2">
        <f t="shared" si="6"/>
        <v>9264.7000000000007</v>
      </c>
      <c r="AC12" s="2">
        <f t="shared" si="6"/>
        <v>1253</v>
      </c>
    </row>
    <row r="13" spans="1:35" x14ac:dyDescent="0.25">
      <c r="A13" s="97">
        <v>17</v>
      </c>
      <c r="B13" s="94" t="str">
        <f>CONCATENATE(Справочник!P5,"-",Справочник!P6)</f>
        <v>209-Петров В. К</v>
      </c>
      <c r="C13" s="2">
        <f>IF(D13&gt;=1,Справочник!P15 )</f>
        <v>12000</v>
      </c>
      <c r="D13" s="3">
        <f>Справочник!M63</f>
        <v>17</v>
      </c>
      <c r="E13" s="7">
        <f t="shared" si="7"/>
        <v>12000</v>
      </c>
      <c r="F13" s="2">
        <f>ROUND(Справочник!P17*E13,2)</f>
        <v>2400</v>
      </c>
      <c r="G13" s="2">
        <f>ROUND(Справочник!P19*E13,2)</f>
        <v>3600</v>
      </c>
      <c r="H13" s="5"/>
      <c r="I13" s="8"/>
      <c r="J13" s="8"/>
      <c r="K13" s="8"/>
      <c r="L13" s="2">
        <f t="shared" si="8"/>
        <v>18000</v>
      </c>
      <c r="M13" s="2">
        <f>IF(Справочник!B29+Справочник!C29=1,1400,IF(Справочник!B29+Справочник!C29=2,2800,IF(Справочник!B29+Справочник!C29=3,2800+3000)))</f>
        <v>2800</v>
      </c>
      <c r="N13" s="2">
        <f t="shared" si="0"/>
        <v>15200</v>
      </c>
      <c r="O13" s="10">
        <f>(L13-R13)*IF(Справочник!D29=1,1/4,IF(Справочник!D29=2,1/3,IF(Справочник!D29&gt;=3,1/2)))</f>
        <v>0</v>
      </c>
      <c r="P13" s="8">
        <f t="shared" si="1"/>
        <v>0</v>
      </c>
      <c r="Q13" s="2">
        <f t="shared" si="2"/>
        <v>18000</v>
      </c>
      <c r="R13" s="2">
        <f>ROUND((+N13)*Справочник!D51,0)</f>
        <v>1976</v>
      </c>
      <c r="S13" s="2">
        <f t="shared" si="9"/>
        <v>522</v>
      </c>
      <c r="T13" s="2">
        <f t="shared" si="3"/>
        <v>917.99999999999989</v>
      </c>
      <c r="U13" s="2">
        <f>IF(Справочник!G22&gt;1967,('Расчеты по оплате труда Ф'!L13-('Расчеты по оплате труда Ф'!I13+'Расчеты по оплате труда Ф'!J13))*16%,('Расчеты по оплате труда Ф'!L13-('Расчеты по оплате труда Ф'!I13+'Расчеты по оплате труда Ф'!J13))*22%)</f>
        <v>3960</v>
      </c>
      <c r="V13" s="2">
        <f>IF(Справочник!P13&lt;1967,(('Расчеты по оплате труда Ф'!L13-('Расчеты по оплате труда Ф'!I13+'Расчеты по оплате труда Ф'!J13))*0%),(('Расчеты по оплате труда Ф'!L13-('Расчеты по оплате труда Ф'!I13+'Расчеты по оплате труда Ф'!J13))*6%))</f>
        <v>1080</v>
      </c>
      <c r="W13" s="2">
        <f t="shared" si="10"/>
        <v>503.99999999999994</v>
      </c>
      <c r="X13" s="2">
        <f t="shared" si="11"/>
        <v>16024</v>
      </c>
      <c r="Y13" s="11">
        <f>IF(D13&gt;=1,Справочник!P32,0)</f>
        <v>4800</v>
      </c>
      <c r="Z13" s="2">
        <f t="shared" si="4"/>
        <v>11224</v>
      </c>
      <c r="AA13" s="2">
        <f t="shared" si="5"/>
        <v>18000</v>
      </c>
      <c r="AB13" s="2">
        <f t="shared" si="6"/>
        <v>18000</v>
      </c>
      <c r="AC13" s="2">
        <f t="shared" si="6"/>
        <v>1976</v>
      </c>
    </row>
    <row r="14" spans="1:35" x14ac:dyDescent="0.25">
      <c r="A14" s="1"/>
      <c r="B14" s="95" t="s">
        <v>86</v>
      </c>
      <c r="C14" s="2">
        <f>SUM(C4:C13)</f>
        <v>406000</v>
      </c>
      <c r="D14" s="2">
        <f>SUM(D4:D13)</f>
        <v>140</v>
      </c>
      <c r="E14" s="2">
        <f>SUM(E4:E13)</f>
        <v>321588.24</v>
      </c>
      <c r="F14" s="2">
        <f>SUM(F4:F13)</f>
        <v>64317.65</v>
      </c>
      <c r="G14" s="2">
        <f>SUM(G4:G13)</f>
        <v>96476.479999999981</v>
      </c>
      <c r="H14" s="6"/>
      <c r="I14" s="2">
        <f t="shared" ref="I14:N14" si="12">SUM(I4:I13)</f>
        <v>7939.72</v>
      </c>
      <c r="J14" s="2">
        <f t="shared" si="12"/>
        <v>41326.53</v>
      </c>
      <c r="K14" s="2">
        <f t="shared" si="12"/>
        <v>68674.700000000012</v>
      </c>
      <c r="L14" s="2">
        <f>SUM(L4:L13)</f>
        <v>600323.31999999995</v>
      </c>
      <c r="M14" s="2">
        <f>SUM(M4:M13)</f>
        <v>19800</v>
      </c>
      <c r="N14" s="2">
        <f t="shared" si="12"/>
        <v>580523.31999999995</v>
      </c>
      <c r="O14" s="2">
        <f>SUM(O4:O13)</f>
        <v>18426.127500000002</v>
      </c>
      <c r="P14" s="2">
        <f>SUM(P4:P13)</f>
        <v>7939.72</v>
      </c>
      <c r="Q14" s="2">
        <f>SUM(Q4:Q13)</f>
        <v>592383.6</v>
      </c>
      <c r="R14" s="2">
        <f>ROUND((+N14)*Справочник!D51,0)</f>
        <v>75468</v>
      </c>
      <c r="S14" s="2">
        <f>SUM(S4:S13)</f>
        <v>15980.655029999998</v>
      </c>
      <c r="T14" s="2">
        <f t="shared" ref="T14:Z14" si="13">SUM(T4:T13)</f>
        <v>28103.91057</v>
      </c>
      <c r="U14" s="2">
        <f t="shared" si="13"/>
        <v>117738.4374</v>
      </c>
      <c r="V14" s="2">
        <f t="shared" si="13"/>
        <v>24733.161599999999</v>
      </c>
      <c r="W14" s="2">
        <f t="shared" si="13"/>
        <v>15429.597959999997</v>
      </c>
      <c r="X14" s="2">
        <f t="shared" si="13"/>
        <v>524855.31999999983</v>
      </c>
      <c r="Y14" s="2">
        <f t="shared" si="13"/>
        <v>162400</v>
      </c>
      <c r="Z14" s="2">
        <f t="shared" si="13"/>
        <v>362455.31999999989</v>
      </c>
      <c r="AA14" s="2">
        <f t="shared" si="5"/>
        <v>600323.31999999995</v>
      </c>
      <c r="AB14" s="2">
        <f t="shared" si="6"/>
        <v>592383.6</v>
      </c>
      <c r="AC14" s="2">
        <f t="shared" si="6"/>
        <v>75468</v>
      </c>
      <c r="AE14" s="12"/>
    </row>
    <row r="17" spans="11:11" x14ac:dyDescent="0.25">
      <c r="K17" s="158"/>
    </row>
    <row r="18" spans="11:11" x14ac:dyDescent="0.25">
      <c r="K18" s="158"/>
    </row>
  </sheetData>
  <mergeCells count="1">
    <mergeCell ref="A1:AC1"/>
  </mergeCells>
  <printOptions headings="1"/>
  <pageMargins left="0.70866141732283472" right="0.70866141732283472" top="0.74803149606299213" bottom="0.74803149606299213" header="0.31496062992125984" footer="0.31496062992125984"/>
  <pageSetup paperSize="9" scale="10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4"/>
  <sheetViews>
    <sheetView topLeftCell="B14" zoomScaleNormal="100" workbookViewId="0">
      <selection activeCell="C16" sqref="C16"/>
    </sheetView>
  </sheetViews>
  <sheetFormatPr defaultRowHeight="15" x14ac:dyDescent="0.25"/>
  <cols>
    <col min="1" max="1" width="7.28515625" customWidth="1"/>
    <col min="2" max="2" width="10" customWidth="1"/>
    <col min="3" max="3" width="16.140625" customWidth="1"/>
    <col min="4" max="4" width="9.85546875" bestFit="1" customWidth="1"/>
    <col min="5" max="5" width="10.85546875" customWidth="1"/>
    <col min="6" max="6" width="12.7109375" customWidth="1"/>
    <col min="7" max="8" width="11.5703125" customWidth="1"/>
    <col min="9" max="9" width="10.85546875" customWidth="1"/>
    <col min="10" max="10" width="9.85546875" customWidth="1"/>
    <col min="11" max="11" width="8.7109375" customWidth="1"/>
    <col min="12" max="12" width="9.85546875" bestFit="1" customWidth="1"/>
    <col min="15" max="16" width="11.42578125" customWidth="1"/>
    <col min="17" max="17" width="9.85546875" bestFit="1" customWidth="1"/>
    <col min="18" max="18" width="13.85546875" customWidth="1"/>
  </cols>
  <sheetData>
    <row r="2" spans="1:19" ht="15.75" x14ac:dyDescent="0.25">
      <c r="A2" s="223" t="s">
        <v>89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</row>
    <row r="4" spans="1:19" ht="15" customHeight="1" x14ac:dyDescent="0.25">
      <c r="A4" s="113"/>
      <c r="B4" s="113"/>
      <c r="C4" s="113"/>
      <c r="D4" s="113"/>
      <c r="E4" s="113"/>
      <c r="F4" s="227" t="s">
        <v>95</v>
      </c>
      <c r="G4" s="228"/>
      <c r="H4" s="228"/>
      <c r="I4" s="228"/>
      <c r="J4" s="229"/>
      <c r="K4" s="229"/>
      <c r="L4" s="112"/>
      <c r="M4" s="227" t="s">
        <v>99</v>
      </c>
      <c r="N4" s="227"/>
      <c r="O4" s="132"/>
      <c r="P4" s="132"/>
      <c r="Q4" s="112"/>
      <c r="R4" s="227" t="s">
        <v>88</v>
      </c>
      <c r="S4" s="227"/>
    </row>
    <row r="5" spans="1:19" ht="76.5" x14ac:dyDescent="0.25">
      <c r="A5" s="115" t="s">
        <v>91</v>
      </c>
      <c r="B5" s="115" t="s">
        <v>22</v>
      </c>
      <c r="C5" s="160" t="s">
        <v>92</v>
      </c>
      <c r="D5" s="160" t="s">
        <v>93</v>
      </c>
      <c r="E5" s="161" t="s">
        <v>94</v>
      </c>
      <c r="F5" s="162" t="s">
        <v>71</v>
      </c>
      <c r="G5" s="162" t="s">
        <v>65</v>
      </c>
      <c r="H5" s="162" t="s">
        <v>66</v>
      </c>
      <c r="I5" s="162" t="s">
        <v>6</v>
      </c>
      <c r="J5" s="163" t="s">
        <v>68</v>
      </c>
      <c r="K5" s="163" t="s">
        <v>96</v>
      </c>
      <c r="L5" s="164" t="s">
        <v>124</v>
      </c>
      <c r="M5" s="163" t="s">
        <v>97</v>
      </c>
      <c r="N5" s="163" t="s">
        <v>98</v>
      </c>
      <c r="O5" s="163" t="s">
        <v>14</v>
      </c>
      <c r="P5" s="164" t="s">
        <v>125</v>
      </c>
      <c r="Q5" s="164" t="s">
        <v>13</v>
      </c>
      <c r="R5" s="163" t="s">
        <v>24</v>
      </c>
      <c r="S5" s="163" t="s">
        <v>100</v>
      </c>
    </row>
    <row r="6" spans="1:19" x14ac:dyDescent="0.25">
      <c r="A6" s="114">
        <v>1</v>
      </c>
      <c r="B6" s="114">
        <v>2</v>
      </c>
      <c r="C6" s="114">
        <v>3</v>
      </c>
      <c r="D6" s="114">
        <v>4</v>
      </c>
      <c r="E6" s="114">
        <v>5</v>
      </c>
      <c r="F6" s="114">
        <v>6</v>
      </c>
      <c r="G6" s="114">
        <v>7</v>
      </c>
      <c r="H6" s="114">
        <v>8</v>
      </c>
      <c r="I6" s="114">
        <v>9</v>
      </c>
      <c r="J6" s="114">
        <v>10</v>
      </c>
      <c r="K6" s="114">
        <v>11</v>
      </c>
      <c r="L6" s="106">
        <v>12</v>
      </c>
      <c r="M6" s="114">
        <v>13</v>
      </c>
      <c r="N6" s="114">
        <v>14</v>
      </c>
      <c r="O6" s="114">
        <v>15</v>
      </c>
      <c r="P6" s="114">
        <v>16</v>
      </c>
      <c r="Q6" s="114">
        <v>17</v>
      </c>
      <c r="R6" s="114">
        <v>18</v>
      </c>
      <c r="S6" s="114">
        <v>19</v>
      </c>
    </row>
    <row r="7" spans="1:19" x14ac:dyDescent="0.25">
      <c r="A7" s="114"/>
      <c r="B7" s="122"/>
      <c r="C7" s="123" t="s">
        <v>121</v>
      </c>
      <c r="D7" s="122"/>
      <c r="E7" s="122"/>
      <c r="F7" s="122"/>
      <c r="G7" s="122"/>
      <c r="H7" s="122"/>
      <c r="I7" s="122"/>
      <c r="J7" s="122"/>
      <c r="K7" s="122"/>
      <c r="L7" s="124"/>
      <c r="M7" s="122"/>
      <c r="N7" s="122"/>
      <c r="O7" s="122"/>
      <c r="P7" s="122"/>
      <c r="Q7" s="122"/>
      <c r="R7" s="122"/>
      <c r="S7" s="122"/>
    </row>
    <row r="8" spans="1:19" ht="26.25" customHeight="1" x14ac:dyDescent="0.25">
      <c r="A8" s="111">
        <v>1</v>
      </c>
      <c r="B8" s="131">
        <f>Справочник!A7</f>
        <v>200</v>
      </c>
      <c r="C8" s="111" t="str">
        <f>Справочник!D7</f>
        <v>Директор, 35 лет</v>
      </c>
      <c r="D8" s="116">
        <f>'Расчеты по оплате труда'!C4</f>
        <v>100000</v>
      </c>
      <c r="E8" s="111">
        <f>'Расчеты по оплате труда'!D4</f>
        <v>10</v>
      </c>
      <c r="F8" s="117">
        <f>'Расчеты по оплате труда'!E4</f>
        <v>58823.53</v>
      </c>
      <c r="G8" s="116">
        <f>'Расчеты по оплате труда'!F4</f>
        <v>11764.71</v>
      </c>
      <c r="H8" s="116">
        <f>'Расчеты по оплате труда'!G4</f>
        <v>17647.060000000001</v>
      </c>
      <c r="I8" s="116">
        <f>'Расчеты по оплате труда'!I4</f>
        <v>0</v>
      </c>
      <c r="J8" s="116">
        <f>'Расчеты по оплате труда'!J4</f>
        <v>0</v>
      </c>
      <c r="K8" s="116">
        <f>'Расчеты по оплате труда'!K4</f>
        <v>50602.41</v>
      </c>
      <c r="L8" s="116">
        <f>'Расчеты по оплате труда'!L4</f>
        <v>138837.71</v>
      </c>
      <c r="M8" s="116">
        <f>'Расчеты по оплате труда'!R4</f>
        <v>17867</v>
      </c>
      <c r="N8" s="119">
        <f>'Расчеты по оплате труда'!O4</f>
        <v>0</v>
      </c>
      <c r="O8" s="119">
        <f>'Расчеты по оплате труда'!Y4</f>
        <v>40000</v>
      </c>
      <c r="P8" s="119">
        <f>M8+N8+O8</f>
        <v>57867</v>
      </c>
      <c r="Q8" s="119">
        <f>L8-P8</f>
        <v>80970.709999999992</v>
      </c>
      <c r="R8" s="111" t="str">
        <f>Справочник!B7</f>
        <v>Самоненко С. Г</v>
      </c>
      <c r="S8" s="110"/>
    </row>
    <row r="9" spans="1:19" ht="39.75" customHeight="1" x14ac:dyDescent="0.25">
      <c r="A9" s="111">
        <v>2</v>
      </c>
      <c r="B9" s="131">
        <f>Справочник!A8</f>
        <v>201</v>
      </c>
      <c r="C9" s="111" t="str">
        <f>Справочник!D8</f>
        <v>Главный бухгалтер, 21 год</v>
      </c>
      <c r="D9" s="116">
        <f>'Расчеты по оплате труда'!C5</f>
        <v>75000</v>
      </c>
      <c r="E9" s="111">
        <f>'Расчеты по оплате труда'!D5</f>
        <v>17</v>
      </c>
      <c r="F9" s="117">
        <f>'Расчеты по оплате труда'!E5</f>
        <v>75000</v>
      </c>
      <c r="G9" s="116">
        <f>'Расчеты по оплате труда'!F5</f>
        <v>15000</v>
      </c>
      <c r="H9" s="116">
        <f>'Расчеты по оплате труда'!G5</f>
        <v>22500</v>
      </c>
      <c r="I9" s="116">
        <f>'Расчеты по оплате труда'!I5</f>
        <v>0</v>
      </c>
      <c r="J9" s="116">
        <f>'Расчеты по оплате труда'!J5</f>
        <v>30612.240000000002</v>
      </c>
      <c r="K9" s="116">
        <f>'Расчеты по оплате труда'!K5</f>
        <v>0</v>
      </c>
      <c r="L9" s="116">
        <f>'Расчеты по оплате труда'!L5</f>
        <v>143112.24</v>
      </c>
      <c r="M9" s="116">
        <f>'Расчеты по оплате труда'!R5</f>
        <v>18241</v>
      </c>
      <c r="N9" s="119">
        <f>'Расчеты по оплате труда'!O5</f>
        <v>0</v>
      </c>
      <c r="O9" s="119">
        <f>'Расчеты по оплате труда'!Y5</f>
        <v>30000</v>
      </c>
      <c r="P9" s="119">
        <f t="shared" ref="P9:P10" si="0">M9+N9+O9</f>
        <v>48241</v>
      </c>
      <c r="Q9" s="119">
        <f t="shared" ref="Q9:Q10" si="1">L9-P9</f>
        <v>94871.239999999991</v>
      </c>
      <c r="R9" s="111" t="str">
        <f>Справочник!B8</f>
        <v>Авдошина В. В</v>
      </c>
      <c r="S9" s="110"/>
    </row>
    <row r="10" spans="1:19" ht="40.5" customHeight="1" x14ac:dyDescent="0.25">
      <c r="A10" s="111">
        <v>3</v>
      </c>
      <c r="B10" s="131">
        <f>Справочник!A9</f>
        <v>202</v>
      </c>
      <c r="C10" s="111" t="str">
        <f>Справочник!D9</f>
        <v>Специалист по маркетингу, 5 лет</v>
      </c>
      <c r="D10" s="116">
        <f>'Расчеты по оплате труда'!C6</f>
        <v>55000</v>
      </c>
      <c r="E10" s="111">
        <f>'Расчеты по оплате труда'!D6</f>
        <v>12</v>
      </c>
      <c r="F10" s="117">
        <f>'Расчеты по оплате труда'!E6</f>
        <v>38823.53</v>
      </c>
      <c r="G10" s="116">
        <f>'Расчеты по оплате труда'!F6</f>
        <v>7764.71</v>
      </c>
      <c r="H10" s="116">
        <f>'Расчеты по оплате труда'!G6</f>
        <v>11647.06</v>
      </c>
      <c r="I10" s="116">
        <f>'Расчеты по оплате труда'!I6</f>
        <v>3205.48</v>
      </c>
      <c r="J10" s="116">
        <f>'Расчеты по оплате труда'!J6</f>
        <v>0</v>
      </c>
      <c r="K10" s="116">
        <f>'Расчеты по оплате труда'!K6</f>
        <v>0</v>
      </c>
      <c r="L10" s="116">
        <f>'Расчеты по оплате труда'!L6</f>
        <v>61440.78</v>
      </c>
      <c r="M10" s="116">
        <f>'Расчеты по оплате труда'!R6</f>
        <v>7987</v>
      </c>
      <c r="N10" s="119">
        <f>'Расчеты по оплате труда'!O6</f>
        <v>0</v>
      </c>
      <c r="O10" s="119">
        <f>'Расчеты по оплате труда'!Y6</f>
        <v>22000</v>
      </c>
      <c r="P10" s="119">
        <f t="shared" si="0"/>
        <v>29987</v>
      </c>
      <c r="Q10" s="119">
        <f t="shared" si="1"/>
        <v>31453.78</v>
      </c>
      <c r="R10" s="111" t="str">
        <f>Справочник!B9</f>
        <v>Бакирова А. П</v>
      </c>
      <c r="S10" s="110"/>
    </row>
    <row r="11" spans="1:19" ht="40.5" customHeight="1" x14ac:dyDescent="0.25">
      <c r="A11" s="224" t="s">
        <v>137</v>
      </c>
      <c r="B11" s="225"/>
      <c r="C11" s="152"/>
      <c r="D11" s="151">
        <f>SUM(D8:D10)</f>
        <v>230000</v>
      </c>
      <c r="E11" s="151">
        <f t="shared" ref="E11:Q11" si="2">SUM(E8:E10)</f>
        <v>39</v>
      </c>
      <c r="F11" s="151">
        <f t="shared" si="2"/>
        <v>172647.06</v>
      </c>
      <c r="G11" s="151">
        <f t="shared" si="2"/>
        <v>34529.42</v>
      </c>
      <c r="H11" s="151">
        <f t="shared" si="2"/>
        <v>51794.119999999995</v>
      </c>
      <c r="I11" s="151">
        <f t="shared" si="2"/>
        <v>3205.48</v>
      </c>
      <c r="J11" s="151">
        <f t="shared" si="2"/>
        <v>30612.240000000002</v>
      </c>
      <c r="K11" s="151">
        <f t="shared" si="2"/>
        <v>50602.41</v>
      </c>
      <c r="L11" s="151">
        <f t="shared" si="2"/>
        <v>343390.73</v>
      </c>
      <c r="M11" s="151">
        <f t="shared" si="2"/>
        <v>44095</v>
      </c>
      <c r="N11" s="151">
        <f t="shared" si="2"/>
        <v>0</v>
      </c>
      <c r="O11" s="151">
        <f t="shared" si="2"/>
        <v>92000</v>
      </c>
      <c r="P11" s="151">
        <f t="shared" si="2"/>
        <v>136095</v>
      </c>
      <c r="Q11" s="151">
        <f t="shared" si="2"/>
        <v>207295.72999999998</v>
      </c>
      <c r="R11" s="111"/>
      <c r="S11" s="110"/>
    </row>
    <row r="12" spans="1:19" ht="40.5" customHeight="1" x14ac:dyDescent="0.25">
      <c r="A12" s="111"/>
      <c r="B12" s="125"/>
      <c r="C12" s="126" t="s">
        <v>122</v>
      </c>
      <c r="D12" s="127"/>
      <c r="E12" s="125"/>
      <c r="F12" s="128"/>
      <c r="G12" s="127"/>
      <c r="H12" s="127"/>
      <c r="I12" s="127"/>
      <c r="J12" s="125"/>
      <c r="K12" s="125"/>
      <c r="L12" s="127"/>
      <c r="M12" s="127"/>
      <c r="N12" s="129"/>
      <c r="O12" s="129"/>
      <c r="P12" s="129"/>
      <c r="Q12" s="130"/>
      <c r="R12" s="125"/>
      <c r="S12" s="129"/>
    </row>
    <row r="13" spans="1:19" ht="41.25" customHeight="1" x14ac:dyDescent="0.25">
      <c r="A13" s="111">
        <v>4</v>
      </c>
      <c r="B13" s="131">
        <f>Справочник!A10</f>
        <v>203</v>
      </c>
      <c r="C13" s="111" t="str">
        <f>Справочник!D10</f>
        <v>Слесарь-ремонтник, 10 лет</v>
      </c>
      <c r="D13" s="116">
        <f>'Расчеты по оплате труда'!C7</f>
        <v>50000</v>
      </c>
      <c r="E13" s="111">
        <f>'Расчеты по оплате труда'!D7</f>
        <v>12</v>
      </c>
      <c r="F13" s="117">
        <f>'Расчеты по оплате труда'!E7</f>
        <v>35294.120000000003</v>
      </c>
      <c r="G13" s="116">
        <f>'Расчеты по оплате труда'!F7</f>
        <v>7058.82</v>
      </c>
      <c r="H13" s="116">
        <f>'Расчеты по оплате труда'!G7</f>
        <v>10588.24</v>
      </c>
      <c r="I13" s="116">
        <f>'Расчеты по оплате труда'!I7</f>
        <v>0</v>
      </c>
      <c r="J13" s="116">
        <f>'Расчеты по оплате труда'!J7</f>
        <v>0</v>
      </c>
      <c r="K13" s="116">
        <f>'Расчеты по оплате труда'!K7</f>
        <v>18072.29</v>
      </c>
      <c r="L13" s="116">
        <f>'Расчеты по оплате труда'!L7</f>
        <v>71013.47</v>
      </c>
      <c r="M13" s="116">
        <f>'Расчеты по оплате труда'!R7</f>
        <v>8478</v>
      </c>
      <c r="N13" s="119">
        <f>'Расчеты по оплате труда'!O7</f>
        <v>0</v>
      </c>
      <c r="O13" s="119">
        <f>'Расчеты по оплате труда'!Y7</f>
        <v>20000</v>
      </c>
      <c r="P13" s="119">
        <f>M13+N13+O13</f>
        <v>28478</v>
      </c>
      <c r="Q13" s="119">
        <f>L13-P13</f>
        <v>42535.47</v>
      </c>
      <c r="R13" s="111" t="str">
        <f>Справочник!B10</f>
        <v>Шкап Е. В</v>
      </c>
      <c r="S13" s="110"/>
    </row>
    <row r="14" spans="1:19" ht="27.75" customHeight="1" x14ac:dyDescent="0.25">
      <c r="A14" s="111">
        <v>5</v>
      </c>
      <c r="B14" s="131">
        <f>Справочник!A11</f>
        <v>204</v>
      </c>
      <c r="C14" s="111" t="str">
        <f>Справочник!D11</f>
        <v>Токарь 3 разряда, 7 лет</v>
      </c>
      <c r="D14" s="116">
        <f>'Расчеты по оплате труда'!C8</f>
        <v>39000</v>
      </c>
      <c r="E14" s="111">
        <f>'Расчеты по оплате труда'!D8</f>
        <v>17</v>
      </c>
      <c r="F14" s="117">
        <f>'Расчеты по оплате труда'!E8</f>
        <v>39000</v>
      </c>
      <c r="G14" s="116">
        <f>'Расчеты по оплате труда'!F8</f>
        <v>7800</v>
      </c>
      <c r="H14" s="116">
        <f>'Расчеты по оплате труда'!G8</f>
        <v>11700</v>
      </c>
      <c r="I14" s="116">
        <f>'Расчеты по оплате труда'!I8</f>
        <v>0</v>
      </c>
      <c r="J14" s="116">
        <f>'Расчеты по оплате труда'!J8</f>
        <v>0</v>
      </c>
      <c r="K14" s="116">
        <f>'Расчеты по оплате труда'!K8</f>
        <v>0</v>
      </c>
      <c r="L14" s="116">
        <f>'Расчеты по оплате труда'!L8</f>
        <v>58500</v>
      </c>
      <c r="M14" s="116">
        <f>'Расчеты по оплате труда'!R8</f>
        <v>7423</v>
      </c>
      <c r="N14" s="119">
        <f>'Расчеты по оплате труда'!O8</f>
        <v>0</v>
      </c>
      <c r="O14" s="119">
        <f>'Расчеты по оплате труда'!Y8</f>
        <v>15600</v>
      </c>
      <c r="P14" s="119">
        <f>M14+N14+O14</f>
        <v>23023</v>
      </c>
      <c r="Q14" s="119">
        <f>L14-P14</f>
        <v>35477</v>
      </c>
      <c r="R14" s="111" t="str">
        <f>Справочник!B11</f>
        <v>Неваляшка М. П</v>
      </c>
      <c r="S14" s="110"/>
    </row>
    <row r="15" spans="1:19" ht="27.75" customHeight="1" x14ac:dyDescent="0.25">
      <c r="A15" s="224" t="s">
        <v>138</v>
      </c>
      <c r="B15" s="225"/>
      <c r="C15" s="152"/>
      <c r="D15" s="151">
        <f>SUM(D13:D14)</f>
        <v>89000</v>
      </c>
      <c r="E15" s="151">
        <f t="shared" ref="E15:P15" si="3">SUM(E13:E14)</f>
        <v>29</v>
      </c>
      <c r="F15" s="151">
        <f t="shared" si="3"/>
        <v>74294.12</v>
      </c>
      <c r="G15" s="151">
        <f t="shared" si="3"/>
        <v>14858.82</v>
      </c>
      <c r="H15" s="151">
        <f>SUM(H13:H14)</f>
        <v>22288.239999999998</v>
      </c>
      <c r="I15" s="151">
        <f t="shared" si="3"/>
        <v>0</v>
      </c>
      <c r="J15" s="151">
        <f t="shared" si="3"/>
        <v>0</v>
      </c>
      <c r="K15" s="151">
        <f t="shared" si="3"/>
        <v>18072.29</v>
      </c>
      <c r="L15" s="151">
        <f t="shared" si="3"/>
        <v>129513.47</v>
      </c>
      <c r="M15" s="151">
        <f t="shared" si="3"/>
        <v>15901</v>
      </c>
      <c r="N15" s="151">
        <f t="shared" si="3"/>
        <v>0</v>
      </c>
      <c r="O15" s="151">
        <f t="shared" si="3"/>
        <v>35600</v>
      </c>
      <c r="P15" s="151">
        <f t="shared" si="3"/>
        <v>51501</v>
      </c>
      <c r="Q15" s="151">
        <f>SUM(Q13:Q14)</f>
        <v>78012.47</v>
      </c>
      <c r="R15" s="111"/>
      <c r="S15" s="110"/>
    </row>
    <row r="16" spans="1:19" ht="27.75" customHeight="1" x14ac:dyDescent="0.25">
      <c r="A16" s="111"/>
      <c r="B16" s="125"/>
      <c r="C16" s="126" t="s">
        <v>123</v>
      </c>
      <c r="D16" s="127"/>
      <c r="E16" s="125"/>
      <c r="F16" s="128"/>
      <c r="G16" s="127"/>
      <c r="H16" s="127"/>
      <c r="I16" s="125"/>
      <c r="J16" s="125"/>
      <c r="K16" s="125"/>
      <c r="L16" s="127"/>
      <c r="M16" s="127"/>
      <c r="N16" s="129"/>
      <c r="O16" s="129"/>
      <c r="P16" s="129"/>
      <c r="Q16" s="130"/>
      <c r="R16" s="125"/>
      <c r="S16" s="129"/>
    </row>
    <row r="17" spans="1:19" ht="39" customHeight="1" x14ac:dyDescent="0.25">
      <c r="A17" s="111">
        <v>6</v>
      </c>
      <c r="B17" s="131">
        <f>Справочник!A12</f>
        <v>205</v>
      </c>
      <c r="C17" s="111" t="str">
        <f>Справочник!D12</f>
        <v>Варщик кабельной массы, 11 лет</v>
      </c>
      <c r="D17" s="116">
        <f>'Расчеты по оплате труда'!C9</f>
        <v>20000</v>
      </c>
      <c r="E17" s="111">
        <f>'Расчеты по оплате труда'!D9</f>
        <v>14</v>
      </c>
      <c r="F17" s="117">
        <f>'Расчеты по оплате труда'!E9</f>
        <v>16470.59</v>
      </c>
      <c r="G17" s="116">
        <f>'Расчеты по оплате труда'!F9</f>
        <v>3294.12</v>
      </c>
      <c r="H17" s="116">
        <f>'Расчеты по оплате труда'!G9</f>
        <v>4941.18</v>
      </c>
      <c r="I17" s="116">
        <f>'Расчеты по оплате труда'!I9</f>
        <v>2958.9</v>
      </c>
      <c r="J17" s="116">
        <f>'Расчеты по оплате труда'!J9</f>
        <v>0</v>
      </c>
      <c r="K17" s="116">
        <f>'Расчеты по оплате труда'!K9</f>
        <v>0</v>
      </c>
      <c r="L17" s="116">
        <f>'Расчеты по оплате труда'!L9</f>
        <v>27664.79</v>
      </c>
      <c r="M17" s="116">
        <f>'Расчеты по оплате труда'!R9</f>
        <v>3414</v>
      </c>
      <c r="N17" s="119">
        <f>'Расчеты по оплате труда'!O9</f>
        <v>6062.6975000000002</v>
      </c>
      <c r="O17" s="119">
        <f>'Расчеты по оплате труда'!Y9</f>
        <v>8000</v>
      </c>
      <c r="P17" s="119">
        <f>M17+N17+O17</f>
        <v>17476.697500000002</v>
      </c>
      <c r="Q17" s="119">
        <f>L17-P17</f>
        <v>10188.092499999999</v>
      </c>
      <c r="R17" s="111" t="str">
        <f>Справочник!B12</f>
        <v>Антонов С. Ю</v>
      </c>
      <c r="S17" s="110"/>
    </row>
    <row r="18" spans="1:19" ht="39.75" customHeight="1" x14ac:dyDescent="0.25">
      <c r="A18" s="111">
        <v>7</v>
      </c>
      <c r="B18" s="131">
        <f>Справочник!A13</f>
        <v>206</v>
      </c>
      <c r="C18" s="111" t="str">
        <f>Справочник!D13</f>
        <v>Лакировщик проводов и кабелей, 4 года</v>
      </c>
      <c r="D18" s="116">
        <f>'Расчеты по оплате труда'!C10</f>
        <v>21000</v>
      </c>
      <c r="E18" s="111">
        <f>'Расчеты по оплате труда'!D10</f>
        <v>17</v>
      </c>
      <c r="F18" s="117">
        <f>'Расчеты по оплате труда'!E10</f>
        <v>21000</v>
      </c>
      <c r="G18" s="116">
        <f>'Расчеты по оплате труда'!F10</f>
        <v>4200</v>
      </c>
      <c r="H18" s="116">
        <f>'Расчеты по оплате труда'!G10</f>
        <v>6300</v>
      </c>
      <c r="I18" s="116">
        <f>'Расчеты по оплате труда'!I10</f>
        <v>0</v>
      </c>
      <c r="J18" s="116">
        <f>'Расчеты по оплате труда'!J10</f>
        <v>10714.29</v>
      </c>
      <c r="K18" s="116">
        <f>'Расчеты по оплате труда'!K10</f>
        <v>0</v>
      </c>
      <c r="L18" s="116">
        <f>'Расчеты по оплате труда'!L10</f>
        <v>42214.29</v>
      </c>
      <c r="M18" s="116">
        <f>'Расчеты по оплате труда'!R10</f>
        <v>5124</v>
      </c>
      <c r="N18" s="119">
        <f>'Расчеты по оплате труда'!O10</f>
        <v>12363.43</v>
      </c>
      <c r="O18" s="119">
        <f>'Расчеты по оплате труда'!Y10</f>
        <v>8400</v>
      </c>
      <c r="P18" s="119">
        <f t="shared" ref="P18:P21" si="4">M18+N18+O18</f>
        <v>25887.43</v>
      </c>
      <c r="Q18" s="119">
        <f t="shared" ref="Q18:Q21" si="5">L18-P18</f>
        <v>16326.86</v>
      </c>
      <c r="R18" s="111" t="str">
        <f>Справочник!B13</f>
        <v>Евген П. Л</v>
      </c>
      <c r="S18" s="110"/>
    </row>
    <row r="19" spans="1:19" ht="40.5" customHeight="1" x14ac:dyDescent="0.25">
      <c r="A19" s="111">
        <v>8</v>
      </c>
      <c r="B19" s="131">
        <f>Справочник!A14</f>
        <v>207</v>
      </c>
      <c r="C19" s="111" t="str">
        <f>Справочник!D14</f>
        <v>Прокатчик горячего металла, 5 лет</v>
      </c>
      <c r="D19" s="116">
        <f>'Расчеты по оплате труда'!C11</f>
        <v>19000</v>
      </c>
      <c r="E19" s="111">
        <f>'Расчеты по оплате труда'!D11</f>
        <v>17</v>
      </c>
      <c r="F19" s="117">
        <f>'Расчеты по оплате труда'!E11</f>
        <v>19000</v>
      </c>
      <c r="G19" s="116">
        <f>'Расчеты по оплате труда'!F11</f>
        <v>3800</v>
      </c>
      <c r="H19" s="116">
        <f>'Расчеты по оплате труда'!G11</f>
        <v>5700</v>
      </c>
      <c r="I19" s="116">
        <f>'Расчеты по оплате труда'!I11</f>
        <v>0</v>
      </c>
      <c r="J19" s="116">
        <f>'Расчеты по оплате труда'!J11</f>
        <v>0</v>
      </c>
      <c r="K19" s="116">
        <f>'Расчеты по оплате труда'!K11</f>
        <v>0</v>
      </c>
      <c r="L19" s="116">
        <f>'Расчеты по оплате труда'!L11</f>
        <v>28500</v>
      </c>
      <c r="M19" s="116">
        <f>'Расчеты по оплате труда'!R11</f>
        <v>3705</v>
      </c>
      <c r="N19" s="119">
        <f>'Расчеты по оплате труда'!O11</f>
        <v>0</v>
      </c>
      <c r="O19" s="119">
        <f>'Расчеты по оплате труда'!Y11</f>
        <v>7600</v>
      </c>
      <c r="P19" s="119">
        <f t="shared" si="4"/>
        <v>11305</v>
      </c>
      <c r="Q19" s="119">
        <f t="shared" si="5"/>
        <v>17195</v>
      </c>
      <c r="R19" s="111" t="str">
        <f>Справочник!B14</f>
        <v>Павлов П. П</v>
      </c>
      <c r="S19" s="110"/>
    </row>
    <row r="20" spans="1:19" ht="30.75" customHeight="1" x14ac:dyDescent="0.25">
      <c r="A20" s="111">
        <v>9</v>
      </c>
      <c r="B20" s="131">
        <f>Справочник!A15</f>
        <v>208</v>
      </c>
      <c r="C20" s="111" t="str">
        <f>Справочник!D15</f>
        <v>Смазчик, 7 лет</v>
      </c>
      <c r="D20" s="116">
        <f>'Расчеты по оплате труда'!C12</f>
        <v>15000</v>
      </c>
      <c r="E20" s="111">
        <f>'Расчеты по оплате труда'!D12</f>
        <v>7</v>
      </c>
      <c r="F20" s="117">
        <f>'Расчеты по оплате труда'!E12</f>
        <v>6176.47</v>
      </c>
      <c r="G20" s="116">
        <f>'Расчеты по оплате труда'!F12</f>
        <v>1235.29</v>
      </c>
      <c r="H20" s="116">
        <f>'Расчеты по оплате труда'!G12</f>
        <v>1852.94</v>
      </c>
      <c r="I20" s="116">
        <f>'Расчеты по оплате труда'!I12</f>
        <v>1775.34</v>
      </c>
      <c r="J20" s="116">
        <f>'Расчеты по оплате труда'!J12</f>
        <v>0</v>
      </c>
      <c r="K20" s="116">
        <f>'Расчеты по оплате труда'!K12</f>
        <v>0</v>
      </c>
      <c r="L20" s="116">
        <f>'Расчеты по оплате труда'!L12</f>
        <v>11040.04</v>
      </c>
      <c r="M20" s="116">
        <f>'Расчеты по оплате труда'!R12</f>
        <v>1253</v>
      </c>
      <c r="N20" s="119">
        <f>'Расчеты по оплате труда'!O12</f>
        <v>0</v>
      </c>
      <c r="O20" s="119">
        <f>'Расчеты по оплате труда'!Y12</f>
        <v>6000</v>
      </c>
      <c r="P20" s="119">
        <f t="shared" si="4"/>
        <v>7253</v>
      </c>
      <c r="Q20" s="119">
        <f t="shared" si="5"/>
        <v>3787.0400000000009</v>
      </c>
      <c r="R20" s="111" t="str">
        <f>Справочник!B15</f>
        <v>Иванова С. Д</v>
      </c>
      <c r="S20" s="110"/>
    </row>
    <row r="21" spans="1:19" ht="28.5" customHeight="1" x14ac:dyDescent="0.25">
      <c r="A21" s="109">
        <v>10</v>
      </c>
      <c r="B21" s="131">
        <f>Справочник!A16</f>
        <v>209</v>
      </c>
      <c r="C21" s="111" t="str">
        <f>Справочник!D16</f>
        <v>Подсобный рабочий, 6 лет</v>
      </c>
      <c r="D21" s="116">
        <f>'Расчеты по оплате труда'!C13</f>
        <v>12000</v>
      </c>
      <c r="E21" s="111">
        <f>'Расчеты по оплате труда'!D13</f>
        <v>17</v>
      </c>
      <c r="F21" s="117">
        <f>'Расчеты по оплате труда'!E13</f>
        <v>12000</v>
      </c>
      <c r="G21" s="116">
        <f>'Расчеты по оплате труда'!F13</f>
        <v>2400</v>
      </c>
      <c r="H21" s="116">
        <f>'Расчеты по оплате труда'!G13</f>
        <v>3600</v>
      </c>
      <c r="I21" s="116">
        <f>'Расчеты по оплате труда'!I13</f>
        <v>0</v>
      </c>
      <c r="J21" s="116">
        <f>'Расчеты по оплате труда'!J13</f>
        <v>0</v>
      </c>
      <c r="K21" s="116">
        <f>'Расчеты по оплате труда'!K13</f>
        <v>0</v>
      </c>
      <c r="L21" s="116">
        <f>'Расчеты по оплате труда'!L13</f>
        <v>18000</v>
      </c>
      <c r="M21" s="116">
        <f>'Расчеты по оплате труда'!R13</f>
        <v>1976</v>
      </c>
      <c r="N21" s="119">
        <f>'Расчеты по оплате труда'!O13</f>
        <v>0</v>
      </c>
      <c r="O21" s="119">
        <f>'Расчеты по оплате труда'!Y13</f>
        <v>4800</v>
      </c>
      <c r="P21" s="119">
        <f t="shared" si="4"/>
        <v>6776</v>
      </c>
      <c r="Q21" s="119">
        <f t="shared" si="5"/>
        <v>11224</v>
      </c>
      <c r="R21" s="111" t="str">
        <f>Справочник!B16</f>
        <v>Петров В. К</v>
      </c>
      <c r="S21" s="120"/>
    </row>
    <row r="22" spans="1:19" ht="39" customHeight="1" x14ac:dyDescent="0.25">
      <c r="A22" s="226" t="s">
        <v>139</v>
      </c>
      <c r="B22" s="226"/>
      <c r="C22" s="152"/>
      <c r="D22" s="151">
        <f>SUM(D17:D21)</f>
        <v>87000</v>
      </c>
      <c r="E22" s="151">
        <f t="shared" ref="E22:Q22" si="6">SUM(E17:E21)</f>
        <v>72</v>
      </c>
      <c r="F22" s="151">
        <f t="shared" si="6"/>
        <v>74647.06</v>
      </c>
      <c r="G22" s="151">
        <f t="shared" si="6"/>
        <v>14929.41</v>
      </c>
      <c r="H22" s="151">
        <f t="shared" si="6"/>
        <v>22394.12</v>
      </c>
      <c r="I22" s="151">
        <f t="shared" si="6"/>
        <v>4734.24</v>
      </c>
      <c r="J22" s="151">
        <f t="shared" si="6"/>
        <v>10714.29</v>
      </c>
      <c r="K22" s="151">
        <f t="shared" si="6"/>
        <v>0</v>
      </c>
      <c r="L22" s="151">
        <f t="shared" si="6"/>
        <v>127419.12</v>
      </c>
      <c r="M22" s="151">
        <f t="shared" si="6"/>
        <v>15472</v>
      </c>
      <c r="N22" s="151">
        <f t="shared" si="6"/>
        <v>18426.127500000002</v>
      </c>
      <c r="O22" s="151">
        <f t="shared" si="6"/>
        <v>34800</v>
      </c>
      <c r="P22" s="151">
        <f t="shared" si="6"/>
        <v>68698.127500000002</v>
      </c>
      <c r="Q22" s="151">
        <f t="shared" si="6"/>
        <v>58720.9925</v>
      </c>
      <c r="R22" s="148"/>
      <c r="S22" s="107"/>
    </row>
    <row r="23" spans="1:19" ht="30" x14ac:dyDescent="0.25">
      <c r="A23" s="149"/>
      <c r="B23" s="118"/>
      <c r="C23" s="150" t="s">
        <v>140</v>
      </c>
      <c r="D23" s="127">
        <f>SUM(D11+D15+D22)</f>
        <v>406000</v>
      </c>
      <c r="E23" s="127">
        <f t="shared" ref="E23:Q23" si="7">SUM(E11+E15+E22)</f>
        <v>140</v>
      </c>
      <c r="F23" s="127">
        <f t="shared" si="7"/>
        <v>321588.24</v>
      </c>
      <c r="G23" s="127">
        <f t="shared" si="7"/>
        <v>64317.649999999994</v>
      </c>
      <c r="H23" s="127">
        <f t="shared" si="7"/>
        <v>96476.479999999981</v>
      </c>
      <c r="I23" s="127">
        <f t="shared" si="7"/>
        <v>7939.7199999999993</v>
      </c>
      <c r="J23" s="127">
        <f t="shared" si="7"/>
        <v>41326.53</v>
      </c>
      <c r="K23" s="127">
        <f t="shared" si="7"/>
        <v>68674.700000000012</v>
      </c>
      <c r="L23" s="127">
        <f t="shared" si="7"/>
        <v>600323.31999999995</v>
      </c>
      <c r="M23" s="127">
        <f t="shared" si="7"/>
        <v>75468</v>
      </c>
      <c r="N23" s="127">
        <f t="shared" si="7"/>
        <v>18426.127500000002</v>
      </c>
      <c r="O23" s="127">
        <f t="shared" si="7"/>
        <v>162400</v>
      </c>
      <c r="P23" s="127">
        <f t="shared" si="7"/>
        <v>256294.1275</v>
      </c>
      <c r="Q23" s="127">
        <f t="shared" si="7"/>
        <v>344029.19249999995</v>
      </c>
      <c r="R23" s="107"/>
      <c r="S23" s="107"/>
    </row>
    <row r="24" spans="1:19" x14ac:dyDescent="0.25">
      <c r="A24" s="69"/>
      <c r="B24" s="69"/>
    </row>
  </sheetData>
  <mergeCells count="7">
    <mergeCell ref="A2:S2"/>
    <mergeCell ref="A11:B11"/>
    <mergeCell ref="A15:B15"/>
    <mergeCell ref="A22:B22"/>
    <mergeCell ref="M4:N4"/>
    <mergeCell ref="R4:S4"/>
    <mergeCell ref="F4:K4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4"/>
  <sheetViews>
    <sheetView topLeftCell="M4" zoomScaleNormal="100" workbookViewId="0">
      <selection activeCell="T8" sqref="T8"/>
    </sheetView>
  </sheetViews>
  <sheetFormatPr defaultRowHeight="15" x14ac:dyDescent="0.25"/>
  <cols>
    <col min="1" max="1" width="7.28515625" customWidth="1"/>
    <col min="2" max="2" width="10" customWidth="1"/>
    <col min="3" max="3" width="16.140625" customWidth="1"/>
    <col min="4" max="4" width="13.140625" customWidth="1"/>
    <col min="5" max="5" width="12.85546875" customWidth="1"/>
    <col min="6" max="6" width="12.5703125" customWidth="1"/>
    <col min="7" max="7" width="12.85546875" customWidth="1"/>
    <col min="8" max="8" width="13" customWidth="1"/>
    <col min="9" max="10" width="12.7109375" customWidth="1"/>
    <col min="11" max="11" width="12.85546875" customWidth="1"/>
    <col min="12" max="12" width="12.5703125" customWidth="1"/>
    <col min="13" max="13" width="13" customWidth="1"/>
    <col min="14" max="14" width="12.7109375" customWidth="1"/>
    <col min="15" max="15" width="12.5703125" customWidth="1"/>
    <col min="16" max="16" width="6.85546875" customWidth="1"/>
    <col min="17" max="17" width="7.42578125" customWidth="1"/>
    <col min="18" max="18" width="9.140625" customWidth="1"/>
  </cols>
  <sheetData>
    <row r="2" spans="1:19" ht="15.75" x14ac:dyDescent="0.25">
      <c r="A2" s="223" t="s">
        <v>89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</row>
    <row r="4" spans="1:19" ht="15" customHeight="1" x14ac:dyDescent="0.25">
      <c r="A4" s="156"/>
      <c r="B4" s="156"/>
      <c r="C4" s="156"/>
      <c r="D4" s="156"/>
      <c r="E4" s="156"/>
      <c r="F4" s="227" t="s">
        <v>95</v>
      </c>
      <c r="G4" s="228"/>
      <c r="H4" s="228"/>
      <c r="I4" s="228"/>
      <c r="J4" s="229"/>
      <c r="K4" s="229"/>
      <c r="L4" s="112"/>
      <c r="M4" s="227" t="s">
        <v>99</v>
      </c>
      <c r="N4" s="227"/>
      <c r="O4" s="132"/>
      <c r="P4" s="132"/>
      <c r="Q4" s="112"/>
      <c r="R4" s="227" t="s">
        <v>88</v>
      </c>
      <c r="S4" s="227"/>
    </row>
    <row r="5" spans="1:19" ht="63.75" x14ac:dyDescent="0.25">
      <c r="A5" s="115" t="s">
        <v>91</v>
      </c>
      <c r="B5" s="115" t="s">
        <v>22</v>
      </c>
      <c r="C5" s="160" t="s">
        <v>92</v>
      </c>
      <c r="D5" s="160" t="s">
        <v>93</v>
      </c>
      <c r="E5" s="161" t="s">
        <v>94</v>
      </c>
      <c r="F5" s="162" t="s">
        <v>71</v>
      </c>
      <c r="G5" s="162" t="s">
        <v>65</v>
      </c>
      <c r="H5" s="162" t="s">
        <v>66</v>
      </c>
      <c r="I5" s="162" t="s">
        <v>6</v>
      </c>
      <c r="J5" s="163" t="s">
        <v>68</v>
      </c>
      <c r="K5" s="163" t="s">
        <v>96</v>
      </c>
      <c r="L5" s="164" t="s">
        <v>124</v>
      </c>
      <c r="M5" s="163" t="s">
        <v>97</v>
      </c>
      <c r="N5" s="163" t="s">
        <v>98</v>
      </c>
      <c r="O5" s="163" t="s">
        <v>14</v>
      </c>
      <c r="P5" s="164" t="s">
        <v>125</v>
      </c>
      <c r="Q5" s="164" t="s">
        <v>13</v>
      </c>
      <c r="R5" s="163" t="s">
        <v>24</v>
      </c>
      <c r="S5" s="163" t="s">
        <v>100</v>
      </c>
    </row>
    <row r="6" spans="1:19" x14ac:dyDescent="0.25">
      <c r="A6" s="114">
        <v>1</v>
      </c>
      <c r="B6" s="114">
        <v>2</v>
      </c>
      <c r="C6" s="114">
        <v>3</v>
      </c>
      <c r="D6" s="114">
        <v>4</v>
      </c>
      <c r="E6" s="114">
        <v>5</v>
      </c>
      <c r="F6" s="114">
        <v>6</v>
      </c>
      <c r="G6" s="114">
        <v>7</v>
      </c>
      <c r="H6" s="114">
        <v>8</v>
      </c>
      <c r="I6" s="114">
        <v>9</v>
      </c>
      <c r="J6" s="114">
        <v>10</v>
      </c>
      <c r="K6" s="114">
        <v>11</v>
      </c>
      <c r="L6" s="106">
        <v>12</v>
      </c>
      <c r="M6" s="114">
        <v>13</v>
      </c>
      <c r="N6" s="114">
        <v>14</v>
      </c>
      <c r="O6" s="114">
        <v>15</v>
      </c>
      <c r="P6" s="114">
        <v>16</v>
      </c>
      <c r="Q6" s="114">
        <v>17</v>
      </c>
      <c r="R6" s="114">
        <v>18</v>
      </c>
      <c r="S6" s="114">
        <v>19</v>
      </c>
    </row>
    <row r="7" spans="1:19" x14ac:dyDescent="0.25">
      <c r="A7" s="114"/>
      <c r="B7" s="122"/>
      <c r="C7" s="123" t="s">
        <v>121</v>
      </c>
      <c r="D7" s="122"/>
      <c r="E7" s="122"/>
      <c r="F7" s="122"/>
      <c r="G7" s="122"/>
      <c r="H7" s="122"/>
      <c r="I7" s="122"/>
      <c r="J7" s="122"/>
      <c r="K7" s="122"/>
      <c r="L7" s="124"/>
      <c r="M7" s="122"/>
      <c r="N7" s="122"/>
      <c r="O7" s="122"/>
      <c r="P7" s="122"/>
      <c r="Q7" s="122"/>
      <c r="R7" s="122"/>
      <c r="S7" s="122"/>
    </row>
    <row r="8" spans="1:19" ht="26.25" customHeight="1" x14ac:dyDescent="0.25">
      <c r="A8" s="111">
        <v>1</v>
      </c>
      <c r="B8" s="131">
        <f>Справочник!A7</f>
        <v>200</v>
      </c>
      <c r="C8" s="111" t="str">
        <f>Справочник!D7</f>
        <v>Директор, 35 лет</v>
      </c>
      <c r="D8" s="116">
        <f>'Расчеты по оплате труда'!C4</f>
        <v>100000</v>
      </c>
      <c r="E8" s="111">
        <f>'Расчеты по оплате труда'!D4</f>
        <v>10</v>
      </c>
      <c r="F8" s="117">
        <f>'Расчеты по оплате труда'!E4</f>
        <v>58823.53</v>
      </c>
      <c r="G8" s="116">
        <f>'Расчеты по оплате труда'!F4</f>
        <v>11764.71</v>
      </c>
      <c r="H8" s="116">
        <f>'Расчеты по оплате труда'!G4</f>
        <v>17647.060000000001</v>
      </c>
      <c r="I8" s="116">
        <f>'Расчеты по оплате труда'!I4</f>
        <v>0</v>
      </c>
      <c r="J8" s="116">
        <f>'Расчеты по оплате труда'!J4</f>
        <v>0</v>
      </c>
      <c r="K8" s="116">
        <f>'Расчеты по оплате труда'!K4</f>
        <v>50602.41</v>
      </c>
      <c r="L8" s="116">
        <f>'Расчеты по оплате труда'!L4</f>
        <v>138837.71</v>
      </c>
      <c r="M8" s="116">
        <f>'Расчеты по оплате труда'!R4</f>
        <v>17867</v>
      </c>
      <c r="N8" s="119">
        <f>'Расчеты по оплате труда'!O4</f>
        <v>0</v>
      </c>
      <c r="O8" s="119">
        <f>'Расчеты по оплате труда'!Y4</f>
        <v>40000</v>
      </c>
      <c r="P8" s="119">
        <f>M8+N8+O8</f>
        <v>57867</v>
      </c>
      <c r="Q8" s="119">
        <f>L8-P8</f>
        <v>80970.709999999992</v>
      </c>
      <c r="R8" s="111" t="str">
        <f>Справочник!B7</f>
        <v>Самоненко С. Г</v>
      </c>
      <c r="S8" s="110"/>
    </row>
    <row r="9" spans="1:19" ht="39.75" customHeight="1" x14ac:dyDescent="0.25">
      <c r="A9" s="111">
        <v>2</v>
      </c>
      <c r="B9" s="131">
        <f>Справочник!A8</f>
        <v>201</v>
      </c>
      <c r="C9" s="111" t="str">
        <f>Справочник!D8</f>
        <v>Главный бухгалтер, 21 год</v>
      </c>
      <c r="D9" s="116">
        <f>'Расчеты по оплате труда'!C5</f>
        <v>75000</v>
      </c>
      <c r="E9" s="111">
        <f>'Расчеты по оплате труда'!D5</f>
        <v>17</v>
      </c>
      <c r="F9" s="117">
        <f>'Расчеты по оплате труда'!E5</f>
        <v>75000</v>
      </c>
      <c r="G9" s="116">
        <f>'Расчеты по оплате труда'!F5</f>
        <v>15000</v>
      </c>
      <c r="H9" s="116">
        <f>'Расчеты по оплате труда'!G5</f>
        <v>22500</v>
      </c>
      <c r="I9" s="116">
        <f>'Расчеты по оплате труда'!I5</f>
        <v>0</v>
      </c>
      <c r="J9" s="116">
        <f>'Расчеты по оплате труда'!J5</f>
        <v>30612.240000000002</v>
      </c>
      <c r="K9" s="116">
        <f>'Расчеты по оплате труда'!K5</f>
        <v>0</v>
      </c>
      <c r="L9" s="116">
        <f>'Расчеты по оплате труда'!L5</f>
        <v>143112.24</v>
      </c>
      <c r="M9" s="116">
        <f>'Расчеты по оплате труда'!R5</f>
        <v>18241</v>
      </c>
      <c r="N9" s="119">
        <f>'Расчеты по оплате труда'!O5</f>
        <v>0</v>
      </c>
      <c r="O9" s="119">
        <f>'Расчеты по оплате труда'!Y5</f>
        <v>30000</v>
      </c>
      <c r="P9" s="119">
        <f t="shared" ref="P9:P10" si="0">M9+N9+O9</f>
        <v>48241</v>
      </c>
      <c r="Q9" s="119">
        <f t="shared" ref="Q9:Q10" si="1">L9-P9</f>
        <v>94871.239999999991</v>
      </c>
      <c r="R9" s="111" t="str">
        <f>Справочник!B8</f>
        <v>Авдошина В. В</v>
      </c>
      <c r="S9" s="110"/>
    </row>
    <row r="10" spans="1:19" ht="40.5" customHeight="1" x14ac:dyDescent="0.25">
      <c r="A10" s="111">
        <v>3</v>
      </c>
      <c r="B10" s="131">
        <f>Справочник!A9</f>
        <v>202</v>
      </c>
      <c r="C10" s="111" t="str">
        <f>Справочник!D9</f>
        <v>Специалист по маркетингу, 5 лет</v>
      </c>
      <c r="D10" s="116">
        <f>'Расчеты по оплате труда'!C6</f>
        <v>55000</v>
      </c>
      <c r="E10" s="111">
        <f>'Расчеты по оплате труда'!D6</f>
        <v>12</v>
      </c>
      <c r="F10" s="117">
        <f>'Расчеты по оплате труда'!E6</f>
        <v>38823.53</v>
      </c>
      <c r="G10" s="116">
        <f>'Расчеты по оплате труда'!F6</f>
        <v>7764.71</v>
      </c>
      <c r="H10" s="116">
        <f>'Расчеты по оплате труда'!G6</f>
        <v>11647.06</v>
      </c>
      <c r="I10" s="116">
        <f>'Расчеты по оплате труда'!I6</f>
        <v>3205.48</v>
      </c>
      <c r="J10" s="116">
        <f>'Расчеты по оплате труда'!J6</f>
        <v>0</v>
      </c>
      <c r="K10" s="116">
        <f>'Расчеты по оплате труда'!K6</f>
        <v>0</v>
      </c>
      <c r="L10" s="116">
        <f>'Расчеты по оплате труда'!L6</f>
        <v>61440.78</v>
      </c>
      <c r="M10" s="116">
        <f>'Расчеты по оплате труда'!R6</f>
        <v>7987</v>
      </c>
      <c r="N10" s="119">
        <f>'Расчеты по оплате труда'!O6</f>
        <v>0</v>
      </c>
      <c r="O10" s="119">
        <f>'Расчеты по оплате труда'!Y6</f>
        <v>22000</v>
      </c>
      <c r="P10" s="119">
        <f t="shared" si="0"/>
        <v>29987</v>
      </c>
      <c r="Q10" s="119">
        <f t="shared" si="1"/>
        <v>31453.78</v>
      </c>
      <c r="R10" s="111" t="str">
        <f>Справочник!B9</f>
        <v>Бакирова А. П</v>
      </c>
      <c r="S10" s="110"/>
    </row>
    <row r="11" spans="1:19" ht="40.5" customHeight="1" x14ac:dyDescent="0.25">
      <c r="A11" s="224" t="s">
        <v>137</v>
      </c>
      <c r="B11" s="225"/>
      <c r="C11" s="152"/>
      <c r="D11" s="151">
        <f>SUM(D8:D10)</f>
        <v>230000</v>
      </c>
      <c r="E11" s="151">
        <f t="shared" ref="E11:Q11" si="2">SUM(E8:E10)</f>
        <v>39</v>
      </c>
      <c r="F11" s="151">
        <f t="shared" si="2"/>
        <v>172647.06</v>
      </c>
      <c r="G11" s="151">
        <f t="shared" si="2"/>
        <v>34529.42</v>
      </c>
      <c r="H11" s="151">
        <f t="shared" si="2"/>
        <v>51794.119999999995</v>
      </c>
      <c r="I11" s="151">
        <f t="shared" si="2"/>
        <v>3205.48</v>
      </c>
      <c r="J11" s="151">
        <f t="shared" si="2"/>
        <v>30612.240000000002</v>
      </c>
      <c r="K11" s="151">
        <f t="shared" si="2"/>
        <v>50602.41</v>
      </c>
      <c r="L11" s="151">
        <f t="shared" si="2"/>
        <v>343390.73</v>
      </c>
      <c r="M11" s="151">
        <f t="shared" si="2"/>
        <v>44095</v>
      </c>
      <c r="N11" s="151">
        <f t="shared" si="2"/>
        <v>0</v>
      </c>
      <c r="O11" s="151">
        <f t="shared" si="2"/>
        <v>92000</v>
      </c>
      <c r="P11" s="151">
        <f t="shared" si="2"/>
        <v>136095</v>
      </c>
      <c r="Q11" s="151">
        <f t="shared" si="2"/>
        <v>207295.72999999998</v>
      </c>
      <c r="R11" s="111"/>
      <c r="S11" s="110"/>
    </row>
    <row r="12" spans="1:19" ht="40.5" customHeight="1" x14ac:dyDescent="0.25">
      <c r="A12" s="111"/>
      <c r="B12" s="125"/>
      <c r="C12" s="126" t="s">
        <v>122</v>
      </c>
      <c r="D12" s="127"/>
      <c r="E12" s="125"/>
      <c r="F12" s="128"/>
      <c r="G12" s="127"/>
      <c r="H12" s="127"/>
      <c r="I12" s="127"/>
      <c r="J12" s="125"/>
      <c r="K12" s="125"/>
      <c r="L12" s="127"/>
      <c r="M12" s="127"/>
      <c r="N12" s="129"/>
      <c r="O12" s="129"/>
      <c r="P12" s="129"/>
      <c r="Q12" s="130"/>
      <c r="R12" s="125"/>
      <c r="S12" s="129"/>
    </row>
    <row r="13" spans="1:19" ht="41.25" customHeight="1" x14ac:dyDescent="0.25">
      <c r="A13" s="111">
        <v>4</v>
      </c>
      <c r="B13" s="131">
        <f>Справочник!A10</f>
        <v>203</v>
      </c>
      <c r="C13" s="111" t="str">
        <f>Справочник!D10</f>
        <v>Слесарь-ремонтник, 10 лет</v>
      </c>
      <c r="D13" s="116">
        <f>'Расчеты по оплате труда'!C7</f>
        <v>50000</v>
      </c>
      <c r="E13" s="111">
        <f>'Расчеты по оплате труда'!D7</f>
        <v>12</v>
      </c>
      <c r="F13" s="117">
        <f>'Расчеты по оплате труда'!E7</f>
        <v>35294.120000000003</v>
      </c>
      <c r="G13" s="116">
        <f>'Расчеты по оплате труда'!F7</f>
        <v>7058.82</v>
      </c>
      <c r="H13" s="116">
        <f>'Расчеты по оплате труда'!G7</f>
        <v>10588.24</v>
      </c>
      <c r="I13" s="116">
        <f>'Расчеты по оплате труда'!I7</f>
        <v>0</v>
      </c>
      <c r="J13" s="116">
        <f>'Расчеты по оплате труда'!J7</f>
        <v>0</v>
      </c>
      <c r="K13" s="116">
        <f>'Расчеты по оплате труда'!K7</f>
        <v>18072.29</v>
      </c>
      <c r="L13" s="116">
        <f>'Расчеты по оплате труда'!L7</f>
        <v>71013.47</v>
      </c>
      <c r="M13" s="116">
        <f>'Расчеты по оплате труда'!R7</f>
        <v>8478</v>
      </c>
      <c r="N13" s="119">
        <f>'Расчеты по оплате труда'!O7</f>
        <v>0</v>
      </c>
      <c r="O13" s="119">
        <f>'Расчеты по оплате труда'!Y7</f>
        <v>20000</v>
      </c>
      <c r="P13" s="119">
        <f>M13+N13+O13</f>
        <v>28478</v>
      </c>
      <c r="Q13" s="119">
        <f>L13-P13</f>
        <v>42535.47</v>
      </c>
      <c r="R13" s="111" t="str">
        <f>Справочник!B10</f>
        <v>Шкап Е. В</v>
      </c>
      <c r="S13" s="110"/>
    </row>
    <row r="14" spans="1:19" ht="27.75" customHeight="1" x14ac:dyDescent="0.25">
      <c r="A14" s="111">
        <v>5</v>
      </c>
      <c r="B14" s="131">
        <f>Справочник!A11</f>
        <v>204</v>
      </c>
      <c r="C14" s="111" t="str">
        <f>Справочник!D11</f>
        <v>Токарь 3 разряда, 7 лет</v>
      </c>
      <c r="D14" s="116">
        <f>'Расчеты по оплате труда'!C8</f>
        <v>39000</v>
      </c>
      <c r="E14" s="111">
        <f>'Расчеты по оплате труда'!D8</f>
        <v>17</v>
      </c>
      <c r="F14" s="117">
        <f>'Расчеты по оплате труда'!E8</f>
        <v>39000</v>
      </c>
      <c r="G14" s="116">
        <f>'Расчеты по оплате труда'!F8</f>
        <v>7800</v>
      </c>
      <c r="H14" s="116">
        <f>'Расчеты по оплате труда'!G8</f>
        <v>11700</v>
      </c>
      <c r="I14" s="116">
        <f>'Расчеты по оплате труда'!I8</f>
        <v>0</v>
      </c>
      <c r="J14" s="116">
        <f>'Расчеты по оплате труда'!J8</f>
        <v>0</v>
      </c>
      <c r="K14" s="116">
        <f>'Расчеты по оплате труда'!K8</f>
        <v>0</v>
      </c>
      <c r="L14" s="116">
        <f>'Расчеты по оплате труда'!L8</f>
        <v>58500</v>
      </c>
      <c r="M14" s="116">
        <f>'Расчеты по оплате труда'!R8</f>
        <v>7423</v>
      </c>
      <c r="N14" s="119">
        <f>'Расчеты по оплате труда'!O8</f>
        <v>0</v>
      </c>
      <c r="O14" s="119">
        <f>'Расчеты по оплате труда'!Y8</f>
        <v>15600</v>
      </c>
      <c r="P14" s="119">
        <f>M14+N14+O14</f>
        <v>23023</v>
      </c>
      <c r="Q14" s="119">
        <f>L14-P14</f>
        <v>35477</v>
      </c>
      <c r="R14" s="111" t="str">
        <f>Справочник!B11</f>
        <v>Неваляшка М. П</v>
      </c>
      <c r="S14" s="110"/>
    </row>
    <row r="15" spans="1:19" ht="27.75" customHeight="1" x14ac:dyDescent="0.25">
      <c r="A15" s="224" t="s">
        <v>138</v>
      </c>
      <c r="B15" s="225"/>
      <c r="C15" s="152"/>
      <c r="D15" s="151">
        <f>SUM(D13:D14)</f>
        <v>89000</v>
      </c>
      <c r="E15" s="151">
        <f t="shared" ref="E15:P15" si="3">SUM(E13:E14)</f>
        <v>29</v>
      </c>
      <c r="F15" s="151">
        <f t="shared" si="3"/>
        <v>74294.12</v>
      </c>
      <c r="G15" s="151">
        <f t="shared" si="3"/>
        <v>14858.82</v>
      </c>
      <c r="H15" s="151">
        <f>SUM(H13:H14)</f>
        <v>22288.239999999998</v>
      </c>
      <c r="I15" s="151">
        <f t="shared" si="3"/>
        <v>0</v>
      </c>
      <c r="J15" s="151">
        <f t="shared" si="3"/>
        <v>0</v>
      </c>
      <c r="K15" s="151">
        <f t="shared" si="3"/>
        <v>18072.29</v>
      </c>
      <c r="L15" s="151">
        <f t="shared" si="3"/>
        <v>129513.47</v>
      </c>
      <c r="M15" s="151">
        <f t="shared" si="3"/>
        <v>15901</v>
      </c>
      <c r="N15" s="151">
        <f t="shared" si="3"/>
        <v>0</v>
      </c>
      <c r="O15" s="151">
        <f t="shared" si="3"/>
        <v>35600</v>
      </c>
      <c r="P15" s="151">
        <f t="shared" si="3"/>
        <v>51501</v>
      </c>
      <c r="Q15" s="151">
        <f>SUM(Q13:Q14)</f>
        <v>78012.47</v>
      </c>
      <c r="R15" s="111"/>
      <c r="S15" s="110"/>
    </row>
    <row r="16" spans="1:19" ht="27.75" customHeight="1" x14ac:dyDescent="0.25">
      <c r="A16" s="111"/>
      <c r="B16" s="125"/>
      <c r="C16" s="126" t="s">
        <v>123</v>
      </c>
      <c r="D16" s="127"/>
      <c r="E16" s="125"/>
      <c r="F16" s="128"/>
      <c r="G16" s="127"/>
      <c r="H16" s="127"/>
      <c r="I16" s="125"/>
      <c r="J16" s="125"/>
      <c r="K16" s="125"/>
      <c r="L16" s="127"/>
      <c r="M16" s="127"/>
      <c r="N16" s="129"/>
      <c r="O16" s="129"/>
      <c r="P16" s="129"/>
      <c r="Q16" s="130"/>
      <c r="R16" s="125"/>
      <c r="S16" s="129"/>
    </row>
    <row r="17" spans="1:19" ht="39" customHeight="1" x14ac:dyDescent="0.25">
      <c r="A17" s="111">
        <v>6</v>
      </c>
      <c r="B17" s="131">
        <f>Справочник!A12</f>
        <v>205</v>
      </c>
      <c r="C17" s="111" t="str">
        <f>Справочник!D12</f>
        <v>Варщик кабельной массы, 11 лет</v>
      </c>
      <c r="D17" s="116">
        <f>'Расчеты по оплате труда'!C9</f>
        <v>20000</v>
      </c>
      <c r="E17" s="111">
        <f>'Расчеты по оплате труда'!D9</f>
        <v>14</v>
      </c>
      <c r="F17" s="117">
        <f>'Расчеты по оплате труда'!E9</f>
        <v>16470.59</v>
      </c>
      <c r="G17" s="116">
        <f>'Расчеты по оплате труда'!F9</f>
        <v>3294.12</v>
      </c>
      <c r="H17" s="116">
        <f>'Расчеты по оплате труда'!G9</f>
        <v>4941.18</v>
      </c>
      <c r="I17" s="116">
        <f>'Расчеты по оплате труда'!I9</f>
        <v>2958.9</v>
      </c>
      <c r="J17" s="116">
        <f>'Расчеты по оплате труда'!J9</f>
        <v>0</v>
      </c>
      <c r="K17" s="116">
        <f>'Расчеты по оплате труда'!K9</f>
        <v>0</v>
      </c>
      <c r="L17" s="116">
        <f>'Расчеты по оплате труда'!L9</f>
        <v>27664.79</v>
      </c>
      <c r="M17" s="116">
        <f>'Расчеты по оплате труда'!R9</f>
        <v>3414</v>
      </c>
      <c r="N17" s="119">
        <f>'Расчеты по оплате труда'!O9</f>
        <v>6062.6975000000002</v>
      </c>
      <c r="O17" s="119">
        <f>'Расчеты по оплате труда'!Y9</f>
        <v>8000</v>
      </c>
      <c r="P17" s="119">
        <f>M17+N17+O17</f>
        <v>17476.697500000002</v>
      </c>
      <c r="Q17" s="119">
        <f>L17-P17</f>
        <v>10188.092499999999</v>
      </c>
      <c r="R17" s="111" t="str">
        <f>Справочник!B12</f>
        <v>Антонов С. Ю</v>
      </c>
      <c r="S17" s="110"/>
    </row>
    <row r="18" spans="1:19" ht="39.75" customHeight="1" x14ac:dyDescent="0.25">
      <c r="A18" s="111">
        <v>7</v>
      </c>
      <c r="B18" s="131">
        <f>Справочник!A13</f>
        <v>206</v>
      </c>
      <c r="C18" s="111" t="str">
        <f>Справочник!D13</f>
        <v>Лакировщик проводов и кабелей, 4 года</v>
      </c>
      <c r="D18" s="116">
        <f>'Расчеты по оплате труда'!C10</f>
        <v>21000</v>
      </c>
      <c r="E18" s="111">
        <f>'Расчеты по оплате труда'!D10</f>
        <v>17</v>
      </c>
      <c r="F18" s="117">
        <f>'Расчеты по оплате труда'!E10</f>
        <v>21000</v>
      </c>
      <c r="G18" s="116">
        <f>'Расчеты по оплате труда'!F10</f>
        <v>4200</v>
      </c>
      <c r="H18" s="116">
        <f>'Расчеты по оплате труда'!G10</f>
        <v>6300</v>
      </c>
      <c r="I18" s="116">
        <f>'Расчеты по оплате труда'!I10</f>
        <v>0</v>
      </c>
      <c r="J18" s="116">
        <f>'Расчеты по оплате труда'!J10</f>
        <v>10714.29</v>
      </c>
      <c r="K18" s="116">
        <f>'Расчеты по оплате труда'!K10</f>
        <v>0</v>
      </c>
      <c r="L18" s="116">
        <f>'Расчеты по оплате труда'!L10</f>
        <v>42214.29</v>
      </c>
      <c r="M18" s="116">
        <f>'Расчеты по оплате труда'!R10</f>
        <v>5124</v>
      </c>
      <c r="N18" s="119">
        <f>'Расчеты по оплате труда'!O10</f>
        <v>12363.43</v>
      </c>
      <c r="O18" s="119">
        <f>'Расчеты по оплате труда'!Y10</f>
        <v>8400</v>
      </c>
      <c r="P18" s="119">
        <f t="shared" ref="P18:P21" si="4">M18+N18+O18</f>
        <v>25887.43</v>
      </c>
      <c r="Q18" s="119">
        <f t="shared" ref="Q18:Q21" si="5">L18-P18</f>
        <v>16326.86</v>
      </c>
      <c r="R18" s="111" t="str">
        <f>Справочник!B13</f>
        <v>Евген П. Л</v>
      </c>
      <c r="S18" s="110"/>
    </row>
    <row r="19" spans="1:19" ht="40.5" customHeight="1" x14ac:dyDescent="0.25">
      <c r="A19" s="111">
        <v>8</v>
      </c>
      <c r="B19" s="131">
        <f>Справочник!A14</f>
        <v>207</v>
      </c>
      <c r="C19" s="111" t="str">
        <f>Справочник!D14</f>
        <v>Прокатчик горячего металла, 5 лет</v>
      </c>
      <c r="D19" s="116">
        <f>'Расчеты по оплате труда'!C11</f>
        <v>19000</v>
      </c>
      <c r="E19" s="111">
        <f>'Расчеты по оплате труда'!D11</f>
        <v>17</v>
      </c>
      <c r="F19" s="117">
        <f>'Расчеты по оплате труда'!E11</f>
        <v>19000</v>
      </c>
      <c r="G19" s="116">
        <f>'Расчеты по оплате труда'!F11</f>
        <v>3800</v>
      </c>
      <c r="H19" s="116">
        <f>'Расчеты по оплате труда'!G11</f>
        <v>5700</v>
      </c>
      <c r="I19" s="116">
        <f>'Расчеты по оплате труда'!I11</f>
        <v>0</v>
      </c>
      <c r="J19" s="116">
        <f>'Расчеты по оплате труда'!J11</f>
        <v>0</v>
      </c>
      <c r="K19" s="116">
        <f>'Расчеты по оплате труда'!K11</f>
        <v>0</v>
      </c>
      <c r="L19" s="116">
        <f>'Расчеты по оплате труда'!L11</f>
        <v>28500</v>
      </c>
      <c r="M19" s="116">
        <f>'Расчеты по оплате труда'!R11</f>
        <v>3705</v>
      </c>
      <c r="N19" s="119">
        <f>'Расчеты по оплате труда'!O11</f>
        <v>0</v>
      </c>
      <c r="O19" s="119">
        <f>'Расчеты по оплате труда'!Y11</f>
        <v>7600</v>
      </c>
      <c r="P19" s="119">
        <f t="shared" si="4"/>
        <v>11305</v>
      </c>
      <c r="Q19" s="119">
        <f t="shared" si="5"/>
        <v>17195</v>
      </c>
      <c r="R19" s="111" t="str">
        <f>Справочник!B14</f>
        <v>Павлов П. П</v>
      </c>
      <c r="S19" s="110"/>
    </row>
    <row r="20" spans="1:19" ht="30.75" customHeight="1" x14ac:dyDescent="0.25">
      <c r="A20" s="111">
        <v>9</v>
      </c>
      <c r="B20" s="131">
        <f>Справочник!A15</f>
        <v>208</v>
      </c>
      <c r="C20" s="111" t="str">
        <f>Справочник!D15</f>
        <v>Смазчик, 7 лет</v>
      </c>
      <c r="D20" s="116">
        <f>'Расчеты по оплате труда'!C12</f>
        <v>15000</v>
      </c>
      <c r="E20" s="111">
        <f>'Расчеты по оплате труда'!D12</f>
        <v>7</v>
      </c>
      <c r="F20" s="117">
        <f>'Расчеты по оплате труда'!E12</f>
        <v>6176.47</v>
      </c>
      <c r="G20" s="116">
        <f>'Расчеты по оплате труда'!F12</f>
        <v>1235.29</v>
      </c>
      <c r="H20" s="116">
        <f>'Расчеты по оплате труда'!G12</f>
        <v>1852.94</v>
      </c>
      <c r="I20" s="116">
        <f>'Расчеты по оплате труда'!I12</f>
        <v>1775.34</v>
      </c>
      <c r="J20" s="116">
        <f>'Расчеты по оплате труда'!J12</f>
        <v>0</v>
      </c>
      <c r="K20" s="116">
        <f>'Расчеты по оплате труда'!K12</f>
        <v>0</v>
      </c>
      <c r="L20" s="116">
        <f>'Расчеты по оплате труда'!L12</f>
        <v>11040.04</v>
      </c>
      <c r="M20" s="116">
        <f>'Расчеты по оплате труда'!R12</f>
        <v>1253</v>
      </c>
      <c r="N20" s="119">
        <f>'Расчеты по оплате труда'!O12</f>
        <v>0</v>
      </c>
      <c r="O20" s="119">
        <f>'Расчеты по оплате труда'!Y12</f>
        <v>6000</v>
      </c>
      <c r="P20" s="119">
        <f t="shared" si="4"/>
        <v>7253</v>
      </c>
      <c r="Q20" s="119">
        <f t="shared" si="5"/>
        <v>3787.0400000000009</v>
      </c>
      <c r="R20" s="111" t="str">
        <f>Справочник!B15</f>
        <v>Иванова С. Д</v>
      </c>
      <c r="S20" s="110"/>
    </row>
    <row r="21" spans="1:19" ht="28.5" customHeight="1" x14ac:dyDescent="0.25">
      <c r="A21" s="109">
        <v>10</v>
      </c>
      <c r="B21" s="131">
        <f>Справочник!A16</f>
        <v>209</v>
      </c>
      <c r="C21" s="111" t="str">
        <f>Справочник!D16</f>
        <v>Подсобный рабочий, 6 лет</v>
      </c>
      <c r="D21" s="116">
        <f>'Расчеты по оплате труда'!C13</f>
        <v>12000</v>
      </c>
      <c r="E21" s="111">
        <f>'Расчеты по оплате труда'!D13</f>
        <v>17</v>
      </c>
      <c r="F21" s="117">
        <f>'Расчеты по оплате труда'!E13</f>
        <v>12000</v>
      </c>
      <c r="G21" s="116">
        <f>'Расчеты по оплате труда'!F13</f>
        <v>2400</v>
      </c>
      <c r="H21" s="116">
        <f>'Расчеты по оплате труда'!G13</f>
        <v>3600</v>
      </c>
      <c r="I21" s="116">
        <f>'Расчеты по оплате труда'!I13</f>
        <v>0</v>
      </c>
      <c r="J21" s="116">
        <f>'Расчеты по оплате труда'!J13</f>
        <v>0</v>
      </c>
      <c r="K21" s="116">
        <f>'Расчеты по оплате труда'!K13</f>
        <v>0</v>
      </c>
      <c r="L21" s="116">
        <f>'Расчеты по оплате труда'!L13</f>
        <v>18000</v>
      </c>
      <c r="M21" s="116">
        <f>'Расчеты по оплате труда'!R13</f>
        <v>1976</v>
      </c>
      <c r="N21" s="119">
        <f>'Расчеты по оплате труда'!O13</f>
        <v>0</v>
      </c>
      <c r="O21" s="119">
        <f>'Расчеты по оплате труда'!Y13</f>
        <v>4800</v>
      </c>
      <c r="P21" s="119">
        <f t="shared" si="4"/>
        <v>6776</v>
      </c>
      <c r="Q21" s="119">
        <f t="shared" si="5"/>
        <v>11224</v>
      </c>
      <c r="R21" s="111" t="str">
        <f>Справочник!B16</f>
        <v>Петров В. К</v>
      </c>
      <c r="S21" s="120"/>
    </row>
    <row r="22" spans="1:19" ht="39" customHeight="1" x14ac:dyDescent="0.25">
      <c r="A22" s="226" t="s">
        <v>139</v>
      </c>
      <c r="B22" s="226"/>
      <c r="C22" s="152"/>
      <c r="D22" s="151">
        <f>SUM(D17:D21)</f>
        <v>87000</v>
      </c>
      <c r="E22" s="151">
        <f t="shared" ref="E22:Q22" si="6">SUM(E17:E21)</f>
        <v>72</v>
      </c>
      <c r="F22" s="151">
        <f t="shared" si="6"/>
        <v>74647.06</v>
      </c>
      <c r="G22" s="151">
        <f t="shared" si="6"/>
        <v>14929.41</v>
      </c>
      <c r="H22" s="151">
        <f t="shared" si="6"/>
        <v>22394.12</v>
      </c>
      <c r="I22" s="151">
        <f t="shared" si="6"/>
        <v>4734.24</v>
      </c>
      <c r="J22" s="151">
        <f t="shared" si="6"/>
        <v>10714.29</v>
      </c>
      <c r="K22" s="151">
        <f t="shared" si="6"/>
        <v>0</v>
      </c>
      <c r="L22" s="151">
        <f t="shared" si="6"/>
        <v>127419.12</v>
      </c>
      <c r="M22" s="151">
        <f t="shared" si="6"/>
        <v>15472</v>
      </c>
      <c r="N22" s="151">
        <f t="shared" si="6"/>
        <v>18426.127500000002</v>
      </c>
      <c r="O22" s="151">
        <f t="shared" si="6"/>
        <v>34800</v>
      </c>
      <c r="P22" s="151">
        <f t="shared" si="6"/>
        <v>68698.127500000002</v>
      </c>
      <c r="Q22" s="151">
        <f t="shared" si="6"/>
        <v>58720.9925</v>
      </c>
      <c r="R22" s="148"/>
      <c r="S22" s="107"/>
    </row>
    <row r="23" spans="1:19" ht="30" x14ac:dyDescent="0.25">
      <c r="A23" s="149"/>
      <c r="B23" s="118"/>
      <c r="C23" s="150" t="s">
        <v>140</v>
      </c>
      <c r="D23" s="127">
        <f>SUM(D11+D15+D22)</f>
        <v>406000</v>
      </c>
      <c r="E23" s="127">
        <f t="shared" ref="E23:Q23" si="7">SUM(E11+E15+E22)</f>
        <v>140</v>
      </c>
      <c r="F23" s="127">
        <f t="shared" si="7"/>
        <v>321588.24</v>
      </c>
      <c r="G23" s="127">
        <f t="shared" si="7"/>
        <v>64317.649999999994</v>
      </c>
      <c r="H23" s="127">
        <f t="shared" si="7"/>
        <v>96476.479999999981</v>
      </c>
      <c r="I23" s="127">
        <f t="shared" si="7"/>
        <v>7939.7199999999993</v>
      </c>
      <c r="J23" s="127">
        <f t="shared" si="7"/>
        <v>41326.53</v>
      </c>
      <c r="K23" s="127">
        <f t="shared" si="7"/>
        <v>68674.700000000012</v>
      </c>
      <c r="L23" s="127">
        <f t="shared" si="7"/>
        <v>600323.31999999995</v>
      </c>
      <c r="M23" s="127">
        <f t="shared" si="7"/>
        <v>75468</v>
      </c>
      <c r="N23" s="127">
        <f t="shared" si="7"/>
        <v>18426.127500000002</v>
      </c>
      <c r="O23" s="127">
        <f t="shared" si="7"/>
        <v>162400</v>
      </c>
      <c r="P23" s="127">
        <f t="shared" si="7"/>
        <v>256294.1275</v>
      </c>
      <c r="Q23" s="127">
        <f t="shared" si="7"/>
        <v>344029.19249999995</v>
      </c>
      <c r="R23" s="107"/>
      <c r="S23" s="107"/>
    </row>
    <row r="24" spans="1:19" x14ac:dyDescent="0.25">
      <c r="A24" s="69"/>
      <c r="B24" s="69"/>
    </row>
  </sheetData>
  <mergeCells count="7">
    <mergeCell ref="A22:B22"/>
    <mergeCell ref="A2:S2"/>
    <mergeCell ref="F4:K4"/>
    <mergeCell ref="M4:N4"/>
    <mergeCell ref="R4:S4"/>
    <mergeCell ref="A11:B11"/>
    <mergeCell ref="A15:B15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3"/>
  <sheetViews>
    <sheetView topLeftCell="A4" workbookViewId="0">
      <selection activeCell="D11" sqref="D10:E11"/>
    </sheetView>
  </sheetViews>
  <sheetFormatPr defaultRowHeight="15" x14ac:dyDescent="0.25"/>
  <cols>
    <col min="1" max="1" width="11.5703125" customWidth="1"/>
    <col min="2" max="2" width="19.42578125" customWidth="1"/>
    <col min="3" max="3" width="10.140625" customWidth="1"/>
    <col min="4" max="4" width="16.5703125" customWidth="1"/>
    <col min="5" max="6" width="18.140625" customWidth="1"/>
    <col min="7" max="7" width="16.7109375" customWidth="1"/>
    <col min="10" max="10" width="10.85546875" customWidth="1"/>
    <col min="11" max="11" width="15.42578125" customWidth="1"/>
  </cols>
  <sheetData>
    <row r="2" spans="1:15" ht="25.5" customHeight="1" x14ac:dyDescent="0.25">
      <c r="A2" s="223" t="s">
        <v>153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</row>
    <row r="3" spans="1:15" ht="25.5" customHeight="1" x14ac:dyDescent="0.25">
      <c r="A3" s="147"/>
      <c r="B3" s="147"/>
      <c r="C3" s="147"/>
      <c r="D3" s="147"/>
      <c r="E3" s="147"/>
      <c r="F3" s="147"/>
      <c r="G3" s="147"/>
      <c r="H3" s="147"/>
      <c r="I3" s="147"/>
      <c r="J3" s="147"/>
      <c r="K3" s="147"/>
    </row>
    <row r="4" spans="1:15" ht="62.25" customHeight="1" x14ac:dyDescent="0.25">
      <c r="A4" s="230" t="s">
        <v>154</v>
      </c>
      <c r="B4" s="230" t="s">
        <v>24</v>
      </c>
      <c r="C4" s="230" t="s">
        <v>30</v>
      </c>
      <c r="D4" s="230" t="s">
        <v>142</v>
      </c>
      <c r="E4" s="230" t="s">
        <v>143</v>
      </c>
      <c r="F4" s="230" t="s">
        <v>144</v>
      </c>
      <c r="G4" s="230"/>
      <c r="H4" s="230"/>
      <c r="I4" s="230"/>
      <c r="J4" s="230"/>
      <c r="K4" s="230" t="s">
        <v>145</v>
      </c>
      <c r="L4" s="159"/>
      <c r="M4" s="159"/>
      <c r="N4" s="159"/>
      <c r="O4" s="159"/>
    </row>
    <row r="5" spans="1:15" x14ac:dyDescent="0.25">
      <c r="A5" s="230"/>
      <c r="B5" s="230"/>
      <c r="C5" s="230"/>
      <c r="D5" s="230"/>
      <c r="E5" s="230"/>
      <c r="F5" s="233" t="s">
        <v>146</v>
      </c>
      <c r="G5" s="233"/>
      <c r="H5" s="233" t="s">
        <v>160</v>
      </c>
      <c r="I5" s="233" t="s">
        <v>159</v>
      </c>
      <c r="J5" s="233" t="s">
        <v>158</v>
      </c>
      <c r="K5" s="230"/>
      <c r="L5" s="159"/>
      <c r="M5" s="159"/>
      <c r="N5" s="159"/>
      <c r="O5" s="159"/>
    </row>
    <row r="6" spans="1:15" ht="25.5" x14ac:dyDescent="0.25">
      <c r="A6" s="230"/>
      <c r="B6" s="230"/>
      <c r="C6" s="230"/>
      <c r="D6" s="230"/>
      <c r="E6" s="230"/>
      <c r="F6" s="165" t="s">
        <v>147</v>
      </c>
      <c r="G6" s="165" t="s">
        <v>148</v>
      </c>
      <c r="H6" s="233"/>
      <c r="I6" s="233"/>
      <c r="J6" s="233"/>
      <c r="K6" s="230"/>
      <c r="L6" s="159"/>
      <c r="M6" s="159"/>
      <c r="N6" s="159"/>
      <c r="O6" s="159"/>
    </row>
    <row r="7" spans="1:15" x14ac:dyDescent="0.25">
      <c r="A7" s="165"/>
      <c r="B7" s="168" t="s">
        <v>121</v>
      </c>
      <c r="C7" s="169"/>
      <c r="D7" s="169"/>
      <c r="E7" s="169"/>
      <c r="F7" s="169"/>
      <c r="G7" s="169"/>
      <c r="H7" s="169"/>
      <c r="I7" s="169"/>
      <c r="J7" s="169"/>
      <c r="K7" s="169"/>
      <c r="L7" s="159"/>
      <c r="M7" s="159"/>
      <c r="N7" s="159"/>
      <c r="O7" s="159"/>
    </row>
    <row r="8" spans="1:15" x14ac:dyDescent="0.25">
      <c r="A8" s="166">
        <f>Справочник!A7</f>
        <v>200</v>
      </c>
      <c r="B8" s="166" t="str">
        <f>Справочник!B7</f>
        <v>Самоненко С. Г</v>
      </c>
      <c r="C8" s="176">
        <f>Справочник!G13</f>
        <v>1966</v>
      </c>
      <c r="D8" s="178">
        <f>'Расчеты по оплате труда'!L4</f>
        <v>138837.71</v>
      </c>
      <c r="E8" s="178">
        <f>'Расчеты по оплате труда'!I4+'Расчеты по оплате труда'!J4</f>
        <v>0</v>
      </c>
      <c r="F8" s="178">
        <f>'Расчеты по оплате труда'!V4</f>
        <v>0</v>
      </c>
      <c r="G8" s="178">
        <f>'Расчеты по оплате труда'!U4</f>
        <v>30544.296199999997</v>
      </c>
      <c r="H8" s="178">
        <f>'Расчеты по оплате труда'!S4</f>
        <v>4026.2935899999993</v>
      </c>
      <c r="I8" s="178">
        <f>'Расчеты по оплате труда'!T4</f>
        <v>7080.7232099999992</v>
      </c>
      <c r="J8" s="178">
        <f>'Расчеты по оплате труда'!W4</f>
        <v>3887.4558799999995</v>
      </c>
      <c r="K8" s="178">
        <f>SUM(F8:J8)</f>
        <v>45538.768879999996</v>
      </c>
      <c r="L8" s="159"/>
      <c r="M8" s="159"/>
      <c r="N8" s="159"/>
      <c r="O8" s="159"/>
    </row>
    <row r="9" spans="1:15" x14ac:dyDescent="0.25">
      <c r="A9" s="166">
        <f>Справочник!A8</f>
        <v>201</v>
      </c>
      <c r="B9" s="166" t="str">
        <f>Справочник!B8</f>
        <v>Авдошина В. В</v>
      </c>
      <c r="C9" s="177">
        <f>Справочник!H13</f>
        <v>1974</v>
      </c>
      <c r="D9" s="178">
        <f>'Расчеты по оплате труда'!L5</f>
        <v>143112.24</v>
      </c>
      <c r="E9" s="178">
        <f>'Расчеты по оплате труда'!I5+'Расчеты по оплате труда'!J5</f>
        <v>30612.240000000002</v>
      </c>
      <c r="F9" s="178">
        <f>'Расчеты по оплате труда'!V5</f>
        <v>6749.9999999999991</v>
      </c>
      <c r="G9" s="178">
        <f>'Расчеты по оплате труда'!U5</f>
        <v>24749.999999999996</v>
      </c>
      <c r="H9" s="178">
        <f>'Расчеты по оплате труда'!S5</f>
        <v>3262.4999999999995</v>
      </c>
      <c r="I9" s="178">
        <f>'Расчеты по оплате труда'!T5</f>
        <v>5737.4999999999991</v>
      </c>
      <c r="J9" s="178">
        <f>'Расчеты по оплате труда'!W5</f>
        <v>3149.9999999999991</v>
      </c>
      <c r="K9" s="178">
        <f t="shared" ref="K9:K10" si="0">SUM(F9:J9)</f>
        <v>43649.999999999993</v>
      </c>
    </row>
    <row r="10" spans="1:15" x14ac:dyDescent="0.25">
      <c r="A10" s="166">
        <f>Справочник!A9</f>
        <v>202</v>
      </c>
      <c r="B10" s="166" t="str">
        <f>Справочник!B9</f>
        <v>Бакирова А. П</v>
      </c>
      <c r="C10" s="177">
        <f>Справочник!I13</f>
        <v>1980</v>
      </c>
      <c r="D10" s="178">
        <f>'Расчеты по оплате труда'!L6</f>
        <v>61440.78</v>
      </c>
      <c r="E10" s="178">
        <f>'Расчеты по оплате труда'!I6+'Расчеты по оплате труда'!J6</f>
        <v>3205.48</v>
      </c>
      <c r="F10" s="178">
        <f>'Расчеты по оплате труда'!V6</f>
        <v>3494.1179999999995</v>
      </c>
      <c r="G10" s="178">
        <f>'Расчеты по оплате труда'!U6</f>
        <v>9317.6479999999992</v>
      </c>
      <c r="H10" s="178">
        <f>'Расчеты по оплате труда'!S6</f>
        <v>1688.8236999999997</v>
      </c>
      <c r="I10" s="178">
        <f>'Расчеты по оплате труда'!T6</f>
        <v>2970.0002999999997</v>
      </c>
      <c r="J10" s="178">
        <f>'Расчеты по оплате труда'!W6</f>
        <v>1630.5883999999996</v>
      </c>
      <c r="K10" s="178">
        <f t="shared" si="0"/>
        <v>19101.178399999997</v>
      </c>
    </row>
    <row r="11" spans="1:15" x14ac:dyDescent="0.25">
      <c r="A11" s="231" t="s">
        <v>137</v>
      </c>
      <c r="B11" s="231"/>
      <c r="C11" s="174"/>
      <c r="D11" s="179">
        <f>SUM(D8:D10)</f>
        <v>343390.73</v>
      </c>
      <c r="E11" s="179">
        <f t="shared" ref="E11:K11" si="1">SUM(E8:E10)</f>
        <v>33817.72</v>
      </c>
      <c r="F11" s="179">
        <f t="shared" si="1"/>
        <v>10244.117999999999</v>
      </c>
      <c r="G11" s="179">
        <f t="shared" si="1"/>
        <v>64611.944199999998</v>
      </c>
      <c r="H11" s="179">
        <f t="shared" si="1"/>
        <v>8977.6172899999983</v>
      </c>
      <c r="I11" s="179">
        <f t="shared" si="1"/>
        <v>15788.223509999998</v>
      </c>
      <c r="J11" s="179">
        <f t="shared" si="1"/>
        <v>8668.0442799999983</v>
      </c>
      <c r="K11" s="179">
        <f t="shared" si="1"/>
        <v>108289.94727999999</v>
      </c>
    </row>
    <row r="12" spans="1:15" x14ac:dyDescent="0.25">
      <c r="A12" s="166"/>
      <c r="B12" s="170" t="s">
        <v>122</v>
      </c>
      <c r="C12" s="175"/>
      <c r="D12" s="175"/>
      <c r="E12" s="175"/>
      <c r="F12" s="175"/>
      <c r="G12" s="175"/>
      <c r="H12" s="175"/>
      <c r="I12" s="175"/>
      <c r="J12" s="175"/>
      <c r="K12" s="175"/>
    </row>
    <row r="13" spans="1:15" x14ac:dyDescent="0.25">
      <c r="A13" s="166">
        <f>Справочник!A10</f>
        <v>203</v>
      </c>
      <c r="B13" s="167" t="str">
        <f>Справочник!B10</f>
        <v>Шкап Е. В</v>
      </c>
      <c r="C13" s="177">
        <f>Справочник!J13</f>
        <v>1983</v>
      </c>
      <c r="D13" s="180">
        <f>'Расчеты по оплате труда'!L7</f>
        <v>71013.47</v>
      </c>
      <c r="E13" s="180">
        <f>'Расчеты по оплате труда'!I7+'Расчеты по оплате труда'!J7</f>
        <v>0</v>
      </c>
      <c r="F13" s="180">
        <f>'Расчеты по оплате труда'!V7</f>
        <v>4260.8081999999995</v>
      </c>
      <c r="G13" s="180">
        <f>'Расчеты по оплате труда'!U7</f>
        <v>15622.963400000001</v>
      </c>
      <c r="H13" s="180">
        <f>'Расчеты по оплате труда'!S7</f>
        <v>2059.3906299999999</v>
      </c>
      <c r="I13" s="180">
        <f>'Расчеты по оплате труда'!T7</f>
        <v>3621.6869699999997</v>
      </c>
      <c r="J13" s="180">
        <f>'Расчеты по оплате труда'!W7</f>
        <v>1988.3771599999998</v>
      </c>
      <c r="K13" s="180">
        <f>SUM(F13:J13)</f>
        <v>27553.226360000001</v>
      </c>
    </row>
    <row r="14" spans="1:15" x14ac:dyDescent="0.25">
      <c r="A14" s="166">
        <f>Справочник!A11</f>
        <v>204</v>
      </c>
      <c r="B14" s="167" t="str">
        <f>Справочник!B11</f>
        <v>Неваляшка М. П</v>
      </c>
      <c r="C14" s="177">
        <f>Справочник!K13</f>
        <v>1970</v>
      </c>
      <c r="D14" s="180">
        <f>'Расчеты по оплате труда'!L8</f>
        <v>58500</v>
      </c>
      <c r="E14" s="180">
        <f>'Расчеты по оплате труда'!I8+'Расчеты по оплате труда'!J8</f>
        <v>0</v>
      </c>
      <c r="F14" s="180">
        <f>'Расчеты по оплате труда'!V8</f>
        <v>3510</v>
      </c>
      <c r="G14" s="180">
        <f>'Расчеты по оплате труда'!U8</f>
        <v>12870</v>
      </c>
      <c r="H14" s="180">
        <f>'Расчеты по оплате труда'!S8</f>
        <v>1696.4999999999998</v>
      </c>
      <c r="I14" s="180">
        <f>'Расчеты по оплате труда'!T8</f>
        <v>2983.5</v>
      </c>
      <c r="J14" s="180">
        <f>'Расчеты по оплате труда'!W8</f>
        <v>1637.9999999999998</v>
      </c>
      <c r="K14" s="180">
        <f>SUM(F14:J14)</f>
        <v>22698</v>
      </c>
    </row>
    <row r="15" spans="1:15" x14ac:dyDescent="0.25">
      <c r="A15" s="231" t="s">
        <v>155</v>
      </c>
      <c r="B15" s="232"/>
      <c r="C15" s="174"/>
      <c r="D15" s="179">
        <f>SUM(D13:D14)</f>
        <v>129513.47</v>
      </c>
      <c r="E15" s="179">
        <f t="shared" ref="E15:K15" si="2">SUM(E13:E14)</f>
        <v>0</v>
      </c>
      <c r="F15" s="179">
        <f t="shared" si="2"/>
        <v>7770.8081999999995</v>
      </c>
      <c r="G15" s="179">
        <f t="shared" si="2"/>
        <v>28492.963400000001</v>
      </c>
      <c r="H15" s="179">
        <f t="shared" si="2"/>
        <v>3755.8906299999999</v>
      </c>
      <c r="I15" s="179">
        <f t="shared" si="2"/>
        <v>6605.1869699999997</v>
      </c>
      <c r="J15" s="179">
        <f t="shared" si="2"/>
        <v>3626.3771599999995</v>
      </c>
      <c r="K15" s="179">
        <f t="shared" si="2"/>
        <v>50251.226360000001</v>
      </c>
    </row>
    <row r="16" spans="1:15" x14ac:dyDescent="0.25">
      <c r="A16" s="166"/>
      <c r="B16" s="171" t="s">
        <v>156</v>
      </c>
      <c r="C16" s="175"/>
      <c r="D16" s="175"/>
      <c r="E16" s="175"/>
      <c r="F16" s="175"/>
      <c r="G16" s="175"/>
      <c r="H16" s="175"/>
      <c r="I16" s="175"/>
      <c r="J16" s="175"/>
      <c r="K16" s="175"/>
    </row>
    <row r="17" spans="1:11" x14ac:dyDescent="0.25">
      <c r="A17" s="166">
        <f>Справочник!A12</f>
        <v>205</v>
      </c>
      <c r="B17" s="167" t="str">
        <f>Справочник!B12</f>
        <v>Антонов С. Ю</v>
      </c>
      <c r="C17" s="177">
        <f>Справочник!L13</f>
        <v>1989</v>
      </c>
      <c r="D17" s="180">
        <f>'Расчеты по оплате труда'!L9</f>
        <v>27664.79</v>
      </c>
      <c r="E17" s="180">
        <f>'Расчеты по оплате труда'!I9+'Расчеты по оплате труда'!J9</f>
        <v>2958.9</v>
      </c>
      <c r="F17" s="180">
        <f>'Расчеты по оплате труда'!V9</f>
        <v>1482.3534</v>
      </c>
      <c r="G17" s="180">
        <f>'Расчеты по оплате труда'!U9</f>
        <v>5435.2957999999999</v>
      </c>
      <c r="H17" s="180">
        <f>'Расчеты по оплате труда'!S9</f>
        <v>716.47080999999991</v>
      </c>
      <c r="I17" s="180">
        <f>'Расчеты по оплате труда'!T9</f>
        <v>1260.0003899999999</v>
      </c>
      <c r="J17" s="180">
        <f>'Расчеты по оплате труда'!W9</f>
        <v>691.76491999999996</v>
      </c>
      <c r="K17" s="180">
        <f>SUM(F17:J17)</f>
        <v>9585.8853199999994</v>
      </c>
    </row>
    <row r="18" spans="1:11" x14ac:dyDescent="0.25">
      <c r="A18" s="166">
        <f>Справочник!A13</f>
        <v>206</v>
      </c>
      <c r="B18" s="167" t="str">
        <f>Справочник!B13</f>
        <v>Евген П. Л</v>
      </c>
      <c r="C18" s="177">
        <f>Справочник!M13</f>
        <v>1975</v>
      </c>
      <c r="D18" s="180">
        <f>'Расчеты по оплате труда'!L10</f>
        <v>42214.29</v>
      </c>
      <c r="E18" s="180">
        <f>'Расчеты по оплате труда'!I10+'Расчеты по оплате труда'!J10</f>
        <v>10714.29</v>
      </c>
      <c r="F18" s="180">
        <f>'Расчеты по оплате труда'!V10</f>
        <v>1890</v>
      </c>
      <c r="G18" s="180">
        <f>'Расчеты по оплате труда'!U10</f>
        <v>6930</v>
      </c>
      <c r="H18" s="180">
        <f>'Расчеты по оплате труда'!S10</f>
        <v>913.49999999999989</v>
      </c>
      <c r="I18" s="180">
        <f>'Расчеты по оплате труда'!T10</f>
        <v>1606.5</v>
      </c>
      <c r="J18" s="180">
        <f>'Расчеты по оплате труда'!W10</f>
        <v>881.99999999999989</v>
      </c>
      <c r="K18" s="180">
        <f t="shared" ref="K18:K21" si="3">SUM(F18:J18)</f>
        <v>12222</v>
      </c>
    </row>
    <row r="19" spans="1:11" x14ac:dyDescent="0.25">
      <c r="A19" s="166">
        <f>Справочник!A14</f>
        <v>207</v>
      </c>
      <c r="B19" s="167" t="str">
        <f>Справочник!B14</f>
        <v>Павлов П. П</v>
      </c>
      <c r="C19" s="177">
        <f>Справочник!N13</f>
        <v>1980</v>
      </c>
      <c r="D19" s="180">
        <f>'Расчеты по оплате труда'!L11</f>
        <v>28500</v>
      </c>
      <c r="E19" s="180">
        <f>'Расчеты по оплате труда'!I11+'Расчеты по оплате труда'!J11</f>
        <v>0</v>
      </c>
      <c r="F19" s="180">
        <f>'Расчеты по оплате труда'!V11</f>
        <v>1710</v>
      </c>
      <c r="G19" s="180">
        <f>'Расчеты по оплате труда'!U11</f>
        <v>6270</v>
      </c>
      <c r="H19" s="180">
        <f>'Расчеты по оплате труда'!S11</f>
        <v>826.49999999999989</v>
      </c>
      <c r="I19" s="180">
        <f>'Расчеты по оплате труда'!T11</f>
        <v>1453.5</v>
      </c>
      <c r="J19" s="180">
        <f>'Расчеты по оплате труда'!W11</f>
        <v>797.99999999999989</v>
      </c>
      <c r="K19" s="180">
        <f t="shared" si="3"/>
        <v>11058</v>
      </c>
    </row>
    <row r="20" spans="1:11" x14ac:dyDescent="0.25">
      <c r="A20" s="166">
        <f>Справочник!A15</f>
        <v>208</v>
      </c>
      <c r="B20" s="167" t="str">
        <f>Справочник!B15</f>
        <v>Иванова С. Д</v>
      </c>
      <c r="C20" s="177">
        <f>Справочник!O13</f>
        <v>1989</v>
      </c>
      <c r="D20" s="180">
        <f>'Расчеты по оплате труда'!L12</f>
        <v>11040.04</v>
      </c>
      <c r="E20" s="180">
        <f>'Расчеты по оплате труда'!I12+'Расчеты по оплате труда'!J12</f>
        <v>1775.34</v>
      </c>
      <c r="F20" s="180">
        <f>'Расчеты по оплате труда'!V12</f>
        <v>555.88200000000006</v>
      </c>
      <c r="G20" s="180">
        <f>'Расчеты по оплате труда'!U12</f>
        <v>2038.2340000000002</v>
      </c>
      <c r="H20" s="180">
        <f>'Расчеты по оплате труда'!S12</f>
        <v>268.67630000000003</v>
      </c>
      <c r="I20" s="180">
        <f>'Расчеты по оплате труда'!T12</f>
        <v>472.49970000000002</v>
      </c>
      <c r="J20" s="180">
        <f>'Расчеты по оплате труда'!W12</f>
        <v>259.41160000000002</v>
      </c>
      <c r="K20" s="180">
        <f t="shared" si="3"/>
        <v>3594.7035999999998</v>
      </c>
    </row>
    <row r="21" spans="1:11" x14ac:dyDescent="0.25">
      <c r="A21" s="166">
        <f>Справочник!A16</f>
        <v>209</v>
      </c>
      <c r="B21" s="167" t="str">
        <f>Справочник!B16</f>
        <v>Петров В. К</v>
      </c>
      <c r="C21" s="177">
        <f>Справочник!P13</f>
        <v>1983</v>
      </c>
      <c r="D21" s="180">
        <f>'Расчеты по оплате труда'!L13</f>
        <v>18000</v>
      </c>
      <c r="E21" s="180">
        <f>'Расчеты по оплате труда'!I13+'Расчеты по оплате труда'!J13</f>
        <v>0</v>
      </c>
      <c r="F21" s="180">
        <f>'Расчеты по оплате труда'!V13</f>
        <v>1080</v>
      </c>
      <c r="G21" s="180">
        <f>'Расчеты по оплате труда'!U13</f>
        <v>3960</v>
      </c>
      <c r="H21" s="180">
        <f>'Расчеты по оплате труда'!S13</f>
        <v>522</v>
      </c>
      <c r="I21" s="180">
        <f>'Расчеты по оплате труда'!T13</f>
        <v>917.99999999999989</v>
      </c>
      <c r="J21" s="180">
        <f>'Расчеты по оплате труда'!W13</f>
        <v>503.99999999999994</v>
      </c>
      <c r="K21" s="180">
        <f t="shared" si="3"/>
        <v>6984</v>
      </c>
    </row>
    <row r="22" spans="1:11" x14ac:dyDescent="0.25">
      <c r="A22" s="231" t="s">
        <v>157</v>
      </c>
      <c r="B22" s="232"/>
      <c r="C22" s="174"/>
      <c r="D22" s="179">
        <f>SUM(D17:D21)</f>
        <v>127419.12</v>
      </c>
      <c r="E22" s="179">
        <f t="shared" ref="E22:K22" si="4">SUM(E17:E21)</f>
        <v>15448.53</v>
      </c>
      <c r="F22" s="179">
        <f t="shared" si="4"/>
        <v>6718.2353999999996</v>
      </c>
      <c r="G22" s="179">
        <f t="shared" si="4"/>
        <v>24633.5298</v>
      </c>
      <c r="H22" s="179">
        <f t="shared" si="4"/>
        <v>3247.1471099999999</v>
      </c>
      <c r="I22" s="179">
        <f t="shared" si="4"/>
        <v>5710.5000900000005</v>
      </c>
      <c r="J22" s="179">
        <f t="shared" si="4"/>
        <v>3135.1765199999995</v>
      </c>
      <c r="K22" s="179">
        <f t="shared" si="4"/>
        <v>43444.588920000002</v>
      </c>
    </row>
    <row r="23" spans="1:11" x14ac:dyDescent="0.25">
      <c r="A23" s="234" t="s">
        <v>140</v>
      </c>
      <c r="B23" s="234"/>
      <c r="C23" s="114"/>
      <c r="D23" s="180">
        <f>SUM(D11+D15+D22)</f>
        <v>600323.31999999995</v>
      </c>
      <c r="E23" s="180">
        <f t="shared" ref="E23:K23" si="5">SUM(E11+E15+E22)</f>
        <v>49266.25</v>
      </c>
      <c r="F23" s="180">
        <f t="shared" si="5"/>
        <v>24733.161599999999</v>
      </c>
      <c r="G23" s="180">
        <f t="shared" si="5"/>
        <v>117738.43740000001</v>
      </c>
      <c r="H23" s="180">
        <f t="shared" si="5"/>
        <v>15980.655029999998</v>
      </c>
      <c r="I23" s="180">
        <f t="shared" si="5"/>
        <v>28103.91057</v>
      </c>
      <c r="J23" s="180">
        <f t="shared" si="5"/>
        <v>15429.597959999997</v>
      </c>
      <c r="K23" s="180">
        <f t="shared" si="5"/>
        <v>201985.76256</v>
      </c>
    </row>
  </sheetData>
  <mergeCells count="16">
    <mergeCell ref="A22:B22"/>
    <mergeCell ref="A23:B23"/>
    <mergeCell ref="H5:H6"/>
    <mergeCell ref="I5:I6"/>
    <mergeCell ref="J5:J6"/>
    <mergeCell ref="K4:K6"/>
    <mergeCell ref="A11:B11"/>
    <mergeCell ref="A15:B15"/>
    <mergeCell ref="A2:K2"/>
    <mergeCell ref="F4:J4"/>
    <mergeCell ref="F5:G5"/>
    <mergeCell ref="E4:E6"/>
    <mergeCell ref="D4:D6"/>
    <mergeCell ref="C4:C6"/>
    <mergeCell ref="B4:B6"/>
    <mergeCell ref="A4:A6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3"/>
  <sheetViews>
    <sheetView topLeftCell="G4" workbookViewId="0">
      <selection activeCell="K25" sqref="K25"/>
    </sheetView>
  </sheetViews>
  <sheetFormatPr defaultRowHeight="15" x14ac:dyDescent="0.25"/>
  <cols>
    <col min="1" max="1" width="11.5703125" customWidth="1"/>
    <col min="2" max="2" width="19.42578125" customWidth="1"/>
    <col min="3" max="3" width="10.140625" customWidth="1"/>
    <col min="4" max="4" width="16.5703125" customWidth="1"/>
    <col min="5" max="5" width="28.7109375" customWidth="1"/>
    <col min="6" max="6" width="14.85546875" customWidth="1"/>
    <col min="7" max="7" width="14.5703125" customWidth="1"/>
    <col min="8" max="8" width="14.85546875" customWidth="1"/>
    <col min="9" max="9" width="14.7109375" customWidth="1"/>
    <col min="10" max="10" width="14.85546875" customWidth="1"/>
    <col min="11" max="11" width="12.5703125" customWidth="1"/>
  </cols>
  <sheetData>
    <row r="2" spans="1:15" ht="25.5" customHeight="1" x14ac:dyDescent="0.25">
      <c r="A2" s="223" t="s">
        <v>153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</row>
    <row r="3" spans="1:15" ht="25.5" customHeight="1" x14ac:dyDescent="0.25">
      <c r="A3" s="157"/>
      <c r="B3" s="157"/>
      <c r="C3" s="157"/>
      <c r="D3" s="157"/>
      <c r="E3" s="157"/>
      <c r="F3" s="157"/>
      <c r="G3" s="157"/>
      <c r="H3" s="157"/>
      <c r="I3" s="157"/>
      <c r="J3" s="157"/>
      <c r="K3" s="157"/>
    </row>
    <row r="4" spans="1:15" ht="62.25" customHeight="1" x14ac:dyDescent="0.25">
      <c r="A4" s="230" t="s">
        <v>154</v>
      </c>
      <c r="B4" s="230" t="s">
        <v>24</v>
      </c>
      <c r="C4" s="230" t="s">
        <v>30</v>
      </c>
      <c r="D4" s="230" t="s">
        <v>142</v>
      </c>
      <c r="E4" s="230" t="s">
        <v>143</v>
      </c>
      <c r="F4" s="230" t="s">
        <v>144</v>
      </c>
      <c r="G4" s="230"/>
      <c r="H4" s="230"/>
      <c r="I4" s="230"/>
      <c r="J4" s="230"/>
      <c r="K4" s="230" t="s">
        <v>145</v>
      </c>
      <c r="L4" s="159"/>
      <c r="M4" s="159"/>
      <c r="N4" s="159"/>
      <c r="O4" s="159"/>
    </row>
    <row r="5" spans="1:15" x14ac:dyDescent="0.25">
      <c r="A5" s="230"/>
      <c r="B5" s="230"/>
      <c r="C5" s="230"/>
      <c r="D5" s="230"/>
      <c r="E5" s="230"/>
      <c r="F5" s="233" t="s">
        <v>146</v>
      </c>
      <c r="G5" s="233"/>
      <c r="H5" s="233" t="s">
        <v>160</v>
      </c>
      <c r="I5" s="233" t="s">
        <v>159</v>
      </c>
      <c r="J5" s="233" t="s">
        <v>158</v>
      </c>
      <c r="K5" s="230"/>
      <c r="L5" s="159"/>
      <c r="M5" s="159"/>
      <c r="N5" s="159"/>
      <c r="O5" s="159"/>
    </row>
    <row r="6" spans="1:15" ht="38.25" x14ac:dyDescent="0.25">
      <c r="A6" s="230"/>
      <c r="B6" s="230"/>
      <c r="C6" s="230"/>
      <c r="D6" s="230"/>
      <c r="E6" s="230"/>
      <c r="F6" s="165" t="s">
        <v>147</v>
      </c>
      <c r="G6" s="165" t="s">
        <v>148</v>
      </c>
      <c r="H6" s="233"/>
      <c r="I6" s="233"/>
      <c r="J6" s="233"/>
      <c r="K6" s="230"/>
      <c r="L6" s="159"/>
      <c r="M6" s="159"/>
      <c r="N6" s="159"/>
      <c r="O6" s="159"/>
    </row>
    <row r="7" spans="1:15" x14ac:dyDescent="0.25">
      <c r="A7" s="165"/>
      <c r="B7" s="168" t="s">
        <v>121</v>
      </c>
      <c r="C7" s="169"/>
      <c r="D7" s="169"/>
      <c r="E7" s="169"/>
      <c r="F7" s="169"/>
      <c r="G7" s="169"/>
      <c r="H7" s="169"/>
      <c r="I7" s="169"/>
      <c r="J7" s="169"/>
      <c r="K7" s="169"/>
      <c r="L7" s="159"/>
      <c r="M7" s="159"/>
      <c r="N7" s="159"/>
      <c r="O7" s="159"/>
    </row>
    <row r="8" spans="1:15" x14ac:dyDescent="0.25">
      <c r="A8" s="166">
        <f>Справочник!A7</f>
        <v>200</v>
      </c>
      <c r="B8" s="166" t="str">
        <f>Справочник!B7</f>
        <v>Самоненко С. Г</v>
      </c>
      <c r="C8" s="176">
        <f>Справочник!G13</f>
        <v>1966</v>
      </c>
      <c r="D8" s="178">
        <f>'Расчеты по оплате труда'!L4</f>
        <v>138837.71</v>
      </c>
      <c r="E8" s="178">
        <f>'Расчеты по оплате труда'!I4+'Расчеты по оплате труда'!J4</f>
        <v>0</v>
      </c>
      <c r="F8" s="178">
        <f>'Расчеты по оплате труда'!V4</f>
        <v>0</v>
      </c>
      <c r="G8" s="178">
        <f>'Расчеты по оплате труда'!U4</f>
        <v>30544.296199999997</v>
      </c>
      <c r="H8" s="178">
        <f>'Расчеты по оплате труда'!S4</f>
        <v>4026.2935899999993</v>
      </c>
      <c r="I8" s="178">
        <f>'Расчеты по оплате труда'!T4</f>
        <v>7080.7232099999992</v>
      </c>
      <c r="J8" s="178">
        <f>'Расчеты по оплате труда'!W4</f>
        <v>3887.4558799999995</v>
      </c>
      <c r="K8" s="178">
        <f>SUM(F8:J8)</f>
        <v>45538.768879999996</v>
      </c>
      <c r="L8" s="159"/>
      <c r="M8" s="159"/>
      <c r="N8" s="159"/>
      <c r="O8" s="159"/>
    </row>
    <row r="9" spans="1:15" x14ac:dyDescent="0.25">
      <c r="A9" s="166">
        <f>Справочник!A8</f>
        <v>201</v>
      </c>
      <c r="B9" s="166" t="str">
        <f>Справочник!B8</f>
        <v>Авдошина В. В</v>
      </c>
      <c r="C9" s="177">
        <f>Справочник!H13</f>
        <v>1974</v>
      </c>
      <c r="D9" s="178">
        <f>'Расчеты по оплате труда'!L5</f>
        <v>143112.24</v>
      </c>
      <c r="E9" s="178">
        <f>'Расчеты по оплате труда'!I5+'Расчеты по оплате труда'!J5</f>
        <v>30612.240000000002</v>
      </c>
      <c r="F9" s="178">
        <f>'Расчеты по оплате труда'!V5</f>
        <v>6749.9999999999991</v>
      </c>
      <c r="G9" s="178">
        <f>'Расчеты по оплате труда'!U5</f>
        <v>24749.999999999996</v>
      </c>
      <c r="H9" s="178">
        <f>'Расчеты по оплате труда'!S5</f>
        <v>3262.4999999999995</v>
      </c>
      <c r="I9" s="178">
        <f>'Расчеты по оплате труда'!T5</f>
        <v>5737.4999999999991</v>
      </c>
      <c r="J9" s="178">
        <f>'Расчеты по оплате труда'!W5</f>
        <v>3149.9999999999991</v>
      </c>
      <c r="K9" s="178">
        <f t="shared" ref="K9:K10" si="0">SUM(F9:J9)</f>
        <v>43649.999999999993</v>
      </c>
    </row>
    <row r="10" spans="1:15" x14ac:dyDescent="0.25">
      <c r="A10" s="166">
        <f>Справочник!A9</f>
        <v>202</v>
      </c>
      <c r="B10" s="166" t="str">
        <f>Справочник!B9</f>
        <v>Бакирова А. П</v>
      </c>
      <c r="C10" s="177">
        <f>Справочник!I13</f>
        <v>1980</v>
      </c>
      <c r="D10" s="178">
        <f>'Расчеты по оплате труда'!L6</f>
        <v>61440.78</v>
      </c>
      <c r="E10" s="178">
        <f>'Расчеты по оплате труда'!I6+'Расчеты по оплате труда'!J6</f>
        <v>3205.48</v>
      </c>
      <c r="F10" s="178">
        <f>'Расчеты по оплате труда'!V6</f>
        <v>3494.1179999999995</v>
      </c>
      <c r="G10" s="178">
        <f>'Расчеты по оплате труда'!U6</f>
        <v>9317.6479999999992</v>
      </c>
      <c r="H10" s="178">
        <f>'Расчеты по оплате труда'!S6</f>
        <v>1688.8236999999997</v>
      </c>
      <c r="I10" s="178">
        <f>'Расчеты по оплате труда'!T6</f>
        <v>2970.0002999999997</v>
      </c>
      <c r="J10" s="178">
        <f>'Расчеты по оплате труда'!W6</f>
        <v>1630.5883999999996</v>
      </c>
      <c r="K10" s="178">
        <f t="shared" si="0"/>
        <v>19101.178399999997</v>
      </c>
    </row>
    <row r="11" spans="1:15" x14ac:dyDescent="0.25">
      <c r="A11" s="231" t="s">
        <v>137</v>
      </c>
      <c r="B11" s="231"/>
      <c r="C11" s="174"/>
      <c r="D11" s="179">
        <f>SUM(D8:D10)</f>
        <v>343390.73</v>
      </c>
      <c r="E11" s="179">
        <f t="shared" ref="E11:K11" si="1">SUM(E8:E10)</f>
        <v>33817.72</v>
      </c>
      <c r="F11" s="179">
        <f t="shared" si="1"/>
        <v>10244.117999999999</v>
      </c>
      <c r="G11" s="179">
        <f t="shared" si="1"/>
        <v>64611.944199999998</v>
      </c>
      <c r="H11" s="179">
        <f t="shared" si="1"/>
        <v>8977.6172899999983</v>
      </c>
      <c r="I11" s="179">
        <f t="shared" si="1"/>
        <v>15788.223509999998</v>
      </c>
      <c r="J11" s="179">
        <f t="shared" si="1"/>
        <v>8668.0442799999983</v>
      </c>
      <c r="K11" s="179">
        <f t="shared" si="1"/>
        <v>108289.94727999999</v>
      </c>
    </row>
    <row r="12" spans="1:15" x14ac:dyDescent="0.25">
      <c r="A12" s="166"/>
      <c r="B12" s="170" t="s">
        <v>122</v>
      </c>
      <c r="C12" s="175"/>
      <c r="D12" s="175"/>
      <c r="E12" s="175"/>
      <c r="F12" s="175"/>
      <c r="G12" s="175"/>
      <c r="H12" s="175"/>
      <c r="I12" s="175"/>
      <c r="J12" s="175"/>
      <c r="K12" s="175"/>
    </row>
    <row r="13" spans="1:15" x14ac:dyDescent="0.25">
      <c r="A13" s="166">
        <f>Справочник!A10</f>
        <v>203</v>
      </c>
      <c r="B13" s="167" t="str">
        <f>Справочник!B10</f>
        <v>Шкап Е. В</v>
      </c>
      <c r="C13" s="177">
        <f>Справочник!J13</f>
        <v>1983</v>
      </c>
      <c r="D13" s="180">
        <f>'Расчеты по оплате труда'!L7</f>
        <v>71013.47</v>
      </c>
      <c r="E13" s="180">
        <f>'Расчеты по оплате труда'!I7+'Расчеты по оплате труда'!J7</f>
        <v>0</v>
      </c>
      <c r="F13" s="180">
        <f>'Расчеты по оплате труда'!V7</f>
        <v>4260.8081999999995</v>
      </c>
      <c r="G13" s="180">
        <f>'Расчеты по оплате труда'!U7</f>
        <v>15622.963400000001</v>
      </c>
      <c r="H13" s="180">
        <f>'Расчеты по оплате труда'!S7</f>
        <v>2059.3906299999999</v>
      </c>
      <c r="I13" s="180">
        <f>'Расчеты по оплате труда'!T7</f>
        <v>3621.6869699999997</v>
      </c>
      <c r="J13" s="180">
        <f>'Расчеты по оплате труда'!W7</f>
        <v>1988.3771599999998</v>
      </c>
      <c r="K13" s="180">
        <f>SUM(F13:J13)</f>
        <v>27553.226360000001</v>
      </c>
    </row>
    <row r="14" spans="1:15" x14ac:dyDescent="0.25">
      <c r="A14" s="166">
        <f>Справочник!A11</f>
        <v>204</v>
      </c>
      <c r="B14" s="167" t="str">
        <f>Справочник!B11</f>
        <v>Неваляшка М. П</v>
      </c>
      <c r="C14" s="177">
        <f>Справочник!K13</f>
        <v>1970</v>
      </c>
      <c r="D14" s="180">
        <f>'Расчеты по оплате труда'!L8</f>
        <v>58500</v>
      </c>
      <c r="E14" s="180">
        <f>'Расчеты по оплате труда'!I8+'Расчеты по оплате труда'!J8</f>
        <v>0</v>
      </c>
      <c r="F14" s="180">
        <f>'Расчеты по оплате труда'!V8</f>
        <v>3510</v>
      </c>
      <c r="G14" s="180">
        <f>'Расчеты по оплате труда'!U8</f>
        <v>12870</v>
      </c>
      <c r="H14" s="180">
        <f>'Расчеты по оплате труда'!S8</f>
        <v>1696.4999999999998</v>
      </c>
      <c r="I14" s="180">
        <f>'Расчеты по оплате труда'!T8</f>
        <v>2983.5</v>
      </c>
      <c r="J14" s="180">
        <f>'Расчеты по оплате труда'!W8</f>
        <v>1637.9999999999998</v>
      </c>
      <c r="K14" s="180">
        <f>SUM(F14:J14)</f>
        <v>22698</v>
      </c>
    </row>
    <row r="15" spans="1:15" x14ac:dyDescent="0.25">
      <c r="A15" s="231" t="s">
        <v>155</v>
      </c>
      <c r="B15" s="232"/>
      <c r="C15" s="174"/>
      <c r="D15" s="179">
        <f>SUM(D13:D14)</f>
        <v>129513.47</v>
      </c>
      <c r="E15" s="179">
        <f t="shared" ref="E15:K15" si="2">SUM(E13:E14)</f>
        <v>0</v>
      </c>
      <c r="F15" s="179">
        <f t="shared" si="2"/>
        <v>7770.8081999999995</v>
      </c>
      <c r="G15" s="179">
        <f t="shared" si="2"/>
        <v>28492.963400000001</v>
      </c>
      <c r="H15" s="179">
        <f t="shared" si="2"/>
        <v>3755.8906299999999</v>
      </c>
      <c r="I15" s="179">
        <f t="shared" si="2"/>
        <v>6605.1869699999997</v>
      </c>
      <c r="J15" s="179">
        <f t="shared" si="2"/>
        <v>3626.3771599999995</v>
      </c>
      <c r="K15" s="179">
        <f t="shared" si="2"/>
        <v>50251.226360000001</v>
      </c>
    </row>
    <row r="16" spans="1:15" x14ac:dyDescent="0.25">
      <c r="A16" s="166"/>
      <c r="B16" s="171" t="s">
        <v>156</v>
      </c>
      <c r="C16" s="175"/>
      <c r="D16" s="175"/>
      <c r="E16" s="175"/>
      <c r="F16" s="175"/>
      <c r="G16" s="175"/>
      <c r="H16" s="175"/>
      <c r="I16" s="175"/>
      <c r="J16" s="175"/>
      <c r="K16" s="175"/>
    </row>
    <row r="17" spans="1:11" x14ac:dyDescent="0.25">
      <c r="A17" s="166">
        <f>Справочник!A12</f>
        <v>205</v>
      </c>
      <c r="B17" s="167" t="str">
        <f>Справочник!B12</f>
        <v>Антонов С. Ю</v>
      </c>
      <c r="C17" s="177">
        <f>Справочник!L13</f>
        <v>1989</v>
      </c>
      <c r="D17" s="180">
        <f>'Расчеты по оплате труда'!L9</f>
        <v>27664.79</v>
      </c>
      <c r="E17" s="180">
        <f>'Расчеты по оплате труда'!I9+'Расчеты по оплате труда'!J9</f>
        <v>2958.9</v>
      </c>
      <c r="F17" s="180">
        <f>'Расчеты по оплате труда'!V9</f>
        <v>1482.3534</v>
      </c>
      <c r="G17" s="180">
        <f>'Расчеты по оплате труда'!U9</f>
        <v>5435.2957999999999</v>
      </c>
      <c r="H17" s="180">
        <f>'Расчеты по оплате труда'!S9</f>
        <v>716.47080999999991</v>
      </c>
      <c r="I17" s="180">
        <f>'Расчеты по оплате труда'!T9</f>
        <v>1260.0003899999999</v>
      </c>
      <c r="J17" s="180">
        <f>'Расчеты по оплате труда'!W9</f>
        <v>691.76491999999996</v>
      </c>
      <c r="K17" s="180">
        <f>SUM(F17:J17)</f>
        <v>9585.8853199999994</v>
      </c>
    </row>
    <row r="18" spans="1:11" x14ac:dyDescent="0.25">
      <c r="A18" s="166">
        <f>Справочник!A13</f>
        <v>206</v>
      </c>
      <c r="B18" s="167" t="str">
        <f>Справочник!B13</f>
        <v>Евген П. Л</v>
      </c>
      <c r="C18" s="177">
        <f>Справочник!M13</f>
        <v>1975</v>
      </c>
      <c r="D18" s="180">
        <f>'Расчеты по оплате труда'!L10</f>
        <v>42214.29</v>
      </c>
      <c r="E18" s="180">
        <f>'Расчеты по оплате труда'!I10+'Расчеты по оплате труда'!J10</f>
        <v>10714.29</v>
      </c>
      <c r="F18" s="180">
        <f>'Расчеты по оплате труда'!V10</f>
        <v>1890</v>
      </c>
      <c r="G18" s="180">
        <f>'Расчеты по оплате труда'!U10</f>
        <v>6930</v>
      </c>
      <c r="H18" s="180">
        <f>'Расчеты по оплате труда'!S10</f>
        <v>913.49999999999989</v>
      </c>
      <c r="I18" s="180">
        <f>'Расчеты по оплате труда'!T10</f>
        <v>1606.5</v>
      </c>
      <c r="J18" s="180">
        <f>'Расчеты по оплате труда'!W10</f>
        <v>881.99999999999989</v>
      </c>
      <c r="K18" s="180">
        <f t="shared" ref="K18:K21" si="3">SUM(F18:J18)</f>
        <v>12222</v>
      </c>
    </row>
    <row r="19" spans="1:11" x14ac:dyDescent="0.25">
      <c r="A19" s="166">
        <f>Справочник!A14</f>
        <v>207</v>
      </c>
      <c r="B19" s="167" t="str">
        <f>Справочник!B14</f>
        <v>Павлов П. П</v>
      </c>
      <c r="C19" s="177">
        <f>Справочник!N13</f>
        <v>1980</v>
      </c>
      <c r="D19" s="180">
        <f>'Расчеты по оплате труда'!L11</f>
        <v>28500</v>
      </c>
      <c r="E19" s="180">
        <f>'Расчеты по оплате труда'!I11+'Расчеты по оплате труда'!J11</f>
        <v>0</v>
      </c>
      <c r="F19" s="180">
        <f>'Расчеты по оплате труда'!V11</f>
        <v>1710</v>
      </c>
      <c r="G19" s="180">
        <f>'Расчеты по оплате труда'!U11</f>
        <v>6270</v>
      </c>
      <c r="H19" s="180">
        <f>'Расчеты по оплате труда'!S11</f>
        <v>826.49999999999989</v>
      </c>
      <c r="I19" s="180">
        <f>'Расчеты по оплате труда'!T11</f>
        <v>1453.5</v>
      </c>
      <c r="J19" s="180">
        <f>'Расчеты по оплате труда'!W11</f>
        <v>797.99999999999989</v>
      </c>
      <c r="K19" s="180">
        <f t="shared" si="3"/>
        <v>11058</v>
      </c>
    </row>
    <row r="20" spans="1:11" x14ac:dyDescent="0.25">
      <c r="A20" s="166">
        <f>Справочник!A15</f>
        <v>208</v>
      </c>
      <c r="B20" s="167" t="str">
        <f>Справочник!B15</f>
        <v>Иванова С. Д</v>
      </c>
      <c r="C20" s="177">
        <f>Справочник!O13</f>
        <v>1989</v>
      </c>
      <c r="D20" s="180">
        <f>'Расчеты по оплате труда'!L12</f>
        <v>11040.04</v>
      </c>
      <c r="E20" s="180">
        <f>'Расчеты по оплате труда'!I12+'Расчеты по оплате труда'!J12</f>
        <v>1775.34</v>
      </c>
      <c r="F20" s="180">
        <f>'Расчеты по оплате труда'!V12</f>
        <v>555.88200000000006</v>
      </c>
      <c r="G20" s="180">
        <f>'Расчеты по оплате труда'!U12</f>
        <v>2038.2340000000002</v>
      </c>
      <c r="H20" s="180">
        <f>'Расчеты по оплате труда'!S12</f>
        <v>268.67630000000003</v>
      </c>
      <c r="I20" s="180">
        <f>'Расчеты по оплате труда'!T12</f>
        <v>472.49970000000002</v>
      </c>
      <c r="J20" s="180">
        <f>'Расчеты по оплате труда'!W12</f>
        <v>259.41160000000002</v>
      </c>
      <c r="K20" s="180">
        <f t="shared" si="3"/>
        <v>3594.7035999999998</v>
      </c>
    </row>
    <row r="21" spans="1:11" x14ac:dyDescent="0.25">
      <c r="A21" s="166">
        <f>Справочник!A16</f>
        <v>209</v>
      </c>
      <c r="B21" s="167" t="str">
        <f>Справочник!B16</f>
        <v>Петров В. К</v>
      </c>
      <c r="C21" s="177">
        <f>Справочник!P13</f>
        <v>1983</v>
      </c>
      <c r="D21" s="180">
        <f>'Расчеты по оплате труда'!L13</f>
        <v>18000</v>
      </c>
      <c r="E21" s="180">
        <f>'Расчеты по оплате труда'!I13+'Расчеты по оплате труда'!J13</f>
        <v>0</v>
      </c>
      <c r="F21" s="180">
        <f>'Расчеты по оплате труда'!V13</f>
        <v>1080</v>
      </c>
      <c r="G21" s="180">
        <f>'Расчеты по оплате труда'!U13</f>
        <v>3960</v>
      </c>
      <c r="H21" s="180">
        <f>'Расчеты по оплате труда'!S13</f>
        <v>522</v>
      </c>
      <c r="I21" s="180">
        <f>'Расчеты по оплате труда'!T13</f>
        <v>917.99999999999989</v>
      </c>
      <c r="J21" s="180">
        <f>'Расчеты по оплате труда'!W13</f>
        <v>503.99999999999994</v>
      </c>
      <c r="K21" s="180">
        <f t="shared" si="3"/>
        <v>6984</v>
      </c>
    </row>
    <row r="22" spans="1:11" x14ac:dyDescent="0.25">
      <c r="A22" s="231" t="s">
        <v>157</v>
      </c>
      <c r="B22" s="232"/>
      <c r="C22" s="174"/>
      <c r="D22" s="179">
        <f>SUM(D17:D21)</f>
        <v>127419.12</v>
      </c>
      <c r="E22" s="179">
        <f t="shared" ref="E22:K22" si="4">SUM(E17:E21)</f>
        <v>15448.53</v>
      </c>
      <c r="F22" s="179">
        <f t="shared" si="4"/>
        <v>6718.2353999999996</v>
      </c>
      <c r="G22" s="179">
        <f t="shared" si="4"/>
        <v>24633.5298</v>
      </c>
      <c r="H22" s="179">
        <f t="shared" si="4"/>
        <v>3247.1471099999999</v>
      </c>
      <c r="I22" s="179">
        <f t="shared" si="4"/>
        <v>5710.5000900000005</v>
      </c>
      <c r="J22" s="179">
        <f t="shared" si="4"/>
        <v>3135.1765199999995</v>
      </c>
      <c r="K22" s="179">
        <f t="shared" si="4"/>
        <v>43444.588920000002</v>
      </c>
    </row>
    <row r="23" spans="1:11" x14ac:dyDescent="0.25">
      <c r="A23" s="234" t="s">
        <v>140</v>
      </c>
      <c r="B23" s="234"/>
      <c r="C23" s="114"/>
      <c r="D23" s="180">
        <f>SUM(D11+D15+D22)</f>
        <v>600323.31999999995</v>
      </c>
      <c r="E23" s="180">
        <f t="shared" ref="E23:K23" si="5">SUM(E11+E15+E22)</f>
        <v>49266.25</v>
      </c>
      <c r="F23" s="180">
        <f t="shared" si="5"/>
        <v>24733.161599999999</v>
      </c>
      <c r="G23" s="180">
        <f t="shared" si="5"/>
        <v>117738.43740000001</v>
      </c>
      <c r="H23" s="180">
        <f t="shared" si="5"/>
        <v>15980.655029999998</v>
      </c>
      <c r="I23" s="180">
        <f t="shared" si="5"/>
        <v>28103.91057</v>
      </c>
      <c r="J23" s="180">
        <f t="shared" si="5"/>
        <v>15429.597959999997</v>
      </c>
      <c r="K23" s="180">
        <f t="shared" si="5"/>
        <v>201985.76256</v>
      </c>
    </row>
  </sheetData>
  <mergeCells count="16">
    <mergeCell ref="A23:B23"/>
    <mergeCell ref="A2:K2"/>
    <mergeCell ref="A4:A6"/>
    <mergeCell ref="B4:B6"/>
    <mergeCell ref="C4:C6"/>
    <mergeCell ref="D4:D6"/>
    <mergeCell ref="E4:E6"/>
    <mergeCell ref="F4:J4"/>
    <mergeCell ref="K4:K6"/>
    <mergeCell ref="F5:G5"/>
    <mergeCell ref="H5:H6"/>
    <mergeCell ref="I5:I6"/>
    <mergeCell ref="J5:J6"/>
    <mergeCell ref="A11:B11"/>
    <mergeCell ref="A15:B15"/>
    <mergeCell ref="A22:B22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"/>
  <sheetViews>
    <sheetView workbookViewId="0">
      <selection activeCell="K14" sqref="K14"/>
    </sheetView>
  </sheetViews>
  <sheetFormatPr defaultRowHeight="15" x14ac:dyDescent="0.25"/>
  <cols>
    <col min="1" max="1" width="9.28515625" customWidth="1"/>
    <col min="2" max="4" width="10.42578125" customWidth="1"/>
    <col min="7" max="7" width="10" bestFit="1" customWidth="1"/>
    <col min="8" max="9" width="10" customWidth="1"/>
    <col min="11" max="11" width="12.85546875" customWidth="1"/>
  </cols>
  <sheetData>
    <row r="2" spans="1:11" x14ac:dyDescent="0.25">
      <c r="A2" s="217" t="s">
        <v>163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</row>
    <row r="4" spans="1:11" ht="30" x14ac:dyDescent="0.25">
      <c r="A4" s="186"/>
      <c r="B4" s="184" t="s">
        <v>161</v>
      </c>
      <c r="C4" s="187" t="s">
        <v>168</v>
      </c>
      <c r="D4" s="187" t="s">
        <v>169</v>
      </c>
      <c r="E4" s="183" t="s">
        <v>170</v>
      </c>
      <c r="F4" s="183">
        <v>68</v>
      </c>
      <c r="G4" s="183" t="s">
        <v>165</v>
      </c>
      <c r="H4" s="183" t="s">
        <v>166</v>
      </c>
      <c r="I4" s="183" t="s">
        <v>167</v>
      </c>
      <c r="J4" s="183">
        <v>76</v>
      </c>
      <c r="K4" s="172" t="s">
        <v>164</v>
      </c>
    </row>
    <row r="5" spans="1:11" ht="30" x14ac:dyDescent="0.25">
      <c r="A5" s="184" t="s">
        <v>162</v>
      </c>
      <c r="B5" s="185"/>
      <c r="C5" s="185"/>
      <c r="D5" s="185"/>
      <c r="E5" s="186"/>
      <c r="F5" s="186"/>
      <c r="G5" s="186"/>
      <c r="H5" s="186"/>
      <c r="I5" s="186"/>
      <c r="J5" s="186"/>
      <c r="K5" s="186"/>
    </row>
    <row r="6" spans="1:11" ht="24.75" customHeight="1" x14ac:dyDescent="0.25">
      <c r="A6" s="183">
        <v>20</v>
      </c>
      <c r="B6" s="182"/>
      <c r="C6" s="182"/>
      <c r="D6" s="182"/>
      <c r="E6" s="114"/>
      <c r="F6" s="114"/>
      <c r="G6" s="182">
        <f>РПВ!L22</f>
        <v>127419.12</v>
      </c>
      <c r="H6" s="182">
        <f>РПВ!I22</f>
        <v>4734.24</v>
      </c>
      <c r="I6" s="182">
        <f>РПВ!J22</f>
        <v>10714.29</v>
      </c>
      <c r="J6" s="114"/>
      <c r="K6" s="182">
        <f>SUM(B6:J6)</f>
        <v>142867.65</v>
      </c>
    </row>
    <row r="7" spans="1:11" ht="20.25" customHeight="1" x14ac:dyDescent="0.25">
      <c r="A7" s="183">
        <v>25</v>
      </c>
      <c r="B7" s="182"/>
      <c r="C7" s="182"/>
      <c r="D7" s="182"/>
      <c r="E7" s="114"/>
      <c r="F7" s="114"/>
      <c r="G7" s="114">
        <f>РПВ!L15</f>
        <v>129513.47</v>
      </c>
      <c r="H7" s="182">
        <f>РПВ!I15</f>
        <v>0</v>
      </c>
      <c r="I7" s="182">
        <f>РПВ!J15</f>
        <v>0</v>
      </c>
      <c r="J7" s="114"/>
      <c r="K7" s="182">
        <f t="shared" ref="K7:K9" si="0">SUM(B7:J7)</f>
        <v>129513.47</v>
      </c>
    </row>
    <row r="8" spans="1:11" ht="21.75" customHeight="1" x14ac:dyDescent="0.25">
      <c r="A8" s="183">
        <v>26</v>
      </c>
      <c r="B8" s="182"/>
      <c r="C8" s="182"/>
      <c r="D8" s="182"/>
      <c r="E8" s="114"/>
      <c r="F8" s="114"/>
      <c r="G8" s="182">
        <f>РПВ!L11</f>
        <v>343390.73</v>
      </c>
      <c r="H8" s="182">
        <f>РПВ!J11</f>
        <v>30612.240000000002</v>
      </c>
      <c r="I8" s="182">
        <f>РПВ!J11</f>
        <v>30612.240000000002</v>
      </c>
      <c r="J8" s="114"/>
      <c r="K8" s="182">
        <f t="shared" si="0"/>
        <v>404615.20999999996</v>
      </c>
    </row>
    <row r="9" spans="1:11" ht="20.25" customHeight="1" x14ac:dyDescent="0.25">
      <c r="A9" s="183">
        <v>70</v>
      </c>
      <c r="B9" s="182"/>
      <c r="C9" s="182">
        <f>РПВ!L23</f>
        <v>600323.31999999995</v>
      </c>
      <c r="D9" s="182">
        <f>РПВ!I23</f>
        <v>7939.7199999999993</v>
      </c>
      <c r="E9" s="182">
        <f>РПВ!J23</f>
        <v>41326.53</v>
      </c>
      <c r="F9" s="182">
        <f>РПВ!M23</f>
        <v>75468</v>
      </c>
      <c r="G9" s="114"/>
      <c r="H9" s="114"/>
      <c r="I9" s="114"/>
      <c r="J9" s="182">
        <f>РПВ!N23</f>
        <v>18426.127500000002</v>
      </c>
      <c r="K9" s="182">
        <f t="shared" si="0"/>
        <v>743483.69750000001</v>
      </c>
    </row>
    <row r="10" spans="1:11" x14ac:dyDescent="0.25">
      <c r="A10" s="173" t="s">
        <v>164</v>
      </c>
      <c r="B10" s="108"/>
      <c r="C10" s="181">
        <f>SUM(C6:C9)</f>
        <v>600323.31999999995</v>
      </c>
      <c r="D10" s="181">
        <f t="shared" ref="D10:K10" si="1">SUM(D6:D9)</f>
        <v>7939.7199999999993</v>
      </c>
      <c r="E10" s="181">
        <f t="shared" si="1"/>
        <v>41326.53</v>
      </c>
      <c r="F10" s="181">
        <f t="shared" si="1"/>
        <v>75468</v>
      </c>
      <c r="G10" s="181">
        <f t="shared" si="1"/>
        <v>600323.31999999995</v>
      </c>
      <c r="H10" s="181">
        <f t="shared" si="1"/>
        <v>35346.480000000003</v>
      </c>
      <c r="I10" s="181">
        <f t="shared" si="1"/>
        <v>41326.53</v>
      </c>
      <c r="J10" s="181">
        <f t="shared" si="1"/>
        <v>18426.127500000002</v>
      </c>
      <c r="K10" s="188">
        <f t="shared" si="1"/>
        <v>1420480.0274999999</v>
      </c>
    </row>
  </sheetData>
  <mergeCells count="1">
    <mergeCell ref="A2:K2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4</vt:i4>
      </vt:variant>
    </vt:vector>
  </HeadingPairs>
  <TitlesOfParts>
    <vt:vector size="14" baseType="lpstr">
      <vt:lpstr>Справочник</vt:lpstr>
      <vt:lpstr>Справочник Ф</vt:lpstr>
      <vt:lpstr>Расчеты по оплате труда</vt:lpstr>
      <vt:lpstr>Расчеты по оплате труда Ф</vt:lpstr>
      <vt:lpstr>РПВ</vt:lpstr>
      <vt:lpstr>РПВ Ф</vt:lpstr>
      <vt:lpstr>Взносы в Фонды</vt:lpstr>
      <vt:lpstr>Взносы в Фонды Ф</vt:lpstr>
      <vt:lpstr>Ж-О</vt:lpstr>
      <vt:lpstr>Ж-О Ф</vt:lpstr>
      <vt:lpstr>'Справочник Ф'!Процент_аванса</vt:lpstr>
      <vt:lpstr>Процент_аванса</vt:lpstr>
      <vt:lpstr>'Справочник Ф'!Процент_по_колдоговору</vt:lpstr>
      <vt:lpstr>Процент_по_колдоговору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GYPNORION</dc:creator>
  <cp:lastModifiedBy>Мося)</cp:lastModifiedBy>
  <cp:lastPrinted>2013-11-20T12:04:22Z</cp:lastPrinted>
  <dcterms:created xsi:type="dcterms:W3CDTF">2013-10-23T09:38:13Z</dcterms:created>
  <dcterms:modified xsi:type="dcterms:W3CDTF">2013-11-24T09:11:35Z</dcterms:modified>
</cp:coreProperties>
</file>