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19200" windowHeight="6900"/>
  </bookViews>
  <sheets>
    <sheet name="МИКА" sheetId="2" r:id="rId1"/>
    <sheet name="Закрытия_подрядчики" sheetId="6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10" i="2"/>
  <c r="L11" i="2"/>
  <c r="L8" i="2"/>
  <c r="K10" i="2"/>
  <c r="K8" i="2"/>
  <c r="J11" i="2"/>
  <c r="J9" i="2"/>
  <c r="I11" i="2"/>
  <c r="I9" i="2"/>
  <c r="I8" i="2"/>
  <c r="K9" i="2"/>
  <c r="K11" i="2"/>
  <c r="J10" i="2"/>
  <c r="J8" i="2"/>
  <c r="I10" i="2"/>
  <c r="L3" i="6"/>
  <c r="L4" i="6"/>
  <c r="L5" i="6"/>
  <c r="L2" i="6"/>
  <c r="M10" i="2" l="1"/>
  <c r="M9" i="2"/>
  <c r="M8" i="2"/>
  <c r="E9" i="2"/>
  <c r="E10" i="2"/>
  <c r="E8" i="2"/>
  <c r="G2" i="6"/>
  <c r="O4" i="6"/>
  <c r="S4" i="6" s="1"/>
  <c r="M3" i="6"/>
  <c r="N3" i="6" s="1"/>
  <c r="M2" i="6"/>
  <c r="N2" i="6" s="1"/>
  <c r="N4" i="6" l="1"/>
  <c r="E5" i="2" l="1"/>
  <c r="L5" i="2"/>
  <c r="O12" i="2" l="1"/>
  <c r="C16" i="2"/>
  <c r="L14" i="2"/>
  <c r="L18" i="2" s="1"/>
  <c r="K14" i="2"/>
  <c r="K18" i="2" s="1"/>
  <c r="J14" i="2"/>
  <c r="J18" i="2" s="1"/>
  <c r="I14" i="2"/>
  <c r="I18" i="2" s="1"/>
  <c r="L7" i="2"/>
  <c r="L15" i="2" s="1"/>
  <c r="K7" i="2"/>
  <c r="K15" i="2" s="1"/>
  <c r="J7" i="2"/>
  <c r="J15" i="2" s="1"/>
  <c r="E14" i="2"/>
  <c r="E18" i="2" s="1"/>
  <c r="D14" i="2"/>
  <c r="G5" i="2"/>
  <c r="F5" i="2"/>
  <c r="F14" i="2" s="1"/>
  <c r="M5" i="2"/>
  <c r="C14" i="2"/>
  <c r="M18" i="2" l="1"/>
  <c r="C17" i="2"/>
  <c r="M14" i="2"/>
  <c r="C15" i="2"/>
  <c r="C10" i="2" s="1"/>
  <c r="F10" i="2" s="1"/>
  <c r="K16" i="2"/>
  <c r="K17" i="2" s="1"/>
  <c r="L16" i="2"/>
  <c r="L17" i="2" s="1"/>
  <c r="J16" i="2"/>
  <c r="J17" i="2" s="1"/>
  <c r="C8" i="2" l="1"/>
  <c r="F8" i="2" s="1"/>
  <c r="D10" i="2"/>
  <c r="G10" i="2" s="1"/>
  <c r="C9" i="2"/>
  <c r="D9" i="2" s="1"/>
  <c r="G9" i="2" s="1"/>
  <c r="C11" i="2"/>
  <c r="C7" i="2" s="1"/>
  <c r="D8" i="2"/>
  <c r="I17" i="2"/>
  <c r="F9" i="2" l="1"/>
  <c r="D11" i="2"/>
  <c r="G11" i="2" s="1"/>
  <c r="G8" i="2"/>
  <c r="G7" i="2" l="1"/>
  <c r="D7" i="2"/>
  <c r="D15" i="2" s="1"/>
  <c r="D16" i="2" s="1"/>
  <c r="D17" i="2" s="1"/>
  <c r="I7" i="2" l="1"/>
  <c r="I15" i="2" s="1"/>
  <c r="E11" i="2"/>
  <c r="F11" i="2" s="1"/>
  <c r="F7" i="2" s="1"/>
  <c r="F15" i="2" s="1"/>
  <c r="F16" i="2" s="1"/>
  <c r="M11" i="2"/>
  <c r="M7" i="2" s="1"/>
  <c r="E7" i="2" l="1"/>
  <c r="E15" i="2" s="1"/>
  <c r="E16" i="2" s="1"/>
  <c r="E17" i="2" s="1"/>
  <c r="I16" i="2"/>
  <c r="M16" i="2" s="1"/>
  <c r="M17" i="2" s="1"/>
  <c r="M15" i="2"/>
</calcChain>
</file>

<file path=xl/sharedStrings.xml><?xml version="1.0" encoding="utf-8"?>
<sst xmlns="http://schemas.openxmlformats.org/spreadsheetml/2006/main" count="58" uniqueCount="47">
  <si>
    <t>ВЫРУЧКА</t>
  </si>
  <si>
    <t>ЗАТРАТЫ</t>
  </si>
  <si>
    <t>Часы</t>
  </si>
  <si>
    <t>Оборудование</t>
  </si>
  <si>
    <t>Материалы</t>
  </si>
  <si>
    <t>МАРЖА</t>
  </si>
  <si>
    <t>% выполнения</t>
  </si>
  <si>
    <t>МАРЖА %</t>
  </si>
  <si>
    <t>Год</t>
  </si>
  <si>
    <t>код проекта</t>
  </si>
  <si>
    <t>описание</t>
  </si>
  <si>
    <t>актуальная калькуляция</t>
  </si>
  <si>
    <t>к выполнению</t>
  </si>
  <si>
    <t>дельта</t>
  </si>
  <si>
    <t>ДС</t>
  </si>
  <si>
    <t>ASSUMPTIONS</t>
  </si>
  <si>
    <t>договорная калькуляция</t>
  </si>
  <si>
    <t>Подрядчк</t>
  </si>
  <si>
    <t>№акта</t>
  </si>
  <si>
    <t>Дата акта</t>
  </si>
  <si>
    <t>Сумма, без НДС</t>
  </si>
  <si>
    <t>НДС</t>
  </si>
  <si>
    <t>Сумма, с НДС</t>
  </si>
  <si>
    <t>Аванс (с НДС)</t>
  </si>
  <si>
    <t>К оплате (с НДС)</t>
  </si>
  <si>
    <t>№СФ</t>
  </si>
  <si>
    <t>№ Договора</t>
  </si>
  <si>
    <t>Дата договора</t>
  </si>
  <si>
    <t>СП2</t>
  </si>
  <si>
    <t>РС-03</t>
  </si>
  <si>
    <t>Код проекта</t>
  </si>
  <si>
    <t>Вид</t>
  </si>
  <si>
    <t>Работы</t>
  </si>
  <si>
    <t>№счёта</t>
  </si>
  <si>
    <t>РС-02</t>
  </si>
  <si>
    <t>09.24/2</t>
  </si>
  <si>
    <t>РС-01</t>
  </si>
  <si>
    <t xml:space="preserve">Работы </t>
  </si>
  <si>
    <t>Квартал</t>
  </si>
  <si>
    <t>IV</t>
  </si>
  <si>
    <t>I</t>
  </si>
  <si>
    <t>II</t>
  </si>
  <si>
    <t>III</t>
  </si>
  <si>
    <t>XXX1</t>
  </si>
  <si>
    <t>XXX2</t>
  </si>
  <si>
    <t>XXX3</t>
  </si>
  <si>
    <t>XXX4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</si>
</sst>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2" tint="-0.49998474074526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7" tint="0.59999389629810485"/>
      <name val="Calibri"/>
      <family val="2"/>
      <charset val="204"/>
      <scheme val="minor"/>
    </font>
    <font>
      <sz val="8"/>
      <color rgb="FF0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3" fillId="4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9" fontId="3" fillId="0" borderId="0" xfId="2" applyFont="1" applyAlignment="1">
      <alignment horizontal="center"/>
    </xf>
    <xf numFmtId="9" fontId="2" fillId="4" borderId="1" xfId="2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/>
    </xf>
    <xf numFmtId="9" fontId="2" fillId="0" borderId="1" xfId="2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9" fontId="5" fillId="5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 wrapText="1"/>
    </xf>
    <xf numFmtId="9" fontId="3" fillId="0" borderId="0" xfId="1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164" fontId="2" fillId="6" borderId="0" xfId="1" applyNumberFormat="1" applyFont="1" applyFill="1" applyAlignment="1">
      <alignment horizontal="center"/>
    </xf>
    <xf numFmtId="43" fontId="2" fillId="0" borderId="0" xfId="1" applyFont="1" applyAlignment="1">
      <alignment horizontal="center"/>
    </xf>
    <xf numFmtId="0" fontId="3" fillId="6" borderId="0" xfId="0" applyFont="1" applyFill="1" applyAlignment="1">
      <alignment horizontal="center"/>
    </xf>
    <xf numFmtId="14" fontId="3" fillId="6" borderId="0" xfId="0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8" fillId="7" borderId="1" xfId="0" applyFont="1" applyFill="1" applyBorder="1" applyAlignment="1">
      <alignment horizontal="center"/>
    </xf>
    <xf numFmtId="164" fontId="3" fillId="5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2" fillId="5" borderId="0" xfId="1" applyFont="1" applyFill="1" applyAlignment="1">
      <alignment horizontal="center"/>
    </xf>
    <xf numFmtId="43" fontId="3" fillId="5" borderId="0" xfId="1" applyFont="1" applyFill="1" applyAlignment="1">
      <alignment horizontal="center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FFFFCC"/>
      <color rgb="FFCCECFF"/>
      <color rgb="FF99FF66"/>
      <color rgb="FFFF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showGridLines="0" tabSelected="1" workbookViewId="0">
      <selection activeCell="I8" sqref="I8"/>
    </sheetView>
  </sheetViews>
  <sheetFormatPr defaultRowHeight="12" x14ac:dyDescent="0.3"/>
  <cols>
    <col min="1" max="1" width="11.7265625" style="2" bestFit="1" customWidth="1"/>
    <col min="2" max="2" width="15.26953125" style="2" bestFit="1" customWidth="1"/>
    <col min="3" max="4" width="13.90625" style="11" customWidth="1"/>
    <col min="5" max="5" width="13.453125" style="2" bestFit="1" customWidth="1"/>
    <col min="6" max="6" width="12.453125" style="2" bestFit="1" customWidth="1"/>
    <col min="7" max="7" width="11.1796875" style="2" bestFit="1" customWidth="1"/>
    <col min="8" max="8" width="2" style="2" customWidth="1"/>
    <col min="9" max="11" width="10.453125" style="2" bestFit="1" customWidth="1"/>
    <col min="12" max="13" width="11.26953125" style="2" bestFit="1" customWidth="1"/>
    <col min="14" max="14" width="2.08984375" style="2" customWidth="1"/>
    <col min="15" max="15" width="6.90625" style="26" customWidth="1"/>
    <col min="16" max="16" width="11.1796875" style="2" bestFit="1" customWidth="1"/>
    <col min="17" max="17" width="10.36328125" style="35" bestFit="1" customWidth="1"/>
    <col min="18" max="18" width="9.54296875" style="2" bestFit="1" customWidth="1"/>
    <col min="19" max="16384" width="8.7265625" style="2"/>
  </cols>
  <sheetData>
    <row r="2" spans="1:17" x14ac:dyDescent="0.3">
      <c r="A2" s="1"/>
    </row>
    <row r="3" spans="1:17" x14ac:dyDescent="0.3">
      <c r="A3" s="3"/>
      <c r="O3" s="30" t="s">
        <v>15</v>
      </c>
    </row>
    <row r="4" spans="1:17" s="5" customFormat="1" ht="24" x14ac:dyDescent="0.3">
      <c r="A4" s="4" t="s">
        <v>9</v>
      </c>
      <c r="B4" s="4" t="s">
        <v>10</v>
      </c>
      <c r="C4" s="12" t="s">
        <v>16</v>
      </c>
      <c r="D4" s="12" t="s">
        <v>14</v>
      </c>
      <c r="E4" s="4" t="s">
        <v>11</v>
      </c>
      <c r="F4" s="4" t="s">
        <v>12</v>
      </c>
      <c r="G4" s="4" t="s">
        <v>13</v>
      </c>
      <c r="I4" s="4" t="s">
        <v>40</v>
      </c>
      <c r="J4" s="4" t="s">
        <v>41</v>
      </c>
      <c r="K4" s="4" t="s">
        <v>42</v>
      </c>
      <c r="L4" s="4" t="s">
        <v>39</v>
      </c>
      <c r="M4" s="4" t="s">
        <v>8</v>
      </c>
      <c r="O4" s="28"/>
      <c r="P4" s="16"/>
      <c r="Q4" s="36"/>
    </row>
    <row r="5" spans="1:17" x14ac:dyDescent="0.3">
      <c r="A5" s="47" t="s">
        <v>36</v>
      </c>
      <c r="B5" s="32" t="s">
        <v>0</v>
      </c>
      <c r="C5" s="33">
        <v>178537717</v>
      </c>
      <c r="D5" s="33">
        <v>178537717</v>
      </c>
      <c r="E5" s="34">
        <f>80688560+80688560</f>
        <v>161377120</v>
      </c>
      <c r="F5" s="20">
        <f>E5-C5</f>
        <v>-17160597</v>
      </c>
      <c r="G5" s="18">
        <f>D5-C5</f>
        <v>0</v>
      </c>
      <c r="I5" s="33"/>
      <c r="J5" s="33"/>
      <c r="K5" s="33"/>
      <c r="L5" s="33">
        <f>80688560+80688560</f>
        <v>161377120</v>
      </c>
      <c r="M5" s="33">
        <f>SUM(I5:L5)</f>
        <v>161377120</v>
      </c>
      <c r="O5" s="28"/>
      <c r="P5" s="11"/>
    </row>
    <row r="6" spans="1:17" x14ac:dyDescent="0.3">
      <c r="A6" s="6"/>
      <c r="B6" s="6"/>
      <c r="C6" s="13"/>
      <c r="D6" s="13"/>
      <c r="E6" s="8"/>
      <c r="F6" s="8"/>
      <c r="G6" s="8"/>
      <c r="I6" s="24"/>
      <c r="J6" s="24"/>
      <c r="K6" s="24"/>
      <c r="L6" s="24"/>
      <c r="M6" s="19"/>
      <c r="O6" s="28"/>
      <c r="P6" s="11"/>
    </row>
    <row r="7" spans="1:17" ht="12.5" customHeight="1" x14ac:dyDescent="0.3">
      <c r="A7" s="6"/>
      <c r="B7" s="7" t="s">
        <v>1</v>
      </c>
      <c r="C7" s="14">
        <f>SUM(C8:C11)</f>
        <v>124976401.90000001</v>
      </c>
      <c r="D7" s="14">
        <f>SUM(D8:D11)</f>
        <v>124976401.90000001</v>
      </c>
      <c r="E7" s="19">
        <f>SUM(E8:E11)</f>
        <v>0</v>
      </c>
      <c r="F7" s="19">
        <f>SUM(F8:F11)</f>
        <v>-124976401.90000001</v>
      </c>
      <c r="G7" s="19">
        <f>SUM(G8:G11)</f>
        <v>0</v>
      </c>
      <c r="I7" s="19">
        <f>SUM(I8:I11)</f>
        <v>0</v>
      </c>
      <c r="J7" s="19">
        <f>SUM(J8:J11)</f>
        <v>0</v>
      </c>
      <c r="K7" s="19">
        <f>SUM(K8:K11)</f>
        <v>0</v>
      </c>
      <c r="L7" s="19">
        <f>SUM(L8:L11)</f>
        <v>0</v>
      </c>
      <c r="M7" s="19">
        <f>SUM(M8:M11)</f>
        <v>0</v>
      </c>
      <c r="O7" s="29"/>
      <c r="P7" s="11"/>
    </row>
    <row r="8" spans="1:17" x14ac:dyDescent="0.3">
      <c r="A8" s="6"/>
      <c r="B8" s="6" t="s">
        <v>2</v>
      </c>
      <c r="C8" s="13">
        <f>$C$15*O8</f>
        <v>31244100.475000001</v>
      </c>
      <c r="D8" s="13">
        <f>C8</f>
        <v>31244100.475000001</v>
      </c>
      <c r="E8" s="24">
        <f>SUM(I8:L8)</f>
        <v>0</v>
      </c>
      <c r="F8" s="18">
        <f>E8-C8</f>
        <v>-31244100.475000001</v>
      </c>
      <c r="G8" s="18">
        <f t="shared" ref="G8:G11" si="0">D8-C8</f>
        <v>0</v>
      </c>
      <c r="I8" s="48">
        <f>SUMPRODUCT((I$4=Закрытия_подрядчики!$L$2:$L$24)*(МИКА!$A$5=Закрытия_подрядчики!$C$2:$C$24)*($B8=Закрытия_подрядчики!$B$2:$B$24)*(Закрытия_подрядчики!$M$2:$M$24))</f>
        <v>0</v>
      </c>
      <c r="J8" s="48">
        <f>SUMPRODUCT((J$4=Закрытия_подрядчики!$L$2:$L$24)*(МИКА!$A$5=Закрытия_подрядчики!$C$2:$C$24)*($B8=Закрытия_подрядчики!$B$2:$B$24)*(Закрытия_подрядчики!$M$2:$M$24))</f>
        <v>0</v>
      </c>
      <c r="K8" s="48">
        <f>SUMPRODUCT((K$4=Закрытия_подрядчики!$L$2:$L$24)*(МИКА!$A$5=Закрытия_подрядчики!$C$2:$C$24)*($B8=Закрытия_подрядчики!$B$2:$B$24)*(Закрытия_подрядчики!$M$2:$M$24))</f>
        <v>0</v>
      </c>
      <c r="L8" s="48">
        <f>SUMPRODUCT((L$4=Закрытия_подрядчики!$L$2:$L$24)*(МИКА!$A$5=Закрытия_подрядчики!$C$2:$C$24)*($B8=Закрытия_подрядчики!$B$2:$B$24)*(Закрытия_подрядчики!$M$2:$M$24))</f>
        <v>0</v>
      </c>
      <c r="M8" s="24">
        <f>SUM(I8:L8)</f>
        <v>0</v>
      </c>
      <c r="O8" s="29">
        <v>0.25</v>
      </c>
      <c r="P8" s="11"/>
    </row>
    <row r="9" spans="1:17" x14ac:dyDescent="0.3">
      <c r="A9" s="6"/>
      <c r="B9" s="6" t="s">
        <v>4</v>
      </c>
      <c r="C9" s="13">
        <f>$C$15*O9</f>
        <v>24995280.380000003</v>
      </c>
      <c r="D9" s="13">
        <f>C9</f>
        <v>24995280.380000003</v>
      </c>
      <c r="E9" s="24">
        <f t="shared" ref="E9:E11" si="1">SUM(I9:L9)</f>
        <v>0</v>
      </c>
      <c r="F9" s="18">
        <f>E9-C9</f>
        <v>-24995280.380000003</v>
      </c>
      <c r="G9" s="18">
        <f>D9-C9</f>
        <v>0</v>
      </c>
      <c r="I9" s="48">
        <f>SUMPRODUCT((I$4=Закрытия_подрядчики!$L$2:$L$24)*(МИКА!$A$5=Закрытия_подрядчики!$C$2:$C$24)*($B9=Закрытия_подрядчики!$B$2:$B$24)*(Закрытия_подрядчики!$M$2:$M$24))</f>
        <v>0</v>
      </c>
      <c r="J9" s="48">
        <f>SUMPRODUCT((J$4=Закрытия_подрядчики!$L$2:$L$24)*(МИКА!$A$5=Закрытия_подрядчики!$C$2:$C$24)*($B9=Закрытия_подрядчики!$B$2:$B$24)*(Закрытия_подрядчики!$M$2:$M$24))</f>
        <v>0</v>
      </c>
      <c r="K9" s="48">
        <f>SUMPRODUCT((K$4=Закрытия_подрядчики!$L$2:$L$24)*(МИКА!$A$5=Закрытия_подрядчики!$C$2:$C$24)*($B9=Закрытия_подрядчики!$B$2:$B$24)*(Закрытия_подрядчики!$M$2:$M$24))</f>
        <v>0</v>
      </c>
      <c r="L9" s="48">
        <f>SUMPRODUCT((L$4=Закрытия_подрядчики!$L$2:$L$24)*(МИКА!$A$5=Закрытия_подрядчики!$C$2:$C$24)*($B9=Закрытия_подрядчики!$B$2:$B$24)*(Закрытия_подрядчики!$M$2:$M$24))</f>
        <v>0</v>
      </c>
      <c r="M9" s="24">
        <f t="shared" ref="M9:M11" si="2">SUM(I9:L9)</f>
        <v>0</v>
      </c>
      <c r="O9" s="29">
        <v>0.2</v>
      </c>
      <c r="P9" s="11"/>
    </row>
    <row r="10" spans="1:17" x14ac:dyDescent="0.3">
      <c r="A10" s="6"/>
      <c r="B10" s="6" t="s">
        <v>3</v>
      </c>
      <c r="C10" s="13">
        <f>$C$15*O10</f>
        <v>37492920.57</v>
      </c>
      <c r="D10" s="13">
        <f t="shared" ref="D10:D11" si="3">C10</f>
        <v>37492920.57</v>
      </c>
      <c r="E10" s="24">
        <f t="shared" si="1"/>
        <v>0</v>
      </c>
      <c r="F10" s="18">
        <f t="shared" ref="F10:F11" si="4">E10-C10</f>
        <v>-37492920.57</v>
      </c>
      <c r="G10" s="18">
        <f t="shared" si="0"/>
        <v>0</v>
      </c>
      <c r="I10" s="48">
        <f>SUMPRODUCT((I$4=Закрытия_подрядчики!$L$2:$L$24)*(МИКА!$A$5=Закрытия_подрядчики!$C$2:$C$24)*($B10=Закрытия_подрядчики!$B$2:$B$24)*(Закрытия_подрядчики!$M$2:$M$24))</f>
        <v>0</v>
      </c>
      <c r="J10" s="48">
        <f>SUMPRODUCT((J$4=Закрытия_подрядчики!$L$2:$L$24)*(МИКА!$A$5=Закрытия_подрядчики!$C$2:$C$24)*($B10=Закрытия_подрядчики!$B$2:$B$24)*(Закрытия_подрядчики!$M$2:$M$24))</f>
        <v>0</v>
      </c>
      <c r="K10" s="48">
        <f>SUMPRODUCT((K$4=Закрытия_подрядчики!$L$2:$L$24)*(МИКА!$A$5=Закрытия_подрядчики!$C$2:$C$24)*($B10=Закрытия_подрядчики!$B$2:$B$24)*(Закрытия_подрядчики!$M$2:$M$24))</f>
        <v>0</v>
      </c>
      <c r="L10" s="48">
        <f>SUMPRODUCT((L$4=Закрытия_подрядчики!$L$2:$L$24)*(МИКА!$A$5=Закрытия_подрядчики!$C$2:$C$24)*($B10=Закрытия_подрядчики!$B$2:$B$24)*(Закрытия_подрядчики!$M$2:$M$24))</f>
        <v>0</v>
      </c>
      <c r="M10" s="24">
        <f t="shared" si="2"/>
        <v>0</v>
      </c>
      <c r="O10" s="29">
        <v>0.3</v>
      </c>
      <c r="P10" s="11"/>
    </row>
    <row r="11" spans="1:17" x14ac:dyDescent="0.3">
      <c r="A11" s="6"/>
      <c r="B11" s="6" t="s">
        <v>37</v>
      </c>
      <c r="C11" s="13">
        <f>$C$15*O11</f>
        <v>31244100.475000001</v>
      </c>
      <c r="D11" s="13">
        <f t="shared" si="3"/>
        <v>31244100.475000001</v>
      </c>
      <c r="E11" s="24">
        <f t="shared" si="1"/>
        <v>0</v>
      </c>
      <c r="F11" s="18">
        <f t="shared" si="4"/>
        <v>-31244100.475000001</v>
      </c>
      <c r="G11" s="18">
        <f t="shared" si="0"/>
        <v>0</v>
      </c>
      <c r="I11" s="48">
        <f>SUMPRODUCT((I$4=Закрытия_подрядчики!$L$2:$L$24)*(МИКА!$A$5=Закрытия_подрядчики!$C$2:$C$24)*($B11=Закрытия_подрядчики!$B$2:$B$24)*(Закрытия_подрядчики!$M$2:$M$24))</f>
        <v>0</v>
      </c>
      <c r="J11" s="48">
        <f>SUMPRODUCT((J$4=Закрытия_подрядчики!$L$2:$L$24)*(МИКА!$A$5=Закрытия_подрядчики!$C$2:$C$24)*($B11=Закрытия_подрядчики!$B$2:$B$24)*(Закрытия_подрядчики!$M$2:$M$24))</f>
        <v>0</v>
      </c>
      <c r="K11" s="48">
        <f>SUMPRODUCT((K$4=Закрытия_подрядчики!$L$2:$L$24)*(МИКА!$A$5=Закрытия_подрядчики!$C$2:$C$24)*($B11=Закрытия_подрядчики!$B$2:$B$24)*(Закрытия_подрядчики!$M$2:$M$24))</f>
        <v>0</v>
      </c>
      <c r="L11" s="48">
        <f>SUMPRODUCT((L$4=Закрытия_подрядчики!$L$2:$L$24)*(МИКА!$A$5=Закрытия_подрядчики!$C$2:$C$24)*($B11=Закрытия_подрядчики!$B$2:$B$24)*(Закрытия_подрядчики!$M$2:$M$24))</f>
        <v>0</v>
      </c>
      <c r="M11" s="24">
        <f t="shared" si="2"/>
        <v>0</v>
      </c>
      <c r="O11" s="29">
        <v>0.25</v>
      </c>
    </row>
    <row r="12" spans="1:17" x14ac:dyDescent="0.3">
      <c r="A12" s="6"/>
      <c r="B12" s="6"/>
      <c r="C12" s="13"/>
      <c r="D12" s="13"/>
      <c r="E12" s="24"/>
      <c r="F12" s="18"/>
      <c r="G12" s="18"/>
      <c r="I12" s="24"/>
      <c r="J12" s="24"/>
      <c r="K12" s="24"/>
      <c r="L12" s="24"/>
      <c r="M12" s="24"/>
      <c r="O12" s="31">
        <f>SUM(O8:O11)</f>
        <v>1</v>
      </c>
    </row>
    <row r="13" spans="1:17" ht="4" customHeight="1" x14ac:dyDescent="0.3">
      <c r="A13" s="9"/>
      <c r="B13" s="9"/>
      <c r="C13" s="15"/>
      <c r="D13" s="15"/>
      <c r="E13" s="9"/>
      <c r="F13" s="9"/>
      <c r="G13" s="9"/>
      <c r="I13" s="9"/>
      <c r="J13" s="9"/>
      <c r="K13" s="9"/>
      <c r="L13" s="9"/>
      <c r="M13" s="10"/>
      <c r="O13" s="27"/>
    </row>
    <row r="14" spans="1:17" x14ac:dyDescent="0.3">
      <c r="A14" s="6"/>
      <c r="B14" s="7" t="s">
        <v>0</v>
      </c>
      <c r="C14" s="14">
        <f>C5</f>
        <v>178537717</v>
      </c>
      <c r="D14" s="14">
        <f>D5</f>
        <v>178537717</v>
      </c>
      <c r="E14" s="21">
        <f>E5</f>
        <v>161377120</v>
      </c>
      <c r="F14" s="21">
        <f>F5</f>
        <v>-17160597</v>
      </c>
      <c r="G14" s="8"/>
      <c r="I14" s="21">
        <f>I5</f>
        <v>0</v>
      </c>
      <c r="J14" s="21">
        <f>J5</f>
        <v>0</v>
      </c>
      <c r="K14" s="21">
        <f>K5</f>
        <v>0</v>
      </c>
      <c r="L14" s="21">
        <f>L5</f>
        <v>161377120</v>
      </c>
      <c r="M14" s="20">
        <f>SUM(I14:L14)</f>
        <v>161377120</v>
      </c>
      <c r="O14" s="28"/>
    </row>
    <row r="15" spans="1:17" x14ac:dyDescent="0.3">
      <c r="A15" s="6"/>
      <c r="B15" s="7" t="s">
        <v>1</v>
      </c>
      <c r="C15" s="14">
        <f>C14-C16</f>
        <v>124976401.90000001</v>
      </c>
      <c r="D15" s="14">
        <f>D7</f>
        <v>124976401.90000001</v>
      </c>
      <c r="E15" s="21">
        <f>E7</f>
        <v>0</v>
      </c>
      <c r="F15" s="21">
        <f>F7</f>
        <v>-124976401.90000001</v>
      </c>
      <c r="G15" s="8"/>
      <c r="I15" s="21">
        <f>I7</f>
        <v>0</v>
      </c>
      <c r="J15" s="21">
        <f>J7</f>
        <v>0</v>
      </c>
      <c r="K15" s="21">
        <f>K7</f>
        <v>0</v>
      </c>
      <c r="L15" s="21">
        <f>L7</f>
        <v>0</v>
      </c>
      <c r="M15" s="19">
        <f>SUM(I15:L15)</f>
        <v>0</v>
      </c>
      <c r="O15" s="28"/>
    </row>
    <row r="16" spans="1:17" x14ac:dyDescent="0.3">
      <c r="A16" s="6"/>
      <c r="B16" s="7" t="s">
        <v>5</v>
      </c>
      <c r="C16" s="14">
        <f>C5*O17</f>
        <v>53561315.100000001</v>
      </c>
      <c r="D16" s="14">
        <f>D14-D15</f>
        <v>53561315.099999994</v>
      </c>
      <c r="E16" s="21">
        <f>E14-E15</f>
        <v>161377120</v>
      </c>
      <c r="F16" s="21">
        <f>F14-F15</f>
        <v>107815804.90000001</v>
      </c>
      <c r="G16" s="8"/>
      <c r="I16" s="21">
        <f>I14-I15</f>
        <v>0</v>
      </c>
      <c r="J16" s="21">
        <f>J14-J15</f>
        <v>0</v>
      </c>
      <c r="K16" s="21">
        <f>K14-K15</f>
        <v>0</v>
      </c>
      <c r="L16" s="21">
        <f>L14-L15</f>
        <v>161377120</v>
      </c>
      <c r="M16" s="19">
        <f>SUM(I16:L16)</f>
        <v>161377120</v>
      </c>
      <c r="O16" s="28"/>
    </row>
    <row r="17" spans="1:18" x14ac:dyDescent="0.3">
      <c r="A17" s="6"/>
      <c r="B17" s="7" t="s">
        <v>7</v>
      </c>
      <c r="C17" s="17">
        <f>IF(C14=0,0,C16/C14)</f>
        <v>0.3</v>
      </c>
      <c r="D17" s="17">
        <f>IF(D14=0,0,D16/D14)</f>
        <v>0.3</v>
      </c>
      <c r="E17" s="22">
        <f>IF(E14=0,0,E16/E14)</f>
        <v>1</v>
      </c>
      <c r="F17" s="22"/>
      <c r="G17" s="8"/>
      <c r="I17" s="22">
        <f>IF(I14=0,0,I16/I14)</f>
        <v>0</v>
      </c>
      <c r="J17" s="22">
        <f>IF(J14=0,0,J16/J14)</f>
        <v>0</v>
      </c>
      <c r="K17" s="22">
        <f>IF(K14=0,0,K16/K14)</f>
        <v>0</v>
      </c>
      <c r="L17" s="22">
        <f>IF(L14=0,0,L16/L14)</f>
        <v>1</v>
      </c>
      <c r="M17" s="22">
        <f>IF(M14=0,0,M16/M14)</f>
        <v>1</v>
      </c>
      <c r="O17" s="31">
        <v>0.3</v>
      </c>
      <c r="Q17" s="37"/>
      <c r="R17" s="38"/>
    </row>
    <row r="18" spans="1:18" x14ac:dyDescent="0.3">
      <c r="A18" s="6"/>
      <c r="B18" s="7" t="s">
        <v>6</v>
      </c>
      <c r="C18" s="13"/>
      <c r="D18" s="13"/>
      <c r="E18" s="23">
        <f>E14/$C$5</f>
        <v>0.90388251127911534</v>
      </c>
      <c r="F18" s="8"/>
      <c r="G18" s="8"/>
      <c r="I18" s="23">
        <f>I14/$C$5</f>
        <v>0</v>
      </c>
      <c r="J18" s="23">
        <f>J14/$C$5</f>
        <v>0</v>
      </c>
      <c r="K18" s="23">
        <f>K14/$C$5</f>
        <v>0</v>
      </c>
      <c r="L18" s="23">
        <f>L14/$C$5</f>
        <v>0.90388251127911534</v>
      </c>
      <c r="M18" s="25">
        <f>SUM(I18:L18)</f>
        <v>0.90388251127911534</v>
      </c>
      <c r="O18" s="28"/>
      <c r="P18" s="11"/>
      <c r="Q18" s="37"/>
      <c r="R18" s="38"/>
    </row>
    <row r="20" spans="1:18" x14ac:dyDescent="0.3">
      <c r="R20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activeCell="S15" sqref="S15"/>
    </sheetView>
  </sheetViews>
  <sheetFormatPr defaultRowHeight="12" x14ac:dyDescent="0.3"/>
  <cols>
    <col min="1" max="1" width="7.90625" style="2" bestFit="1" customWidth="1"/>
    <col min="2" max="2" width="6" style="2" bestFit="1" customWidth="1"/>
    <col min="3" max="3" width="9.7265625" style="2" bestFit="1" customWidth="1"/>
    <col min="4" max="4" width="9.81640625" style="43" bestFit="1" customWidth="1"/>
    <col min="5" max="5" width="11.26953125" style="43" bestFit="1" customWidth="1"/>
    <col min="6" max="6" width="13.54296875" style="45" bestFit="1" customWidth="1"/>
    <col min="7" max="7" width="11.7265625" style="45" bestFit="1" customWidth="1"/>
    <col min="8" max="8" width="6.36328125" style="2" bestFit="1" customWidth="1"/>
    <col min="9" max="9" width="5" style="2" bestFit="1" customWidth="1"/>
    <col min="10" max="10" width="5.6328125" style="2" bestFit="1" customWidth="1"/>
    <col min="11" max="11" width="8.26953125" style="2" bestFit="1" customWidth="1"/>
    <col min="12" max="12" width="8.26953125" style="2" customWidth="1"/>
    <col min="13" max="13" width="13.54296875" style="51" bestFit="1" customWidth="1"/>
    <col min="14" max="14" width="11.54296875" style="35" bestFit="1" customWidth="1"/>
    <col min="15" max="15" width="11.7265625" style="35" bestFit="1" customWidth="1"/>
    <col min="16" max="16" width="8.7265625" style="2"/>
    <col min="17" max="17" width="11.7265625" style="35" bestFit="1" customWidth="1"/>
    <col min="18" max="18" width="8.7265625" style="2"/>
    <col min="19" max="19" width="12.54296875" style="2" bestFit="1" customWidth="1"/>
    <col min="20" max="16384" width="8.7265625" style="2"/>
  </cols>
  <sheetData>
    <row r="1" spans="1:19" s="39" customFormat="1" x14ac:dyDescent="0.3">
      <c r="A1" s="39" t="s">
        <v>17</v>
      </c>
      <c r="B1" s="39" t="s">
        <v>31</v>
      </c>
      <c r="C1" s="39" t="s">
        <v>30</v>
      </c>
      <c r="D1" s="40" t="s">
        <v>26</v>
      </c>
      <c r="E1" s="40" t="s">
        <v>27</v>
      </c>
      <c r="F1" s="41" t="s">
        <v>20</v>
      </c>
      <c r="G1" s="41" t="s">
        <v>22</v>
      </c>
      <c r="H1" s="39" t="s">
        <v>33</v>
      </c>
      <c r="I1" s="39" t="s">
        <v>25</v>
      </c>
      <c r="J1" s="39" t="s">
        <v>18</v>
      </c>
      <c r="K1" s="39" t="s">
        <v>19</v>
      </c>
      <c r="L1" s="39" t="s">
        <v>38</v>
      </c>
      <c r="M1" s="50" t="s">
        <v>20</v>
      </c>
      <c r="N1" s="42" t="s">
        <v>21</v>
      </c>
      <c r="O1" s="42" t="s">
        <v>22</v>
      </c>
      <c r="Q1" s="42" t="s">
        <v>23</v>
      </c>
      <c r="S1" s="39" t="s">
        <v>24</v>
      </c>
    </row>
    <row r="2" spans="1:19" x14ac:dyDescent="0.3">
      <c r="A2" s="2" t="s">
        <v>43</v>
      </c>
      <c r="B2" s="2" t="s">
        <v>32</v>
      </c>
      <c r="C2" s="2" t="s">
        <v>34</v>
      </c>
      <c r="D2" s="43" t="s">
        <v>35</v>
      </c>
      <c r="E2" s="44">
        <v>45540</v>
      </c>
      <c r="F2" s="45">
        <v>3677450</v>
      </c>
      <c r="G2" s="45">
        <f t="shared" ref="G2" si="0">F2*1.2</f>
        <v>4412940</v>
      </c>
      <c r="J2" s="2">
        <v>1</v>
      </c>
      <c r="K2" s="46">
        <v>45574</v>
      </c>
      <c r="L2" s="49" t="str">
        <f>ROMAN(INT((MONTH(K2)+2)/3))</f>
        <v>IV</v>
      </c>
      <c r="M2" s="51">
        <f>O2/1.2</f>
        <v>2001600</v>
      </c>
      <c r="N2" s="35">
        <f>O2-M2</f>
        <v>400320</v>
      </c>
      <c r="O2" s="35">
        <v>2401920</v>
      </c>
      <c r="P2" s="16"/>
      <c r="S2" s="38"/>
    </row>
    <row r="3" spans="1:19" x14ac:dyDescent="0.3">
      <c r="A3" s="2" t="s">
        <v>44</v>
      </c>
      <c r="B3" s="2" t="s">
        <v>32</v>
      </c>
      <c r="C3" s="2" t="s">
        <v>34</v>
      </c>
      <c r="D3" s="43" t="s">
        <v>35</v>
      </c>
      <c r="E3" s="44">
        <v>45540</v>
      </c>
      <c r="J3" s="2">
        <v>2</v>
      </c>
      <c r="K3" s="46">
        <v>45589</v>
      </c>
      <c r="L3" s="49" t="str">
        <f t="shared" ref="L3:L9" si="1">ROMAN(INT((MONTH(K3)+2)/3))</f>
        <v>IV</v>
      </c>
      <c r="M3" s="51">
        <f>O3/1.2</f>
        <v>1732500</v>
      </c>
      <c r="N3" s="35">
        <f>O3-M3</f>
        <v>346500</v>
      </c>
      <c r="O3" s="35">
        <v>2079000</v>
      </c>
      <c r="P3" s="16"/>
      <c r="S3" s="38"/>
    </row>
    <row r="4" spans="1:19" x14ac:dyDescent="0.3">
      <c r="A4" s="2" t="s">
        <v>45</v>
      </c>
      <c r="B4" s="2" t="s">
        <v>32</v>
      </c>
      <c r="C4" s="2" t="s">
        <v>34</v>
      </c>
      <c r="D4" s="43" t="s">
        <v>35</v>
      </c>
      <c r="E4" s="44">
        <v>45540</v>
      </c>
      <c r="I4" s="2">
        <v>14</v>
      </c>
      <c r="J4" s="2">
        <v>3</v>
      </c>
      <c r="K4" s="46">
        <v>45606</v>
      </c>
      <c r="L4" s="49" t="str">
        <f t="shared" si="1"/>
        <v>IV</v>
      </c>
      <c r="M4" s="51">
        <v>1642000</v>
      </c>
      <c r="N4" s="35">
        <f>O4-M4</f>
        <v>328400</v>
      </c>
      <c r="O4" s="35">
        <f>M4*1.2</f>
        <v>1970400</v>
      </c>
      <c r="P4" s="16"/>
      <c r="Q4" s="35">
        <v>591120</v>
      </c>
      <c r="S4" s="38">
        <f>O4-Q4</f>
        <v>1379280</v>
      </c>
    </row>
    <row r="5" spans="1:19" x14ac:dyDescent="0.3">
      <c r="A5" s="2" t="s">
        <v>46</v>
      </c>
      <c r="B5" s="2" t="s">
        <v>32</v>
      </c>
      <c r="C5" s="2" t="s">
        <v>29</v>
      </c>
      <c r="D5" s="43" t="s">
        <v>28</v>
      </c>
      <c r="E5" s="44">
        <v>45539</v>
      </c>
      <c r="H5" s="46"/>
      <c r="J5" s="2">
        <v>8</v>
      </c>
      <c r="K5" s="46">
        <v>45610</v>
      </c>
      <c r="L5" s="49" t="str">
        <f t="shared" si="1"/>
        <v>IV</v>
      </c>
      <c r="M5" s="51">
        <v>262350</v>
      </c>
    </row>
    <row r="7" spans="1:19" x14ac:dyDescent="0.3">
      <c r="K7" s="46"/>
      <c r="L7" s="49"/>
    </row>
    <row r="8" spans="1:19" x14ac:dyDescent="0.3">
      <c r="K8" s="46"/>
    </row>
    <row r="9" spans="1:19" x14ac:dyDescent="0.3">
      <c r="K9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МИКА</vt:lpstr>
      <vt:lpstr>Закрытия_подрядчики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2024-11-12T18:02:59Z</dcterms:created>
  <dcterms:modified xsi:type="dcterms:W3CDTF">2024-11-22T13:47:05Z</dcterms:modified>
</cp:coreProperties>
</file>