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printerSettings/printerSettings1.bin" ContentType="application/vnd.openxmlformats-officedocument.spreadsheetml.printerSettings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rinterSettings/printerSettings2.bin" ContentType="application/vnd.openxmlformats-officedocument.spreadsheetml.printerSettings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ЭтаКнига" defaultThemeVersion="124226"/>
  <bookViews>
    <workbookView xWindow="-23715" yWindow="-28305" windowWidth="48240" windowHeight="16470" tabRatio="410" activeTab="2"/>
  </bookViews>
  <sheets>
    <sheet name="ГРАФИКИ" sheetId="22" r:id="rId1"/>
    <sheet name="ДИАГРАММА" sheetId="25" r:id="rId2"/>
    <sheet name="АКЦИИ" sheetId="12" r:id="rId3"/>
    <sheet name="ДИВИДЕНДЫ" sheetId="14" r:id="rId4"/>
    <sheet name="ОБЛИГАЦИИ" sheetId="23" r:id="rId5"/>
    <sheet name="КУПОНЫ" sheetId="24" r:id="rId6"/>
    <sheet name="БЛОКНОТ" sheetId="20" r:id="rId7"/>
  </sheets>
  <externalReferences>
    <externalReference r:id="rId8"/>
  </externalReferences>
  <definedNames>
    <definedName name="_xlnm._FilterDatabase" localSheetId="4" hidden="1">ОБЛИГАЦИИ!$B$10:$M$19</definedName>
    <definedName name="дата1">OFFSET(ГРАФИКИ!$G$2,ГРАФИКИ!$E$3,,ГРАФИКИ!$E$2)</definedName>
    <definedName name="ОбщРез">OFFSET(ГРАФИКИ!$I$2,ГРАФИКИ!$E$3,,ГРАФИКИ!$E$2)</definedName>
    <definedName name="СвобСред">OFFSET(ГРАФИКИ!$K$2,ГРАФИКИ!$E$3,,ГРАФИКИ!$E$2)</definedName>
    <definedName name="СумВлож">OFFSET(ГРАФИКИ!$J$2,ГРАФИКИ!$E$3,,ГРАФИКИ!$E$2)</definedName>
    <definedName name="ТекСтоим">OFFSET(ГРАФИКИ!$H$2,ГРАФИКИ!$E$3,,ГРАФИКИ!$E$2)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12" l="1"/>
  <c r="H35" i="22" l="1"/>
  <c r="I35" i="22"/>
  <c r="J35" i="22"/>
  <c r="K35" i="22"/>
  <c r="T26" i="12"/>
  <c r="U26" i="12"/>
  <c r="V26" i="12" s="1"/>
  <c r="T25" i="12" l="1"/>
  <c r="U25" i="12"/>
  <c r="V25" i="12" s="1"/>
  <c r="H34" i="22"/>
  <c r="I34" i="22"/>
  <c r="J34" i="22"/>
  <c r="K34" i="22"/>
  <c r="H33" i="22" l="1"/>
  <c r="I33" i="22"/>
  <c r="J33" i="22"/>
  <c r="K33" i="22"/>
  <c r="H32" i="22" l="1"/>
  <c r="I32" i="22"/>
  <c r="J32" i="22"/>
  <c r="K32" i="22"/>
  <c r="T24" i="12" l="1"/>
  <c r="U24" i="12"/>
  <c r="V24" i="12" s="1"/>
  <c r="T23" i="12"/>
  <c r="U23" i="12"/>
  <c r="V23" i="12" s="1"/>
  <c r="H31" i="22"/>
  <c r="I31" i="22"/>
  <c r="J31" i="22"/>
  <c r="K31" i="22"/>
  <c r="H30" i="22" l="1"/>
  <c r="I30" i="22"/>
  <c r="J30" i="22"/>
  <c r="K30" i="22"/>
  <c r="H29" i="22" l="1"/>
  <c r="I29" i="22"/>
  <c r="J29" i="22"/>
  <c r="K29" i="22"/>
  <c r="H28" i="22" l="1"/>
  <c r="I28" i="22"/>
  <c r="J28" i="22"/>
  <c r="K28" i="22"/>
  <c r="H27" i="22" l="1"/>
  <c r="I27" i="22"/>
  <c r="J27" i="22"/>
  <c r="K27" i="22"/>
  <c r="E2" i="12"/>
  <c r="H26" i="22" l="1"/>
  <c r="I26" i="22"/>
  <c r="J26" i="22"/>
  <c r="K26" i="22"/>
  <c r="T22" i="12"/>
  <c r="U22" i="12"/>
  <c r="V22" i="12" s="1"/>
  <c r="T21" i="12"/>
  <c r="U21" i="12"/>
  <c r="V21" i="12" s="1"/>
  <c r="T20" i="12"/>
  <c r="U20" i="12"/>
  <c r="V20" i="12" s="1"/>
  <c r="H25" i="22" l="1"/>
  <c r="I25" i="22"/>
  <c r="J25" i="22"/>
  <c r="K25" i="22"/>
  <c r="T18" i="12"/>
  <c r="U18" i="12"/>
  <c r="V18" i="12" s="1"/>
  <c r="T19" i="12"/>
  <c r="U19" i="12"/>
  <c r="V19" i="12" s="1"/>
  <c r="F15" i="20"/>
  <c r="F16" i="20"/>
  <c r="I16" i="20" s="1"/>
  <c r="F17" i="20"/>
  <c r="I17" i="20" s="1"/>
  <c r="F18" i="20"/>
  <c r="I18" i="20" s="1"/>
  <c r="F19" i="20"/>
  <c r="I19" i="20" s="1"/>
  <c r="F20" i="20"/>
  <c r="F21" i="20"/>
  <c r="F22" i="20"/>
  <c r="F23" i="20"/>
  <c r="F24" i="20"/>
  <c r="I24" i="20" s="1"/>
  <c r="F25" i="20"/>
  <c r="I25" i="20" s="1"/>
  <c r="F26" i="20"/>
  <c r="I26" i="20" s="1"/>
  <c r="F27" i="20"/>
  <c r="I27" i="20" s="1"/>
  <c r="F28" i="20"/>
  <c r="F7" i="20"/>
  <c r="F8" i="20"/>
  <c r="F9" i="20"/>
  <c r="F10" i="20"/>
  <c r="F11" i="20"/>
  <c r="I11" i="20" s="1"/>
  <c r="F12" i="20"/>
  <c r="F13" i="20"/>
  <c r="I13" i="20" s="1"/>
  <c r="F14" i="20"/>
  <c r="I14" i="20" s="1"/>
  <c r="E16" i="20"/>
  <c r="E17" i="20"/>
  <c r="E18" i="20"/>
  <c r="E19" i="20"/>
  <c r="E20" i="20"/>
  <c r="E21" i="20"/>
  <c r="I21" i="20" s="1"/>
  <c r="E22" i="20"/>
  <c r="I22" i="20" s="1"/>
  <c r="E23" i="20"/>
  <c r="I23" i="20" s="1"/>
  <c r="E24" i="20"/>
  <c r="E25" i="20"/>
  <c r="E26" i="20"/>
  <c r="E27" i="20"/>
  <c r="E28" i="20"/>
  <c r="E8" i="20"/>
  <c r="E9" i="20"/>
  <c r="E10" i="20"/>
  <c r="E11" i="20"/>
  <c r="E12" i="20"/>
  <c r="E13" i="20"/>
  <c r="E14" i="20"/>
  <c r="E15" i="20"/>
  <c r="E7" i="20"/>
  <c r="I7" i="20" s="1"/>
  <c r="I12" i="20" l="1"/>
  <c r="I15" i="20"/>
  <c r="I28" i="20"/>
  <c r="I20" i="20"/>
  <c r="I10" i="20"/>
  <c r="I9" i="20"/>
  <c r="I8" i="20"/>
  <c r="H24" i="22"/>
  <c r="I24" i="22"/>
  <c r="J24" i="22"/>
  <c r="K24" i="22"/>
  <c r="F5" i="20" l="1"/>
  <c r="V17" i="12"/>
  <c r="V15" i="12"/>
  <c r="U17" i="12"/>
  <c r="T17" i="12"/>
  <c r="T15" i="12"/>
  <c r="H23" i="22"/>
  <c r="I23" i="22"/>
  <c r="J23" i="22"/>
  <c r="K23" i="22"/>
  <c r="T16" i="12" l="1"/>
  <c r="U16" i="12"/>
  <c r="H22" i="22"/>
  <c r="I22" i="22"/>
  <c r="J22" i="22"/>
  <c r="K22" i="22"/>
  <c r="H21" i="22" l="1"/>
  <c r="I21" i="22"/>
  <c r="J21" i="22"/>
  <c r="K21" i="22"/>
  <c r="H20" i="22" l="1"/>
  <c r="I20" i="22"/>
  <c r="J20" i="22"/>
  <c r="K20" i="22"/>
  <c r="H19" i="22" l="1"/>
  <c r="I19" i="22"/>
  <c r="J19" i="22"/>
  <c r="K19" i="22"/>
  <c r="AF4" i="25" l="1"/>
  <c r="AF3" i="25"/>
  <c r="Y8" i="24" l="1"/>
  <c r="P5" i="23" l="1"/>
  <c r="AC8" i="24" l="1"/>
  <c r="AA8" i="24" s="1"/>
  <c r="AB8" i="24" s="1"/>
  <c r="Z8" i="24"/>
  <c r="AE8" i="24" s="1"/>
  <c r="P4" i="23"/>
  <c r="E3" i="24" a="1"/>
  <c r="E3" i="24" s="1"/>
  <c r="E2" i="24"/>
  <c r="P3" i="23" s="1"/>
  <c r="AG11" i="23"/>
  <c r="AH11" i="23" s="1"/>
  <c r="AC4" i="23" s="1"/>
  <c r="AF11" i="23"/>
  <c r="R11" i="23"/>
  <c r="S11" i="23" s="1"/>
  <c r="N11" i="23"/>
  <c r="M11" i="23" s="1"/>
  <c r="K11" i="23"/>
  <c r="T11" i="23" s="1"/>
  <c r="P6" i="23"/>
  <c r="P11" i="23" l="1"/>
  <c r="Q11" i="23" s="1"/>
  <c r="AC3" i="23"/>
  <c r="E4" i="23"/>
  <c r="E5" i="23"/>
  <c r="J3" i="23"/>
  <c r="AF8" i="24"/>
  <c r="AG8" i="24"/>
  <c r="AH8" i="24" s="1"/>
  <c r="AD8" i="24"/>
  <c r="J4" i="23" a="1"/>
  <c r="J4" i="23" s="1"/>
  <c r="J5" i="23" s="1"/>
  <c r="O11" i="23"/>
  <c r="V11" i="23"/>
  <c r="U11" i="23"/>
  <c r="E6" i="23" l="1"/>
  <c r="L11" i="23"/>
  <c r="E3" i="23"/>
  <c r="W11" i="23"/>
  <c r="H18" i="22" l="1"/>
  <c r="I18" i="22"/>
  <c r="J18" i="22"/>
  <c r="K18" i="22"/>
  <c r="F6" i="20" l="1"/>
  <c r="E6" i="20"/>
  <c r="U15" i="12"/>
  <c r="I6" i="20" l="1"/>
  <c r="K3" i="22"/>
  <c r="K4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J3" i="22"/>
  <c r="J4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I3" i="22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H3" i="22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D2" i="22" l="1"/>
  <c r="D3" i="22"/>
  <c r="E5" i="22" l="1"/>
  <c r="E6" i="22" l="1"/>
  <c r="E7" i="22"/>
  <c r="E8" i="22"/>
  <c r="E9" i="22" l="1"/>
  <c r="E5" i="20"/>
  <c r="I5" i="20" s="1"/>
  <c r="E3" i="20"/>
  <c r="E4" i="20"/>
  <c r="E2" i="20"/>
  <c r="F3" i="20" l="1"/>
  <c r="I3" i="20" s="1"/>
  <c r="F4" i="20"/>
  <c r="I4" i="20" s="1"/>
  <c r="F2" i="20"/>
  <c r="I2" i="20" s="1"/>
  <c r="U14" i="12" l="1"/>
  <c r="V14" i="12" s="1"/>
  <c r="T14" i="12"/>
  <c r="K4" i="12" l="1"/>
  <c r="T13" i="12" l="1"/>
  <c r="U13" i="12"/>
  <c r="V13" i="12" s="1"/>
  <c r="D3" i="14" l="1"/>
  <c r="D2" i="14"/>
  <c r="P4" i="12" l="1"/>
  <c r="P3" i="12"/>
  <c r="I13" i="12" l="1"/>
  <c r="E3" i="12" s="1"/>
  <c r="G13" i="12"/>
  <c r="H13" i="12" l="1"/>
  <c r="AG4" i="25" s="1"/>
  <c r="L5" i="12"/>
  <c r="AG3" i="25" s="1"/>
  <c r="J13" i="12"/>
  <c r="K13" i="12" s="1"/>
  <c r="K6" i="12"/>
  <c r="E4" i="12" l="1"/>
  <c r="E5" i="12" l="1"/>
  <c r="E6" i="12"/>
  <c r="E7" i="12" s="1"/>
  <c r="E8" i="12" l="1"/>
</calcChain>
</file>

<file path=xl/sharedStrings.xml><?xml version="1.0" encoding="utf-8"?>
<sst xmlns="http://schemas.openxmlformats.org/spreadsheetml/2006/main" count="224" uniqueCount="157">
  <si>
    <t>Дата покупки</t>
  </si>
  <si>
    <t>Результаты</t>
  </si>
  <si>
    <t>Вложения</t>
  </si>
  <si>
    <t>Общее количество акций, шт</t>
  </si>
  <si>
    <t>Общая доходность, %</t>
  </si>
  <si>
    <t>Сумма полученных дивидендов</t>
  </si>
  <si>
    <t>Акция</t>
  </si>
  <si>
    <t>Количество акций</t>
  </si>
  <si>
    <t>Стоимость покупки</t>
  </si>
  <si>
    <t xml:space="preserve">Текущая цена </t>
  </si>
  <si>
    <t>Сумма вложений</t>
  </si>
  <si>
    <t>Доля в портфеле</t>
  </si>
  <si>
    <t>Текущие результаты</t>
  </si>
  <si>
    <t>Сумма</t>
  </si>
  <si>
    <t>Налог</t>
  </si>
  <si>
    <t>Дата выплаты</t>
  </si>
  <si>
    <t xml:space="preserve">Сумма полученных дивидендов  </t>
  </si>
  <si>
    <t>РЕЗУЛЬТАТЫ</t>
  </si>
  <si>
    <t>АКЦИИ В ПОРТФЕЛЕ</t>
  </si>
  <si>
    <t>ПРОДАННЫЕ АКЦИИ</t>
  </si>
  <si>
    <t>Дата продажи</t>
  </si>
  <si>
    <t>Стоимость покуки</t>
  </si>
  <si>
    <t>Стоимость продажи</t>
  </si>
  <si>
    <t>Доход,  ₽</t>
  </si>
  <si>
    <t>Доходность, %</t>
  </si>
  <si>
    <t>Дней прошло</t>
  </si>
  <si>
    <t>Результаты продаж</t>
  </si>
  <si>
    <t>Доход, ₽</t>
  </si>
  <si>
    <t xml:space="preserve">Общий доход/убыток,₽ </t>
  </si>
  <si>
    <t>Средняя доходность/убыточность, %</t>
  </si>
  <si>
    <t>Рост стоимости акций,  %</t>
  </si>
  <si>
    <t>Рост стоимости акций, руб</t>
  </si>
  <si>
    <t>Суммарный налог с дивидендов</t>
  </si>
  <si>
    <t>ПОЛУЧЕННЫЕ ДИВИДЕНДЫ</t>
  </si>
  <si>
    <t>НАИМЕНОВАНИЕ
АКЦИИ</t>
  </si>
  <si>
    <t>КОЛ-ВО
АКЦИЙ</t>
  </si>
  <si>
    <t>ПРИБЫЛЬ
/
УБЫТКИ</t>
  </si>
  <si>
    <t>ПРИМЕЧАНИЕ</t>
  </si>
  <si>
    <t>Сургутнфгз-п</t>
  </si>
  <si>
    <t>Сбербанк</t>
  </si>
  <si>
    <t>АКЦИЯ!!! Открыть счет, купить на 3000р, месяц не выводить деньги, продать 3 акции Сбербанка обычн (их кидают в портыель) в течении 3 месяцев - полученная сумма это ПРИЗ за участие.</t>
  </si>
  <si>
    <t>ПОЛУЧЕНО СРЕДСТВ</t>
  </si>
  <si>
    <t>ДАТА
ПОКУПКИ</t>
  </si>
  <si>
    <t>ДАТА
ПРОДАЖИ</t>
  </si>
  <si>
    <t>Количество свободных средств</t>
  </si>
  <si>
    <t>Стоимость портфеля на данный момент</t>
  </si>
  <si>
    <r>
      <rPr>
        <b/>
        <sz val="14"/>
        <color rgb="FF00B050"/>
        <rFont val="Century Gothic"/>
        <family val="2"/>
        <charset val="204"/>
      </rPr>
      <t>НУЖНО</t>
    </r>
    <r>
      <rPr>
        <b/>
        <sz val="14"/>
        <color theme="1"/>
        <rFont val="Century Gothic"/>
        <family val="2"/>
        <charset val="204"/>
      </rPr>
      <t xml:space="preserve"> вносить данные вручную</t>
    </r>
  </si>
  <si>
    <r>
      <rPr>
        <b/>
        <sz val="14"/>
        <color rgb="FFFF0000"/>
        <rFont val="Century Gothic"/>
        <family val="2"/>
        <charset val="204"/>
      </rPr>
      <t>НЕ НУЖНО</t>
    </r>
    <r>
      <rPr>
        <b/>
        <sz val="14"/>
        <color theme="1"/>
        <rFont val="Century Gothic"/>
        <family val="2"/>
        <charset val="204"/>
      </rPr>
      <t xml:space="preserve"> ничего вносить, всё считается автоматически</t>
    </r>
  </si>
  <si>
    <r>
      <rPr>
        <b/>
        <sz val="14"/>
        <color rgb="FF01B04F"/>
        <rFont val="Century Gothic"/>
        <family val="2"/>
        <charset val="204"/>
      </rPr>
      <t>НУЖНО</t>
    </r>
    <r>
      <rPr>
        <b/>
        <sz val="14"/>
        <color theme="1"/>
        <rFont val="Century Gothic"/>
        <family val="2"/>
        <charset val="204"/>
      </rPr>
      <t xml:space="preserve"> вносить данные вручную</t>
    </r>
  </si>
  <si>
    <r>
      <rPr>
        <b/>
        <sz val="14"/>
        <color rgb="FFFF0000"/>
        <rFont val="Century Gothic"/>
        <family val="2"/>
        <charset val="204"/>
      </rPr>
      <t>НЕ НУЖНО</t>
    </r>
    <r>
      <rPr>
        <b/>
        <sz val="14"/>
        <color theme="1"/>
        <rFont val="Century Gothic"/>
        <family val="2"/>
        <charset val="204"/>
      </rPr>
      <t xml:space="preserve"> ничего вносить</t>
    </r>
  </si>
  <si>
    <t>Акций купленно на сумму</t>
  </si>
  <si>
    <t>Роснефть</t>
  </si>
  <si>
    <t>ДАТА</t>
  </si>
  <si>
    <t>ТЕКУЩАЯ
СТОИМОСТЬ
ПОРТФЕЛЯ</t>
  </si>
  <si>
    <t>СУММА
ВЛОЖЕНИЙ</t>
  </si>
  <si>
    <t>КОЛИЧЕСТВО
СВОБОДНЫХ
СРЕДСТВ</t>
  </si>
  <si>
    <t>ОБЩИЙ РЕЗУЛЬТАТ
С ДИВИДЕНДАМИ
И КОМИССИЯМИ</t>
  </si>
  <si>
    <t>СТАТИСТИКА</t>
  </si>
  <si>
    <t>ТЕКУЩАЯ СТОИМОСТЬ ПОРТФЕЛЯ</t>
  </si>
  <si>
    <t>ОБЩИЙ РЕЗУЛЬТАТ С ДИВИДЕНДАМИ И КОМИССИЯМИ</t>
  </si>
  <si>
    <t>СУММА ВЛОЖЕНИЙ</t>
  </si>
  <si>
    <t>КОЛИЧЕСТВО СВОБОДНЫХ СРЕДСТВ</t>
  </si>
  <si>
    <t>Сберегательный Фонд УК Первая</t>
  </si>
  <si>
    <t>Общий результат + дивиденды - комиссии</t>
  </si>
  <si>
    <t>Сбер. Фонд УК Первая</t>
  </si>
  <si>
    <t>ЦЕНА
ПРОДАЖИ</t>
  </si>
  <si>
    <t>ЦЕНА
ПОКУПКИ
(с комисс.)</t>
  </si>
  <si>
    <t>ПОТРАЧЕНО
СРЕДСТВ</t>
  </si>
  <si>
    <t>SBMM</t>
  </si>
  <si>
    <t>SNGSP</t>
  </si>
  <si>
    <t>Код</t>
  </si>
  <si>
    <t>ROSN</t>
  </si>
  <si>
    <t>SMLT</t>
  </si>
  <si>
    <t>Самолет ГК</t>
  </si>
  <si>
    <t>На самом деле я ШОРТИЛ (поменять местами цену покупки и продажи)</t>
  </si>
  <si>
    <t>БПИФ - 31.10.24 докупил 50шт. + поигрался с плечом :) !!! Берут комиссию за управление (раз в неск. дней) - ОНА ВЫЧИТАЕТСЯ ИЗ СТОИМОСТИ БПИФ (получается после удержания комиссии какбы увеличивается стоимость покупки)</t>
  </si>
  <si>
    <t>Реинвестирование</t>
  </si>
  <si>
    <t>Средняя купонная доходность, % годовых</t>
  </si>
  <si>
    <t>Сумма полученых купонов</t>
  </si>
  <si>
    <t>Годовой доход купонов, руб</t>
  </si>
  <si>
    <t>Прочие расходы</t>
  </si>
  <si>
    <t>Комиссии на покупку</t>
  </si>
  <si>
    <t>Купонный доход к погашению, руб</t>
  </si>
  <si>
    <t>Общие затраты</t>
  </si>
  <si>
    <t>Купленно новых облигаций</t>
  </si>
  <si>
    <t>Общий доход к погашению, руб</t>
  </si>
  <si>
    <t>Всего облигаций в портфеле</t>
  </si>
  <si>
    <r>
      <rPr>
        <sz val="14"/>
        <color rgb="FF00B050"/>
        <rFont val="Century Gothic"/>
        <family val="1"/>
      </rPr>
      <t>НУЖНО</t>
    </r>
    <r>
      <rPr>
        <sz val="14"/>
        <color theme="1"/>
        <rFont val="Century Gothic"/>
        <family val="1"/>
      </rPr>
      <t xml:space="preserve"> вносить данные вручную</t>
    </r>
  </si>
  <si>
    <r>
      <rPr>
        <sz val="14"/>
        <color rgb="FFFF0000"/>
        <rFont val="Century Gothic"/>
        <family val="1"/>
      </rPr>
      <t>НЕ НУЖНО</t>
    </r>
    <r>
      <rPr>
        <sz val="14"/>
        <color theme="1"/>
        <rFont val="Century Gothic"/>
        <family val="1"/>
      </rPr>
      <t xml:space="preserve"> ничего вносить, всё считается автоматически</t>
    </r>
  </si>
  <si>
    <r>
      <rPr>
        <sz val="14"/>
        <color rgb="FF01B04F"/>
        <rFont val="Century Gothic"/>
        <family val="1"/>
      </rPr>
      <t>НУЖНО</t>
    </r>
    <r>
      <rPr>
        <sz val="14"/>
        <color theme="1"/>
        <rFont val="Century Gothic"/>
        <family val="1"/>
      </rPr>
      <t xml:space="preserve"> вносить данные вручную</t>
    </r>
  </si>
  <si>
    <r>
      <rPr>
        <sz val="14"/>
        <color rgb="FFFF0000"/>
        <rFont val="Century Gothic"/>
        <family val="1"/>
      </rPr>
      <t>НЕ НУЖНО</t>
    </r>
    <r>
      <rPr>
        <sz val="14"/>
        <color theme="1"/>
        <rFont val="Century Gothic"/>
        <family val="1"/>
      </rPr>
      <t xml:space="preserve"> ничего вносить</t>
    </r>
  </si>
  <si>
    <t>ОБЛИГАЦИИ В ПОРТФЕЛЕ</t>
  </si>
  <si>
    <t>ЗАТРАТЫ</t>
  </si>
  <si>
    <t>ПРОДАННЫЕ ОБЛИГАЦИИ</t>
  </si>
  <si>
    <t>Выпуск</t>
  </si>
  <si>
    <t>Дата погашения/оферты</t>
  </si>
  <si>
    <t>Номинал</t>
  </si>
  <si>
    <t>Цена облигации на момент покупки</t>
  </si>
  <si>
    <t>Кол-во облигаций</t>
  </si>
  <si>
    <t>Купон, руб</t>
  </si>
  <si>
    <t>Количество выплат в год</t>
  </si>
  <si>
    <t>НКД</t>
  </si>
  <si>
    <t>Лет до погашения</t>
  </si>
  <si>
    <t>Доля в портфеле, %</t>
  </si>
  <si>
    <t>Комиссия брокера</t>
  </si>
  <si>
    <t>Затраты на покупку облигаций</t>
  </si>
  <si>
    <t xml:space="preserve">Общие Затраты </t>
  </si>
  <si>
    <t>Текущая доходность купона, % годовых</t>
  </si>
  <si>
    <t>Текущая доходность купона, % годовых (с НДФЛ)</t>
  </si>
  <si>
    <t>Годовой доход купонов</t>
  </si>
  <si>
    <t>Годовых доход купоно (с НДФЛ)</t>
  </si>
  <si>
    <t>Купонный доход к погашению</t>
  </si>
  <si>
    <t>Купонный доход к погашению (с НДФЛ)</t>
  </si>
  <si>
    <t>Общий доход к погашению</t>
  </si>
  <si>
    <t>Общий доход к погашению (с НДФЛ)</t>
  </si>
  <si>
    <t>Количество проданных облигаций</t>
  </si>
  <si>
    <t>Сумма полученных купонов</t>
  </si>
  <si>
    <t>Потенциальный налог с купонов</t>
  </si>
  <si>
    <t>ПОЛУЧЕННЫЕ КУПОНЫ</t>
  </si>
  <si>
    <t>РЕИНВЕСТИРОВАНИЕ - ПОКУПКА ОБЛИГАЦИЙ НА КУПОНЫ</t>
  </si>
  <si>
    <t>Месяц выплаты купонов</t>
  </si>
  <si>
    <t>Сумма купонов в месяц</t>
  </si>
  <si>
    <t>Дата погашения</t>
  </si>
  <si>
    <t>Облигация 1</t>
  </si>
  <si>
    <t>Облигация 2</t>
  </si>
  <si>
    <t>Облигация 3</t>
  </si>
  <si>
    <t>Облигация 4</t>
  </si>
  <si>
    <t>Облигация 5</t>
  </si>
  <si>
    <t>Облигация 6</t>
  </si>
  <si>
    <t>Облигация 7</t>
  </si>
  <si>
    <t>Облигация 8</t>
  </si>
  <si>
    <t>Облигация 9</t>
  </si>
  <si>
    <t>Облигация 10</t>
  </si>
  <si>
    <t>Облигация 11</t>
  </si>
  <si>
    <t>Наименование</t>
  </si>
  <si>
    <t>Процент</t>
  </si>
  <si>
    <t>SBER</t>
  </si>
  <si>
    <t>Транснефть ап</t>
  </si>
  <si>
    <t>Опять ШОРТИЛ (поменять местами цену покупки и продажи)</t>
  </si>
  <si>
    <t>TRNFP</t>
  </si>
  <si>
    <t>MTLRP</t>
  </si>
  <si>
    <t>Мечел ап</t>
  </si>
  <si>
    <t>SGZH</t>
  </si>
  <si>
    <t>Сегежа Групп</t>
  </si>
  <si>
    <t>Тинькофф</t>
  </si>
  <si>
    <t>SBCN</t>
  </si>
  <si>
    <t>Сбер.Фонд в юанях УК Первая</t>
  </si>
  <si>
    <t>Сберегательный Фонд в юанях УК Первая</t>
  </si>
  <si>
    <t>T</t>
  </si>
  <si>
    <t>MTLR</t>
  </si>
  <si>
    <t>Мечел ао</t>
  </si>
  <si>
    <t>Покупал в ЛОНГ с плечом</t>
  </si>
  <si>
    <t>Докупил 787шт. (29.11.24)</t>
  </si>
  <si>
    <t>GMKN</t>
  </si>
  <si>
    <t>Норильский Никель ГМК</t>
  </si>
  <si>
    <t>Было сделано много сделок (около 20) и шорт и лонг (цена условная - подогнал под результат)</t>
  </si>
  <si>
    <t>РЕЗУЛЬТАТ ЗА ПОСЛЕДНИЙ ТОРГОВЫЙ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</si>
</sst>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₽&quot;;[Red]\-#,##0.00\ &quot;₽&quot;"/>
    <numFmt numFmtId="164" formatCode="#,##0.00\ &quot;₽&quot;"/>
    <numFmt numFmtId="165" formatCode="#,##0\ &quot;₽&quot;"/>
    <numFmt numFmtId="166" formatCode="#,##0.0000\ &quot;₽&quot;"/>
    <numFmt numFmtId="167" formatCode="0.000"/>
    <numFmt numFmtId="168" formatCode="#,##0.000\ &quot;₽&quot;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sz val="12"/>
      <color rgb="FF006100"/>
      <name val="Calibri"/>
      <family val="2"/>
      <charset val="204"/>
      <scheme val="minor"/>
    </font>
    <font>
      <sz val="12"/>
      <color theme="2" tint="-0.749992370372631"/>
      <name val="Century Gothic"/>
      <family val="1"/>
    </font>
    <font>
      <b/>
      <sz val="18"/>
      <color theme="1"/>
      <name val="Century Gothic"/>
      <family val="1"/>
    </font>
    <font>
      <sz val="16"/>
      <color theme="2" tint="-0.749992370372631"/>
      <name val="Century Gothic"/>
      <family val="1"/>
    </font>
    <font>
      <b/>
      <sz val="14"/>
      <color theme="1"/>
      <name val="Century Gothic"/>
      <family val="1"/>
    </font>
    <font>
      <sz val="12"/>
      <color theme="2" tint="-0.749961851863155"/>
      <name val="Century Gothic"/>
      <family val="1"/>
    </font>
    <font>
      <sz val="10"/>
      <color theme="1"/>
      <name val="Century Gothic"/>
      <family val="1"/>
    </font>
    <font>
      <b/>
      <sz val="12"/>
      <color theme="2" tint="-0.749992370372631"/>
      <name val="Century Gothic"/>
      <family val="1"/>
    </font>
    <font>
      <b/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entury Gothic"/>
      <family val="2"/>
      <charset val="204"/>
    </font>
    <font>
      <b/>
      <sz val="18"/>
      <color theme="1"/>
      <name val="Century Gothic"/>
      <family val="2"/>
      <charset val="204"/>
    </font>
    <font>
      <b/>
      <sz val="13"/>
      <color theme="1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sz val="11"/>
      <color theme="1"/>
      <name val="Century Gothic"/>
      <family val="2"/>
      <charset val="204"/>
    </font>
    <font>
      <b/>
      <sz val="14"/>
      <color rgb="FF00B050"/>
      <name val="Century Gothic"/>
      <family val="2"/>
      <charset val="204"/>
    </font>
    <font>
      <b/>
      <sz val="14"/>
      <color rgb="FFFF0000"/>
      <name val="Century Gothic"/>
      <family val="2"/>
      <charset val="204"/>
    </font>
    <font>
      <b/>
      <sz val="16"/>
      <color rgb="FF404040"/>
      <name val="Century Gothic"/>
      <family val="2"/>
      <charset val="204"/>
    </font>
    <font>
      <b/>
      <sz val="14"/>
      <color rgb="FF01B04F"/>
      <name val="Century Gothic"/>
      <family val="2"/>
      <charset val="204"/>
    </font>
    <font>
      <b/>
      <sz val="14"/>
      <color theme="1" tint="0.249977111117893"/>
      <name val="Century Gothic"/>
      <family val="2"/>
      <charset val="204"/>
    </font>
    <font>
      <sz val="14"/>
      <color theme="1" tint="0.249977111117893"/>
      <name val="Century Gothic"/>
      <family val="2"/>
      <charset val="204"/>
    </font>
    <font>
      <sz val="14"/>
      <color theme="1"/>
      <name val="Century Gothic"/>
      <family val="2"/>
      <charset val="204"/>
    </font>
    <font>
      <b/>
      <sz val="16"/>
      <name val="Calibri"/>
      <family val="2"/>
      <charset val="204"/>
      <scheme val="minor"/>
    </font>
    <font>
      <b/>
      <sz val="36"/>
      <color theme="1"/>
      <name val="Century Gothic"/>
      <family val="2"/>
      <charset val="204"/>
    </font>
    <font>
      <b/>
      <sz val="13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theme="1"/>
      <name val="Calibri"/>
      <family val="2"/>
      <charset val="204"/>
      <scheme val="minor"/>
    </font>
    <font>
      <sz val="10"/>
      <color theme="1"/>
      <name val="Century Gothic"/>
      <family val="2"/>
      <charset val="204"/>
    </font>
    <font>
      <b/>
      <sz val="13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2"/>
      <name val="Calibri"/>
      <family val="2"/>
      <scheme val="minor"/>
    </font>
    <font>
      <b/>
      <strike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entury Gothic"/>
      <family val="2"/>
      <charset val="204"/>
    </font>
    <font>
      <b/>
      <sz val="16"/>
      <color theme="2" tint="-0.749992370372631"/>
      <name val="Century Gothic"/>
      <family val="2"/>
      <charset val="204"/>
    </font>
    <font>
      <b/>
      <sz val="12"/>
      <color theme="2" tint="-0.749992370372631"/>
      <name val="Century Gothic"/>
      <family val="2"/>
      <charset val="204"/>
    </font>
    <font>
      <sz val="10"/>
      <color theme="2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entury Gothic"/>
      <family val="1"/>
    </font>
    <font>
      <sz val="18"/>
      <color theme="1"/>
      <name val="Century Gothic"/>
      <family val="1"/>
    </font>
    <font>
      <sz val="12"/>
      <color theme="1" tint="0.249977111117893"/>
      <name val="Century Gothic"/>
      <family val="1"/>
    </font>
    <font>
      <sz val="16"/>
      <color theme="0"/>
      <name val="Century Gothic"/>
      <family val="1"/>
    </font>
    <font>
      <sz val="16"/>
      <color theme="1"/>
      <name val="Century Gothic"/>
      <family val="1"/>
    </font>
    <font>
      <sz val="14"/>
      <color rgb="FF00B050"/>
      <name val="Century Gothic"/>
      <family val="1"/>
    </font>
    <font>
      <sz val="14"/>
      <color rgb="FFFF0000"/>
      <name val="Century Gothic"/>
      <family val="1"/>
    </font>
    <font>
      <sz val="14"/>
      <color rgb="FF01B04F"/>
      <name val="Century Gothic"/>
      <family val="1"/>
    </font>
    <font>
      <sz val="16"/>
      <color rgb="FF404040"/>
      <name val="Century Gothic"/>
      <family val="1"/>
    </font>
    <font>
      <b/>
      <sz val="12"/>
      <color theme="1" tint="0.249977111117893"/>
      <name val="Century Gothic"/>
      <family val="1"/>
    </font>
    <font>
      <u/>
      <sz val="11"/>
      <color theme="10"/>
      <name val="Century Gothic"/>
      <family val="1"/>
    </font>
    <font>
      <sz val="11"/>
      <color rgb="FFFF0000"/>
      <name val="Century Gothic"/>
      <family val="1"/>
    </font>
    <font>
      <sz val="11"/>
      <color rgb="FF000000"/>
      <name val="Century Gothic"/>
      <family val="1"/>
    </font>
    <font>
      <sz val="16"/>
      <color theme="1" tint="0.249977111117893"/>
      <name val="Century Gothic"/>
      <family val="1"/>
    </font>
    <font>
      <sz val="16"/>
      <color theme="1" tint="0.14999847407452621"/>
      <name val="Century Gothic"/>
      <family val="1"/>
    </font>
    <font>
      <sz val="11"/>
      <name val="Century Gothic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entury Gothic"/>
      <family val="1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0B7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EEAD9"/>
        <bgColor indexed="64"/>
      </patternFill>
    </fill>
    <fill>
      <patternFill patternType="solid">
        <fgColor rgb="FFC6E1B4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rgb="FFFEEBD9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D0B7"/>
        <bgColor rgb="FF000000"/>
      </patternFill>
    </fill>
    <fill>
      <patternFill patternType="solid">
        <fgColor rgb="FFF2FFE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BBB5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 style="thin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/>
      </right>
      <top style="thin">
        <color theme="1"/>
      </top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 style="thin">
        <color theme="1"/>
      </right>
      <top style="thin">
        <color theme="0" tint="-0.249977111117893"/>
      </top>
      <bottom style="thin">
        <color theme="1"/>
      </bottom>
      <diagonal/>
    </border>
    <border>
      <left style="thin">
        <color theme="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/>
      </right>
      <top/>
      <bottom style="thin">
        <color theme="0" tint="-0.249977111117893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1"/>
      </right>
      <top style="thin">
        <color theme="0" tint="-0.14999847407452621"/>
      </top>
      <bottom/>
      <diagonal/>
    </border>
    <border>
      <left/>
      <right style="thin">
        <color theme="1"/>
      </right>
      <top/>
      <bottom style="thin">
        <color theme="0" tint="-0.14999847407452621"/>
      </bottom>
      <diagonal/>
    </border>
    <border>
      <left/>
      <right style="thin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1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1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1"/>
      </right>
      <top style="thin">
        <color theme="0" tint="-0.249977111117893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4" borderId="0" applyNumberFormat="0" applyBorder="0" applyAlignment="0" applyProtection="0"/>
    <xf numFmtId="0" fontId="10" fillId="6" borderId="10" applyBorder="0" applyAlignment="0">
      <alignment horizontal="center" vertical="center"/>
    </xf>
    <xf numFmtId="0" fontId="2" fillId="0" borderId="0"/>
    <xf numFmtId="0" fontId="14" fillId="0" borderId="0" applyNumberFormat="0" applyFill="0" applyBorder="0" applyAlignment="0" applyProtection="0"/>
    <xf numFmtId="0" fontId="1" fillId="12" borderId="0" applyNumberFormat="0" applyBorder="0" applyAlignment="0" applyProtection="0"/>
  </cellStyleXfs>
  <cellXfs count="369">
    <xf numFmtId="0" fontId="0" fillId="0" borderId="0" xfId="0"/>
    <xf numFmtId="10" fontId="4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0" fontId="4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0" fontId="9" fillId="2" borderId="0" xfId="0" applyNumberFormat="1" applyFont="1" applyFill="1" applyAlignment="1">
      <alignment horizontal="center" vertical="center"/>
    </xf>
    <xf numFmtId="14" fontId="3" fillId="2" borderId="13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165" fontId="3" fillId="2" borderId="1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4" fontId="3" fillId="2" borderId="16" xfId="0" applyNumberFormat="1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4" fontId="3" fillId="2" borderId="21" xfId="0" applyNumberFormat="1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0" fontId="3" fillId="2" borderId="19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0" fontId="3" fillId="2" borderId="22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4" fontId="3" fillId="2" borderId="24" xfId="0" applyNumberFormat="1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/>
    </xf>
    <xf numFmtId="10" fontId="3" fillId="2" borderId="24" xfId="0" applyNumberFormat="1" applyFont="1" applyFill="1" applyBorder="1" applyAlignment="1">
      <alignment horizontal="center" vertical="center"/>
    </xf>
    <xf numFmtId="10" fontId="3" fillId="2" borderId="25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10" fillId="6" borderId="29" xfId="2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65" fontId="3" fillId="2" borderId="33" xfId="0" applyNumberFormat="1" applyFont="1" applyFill="1" applyBorder="1" applyAlignment="1">
      <alignment horizontal="center" vertical="center"/>
    </xf>
    <xf numFmtId="1" fontId="3" fillId="2" borderId="33" xfId="0" applyNumberFormat="1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5" fontId="3" fillId="2" borderId="30" xfId="0" applyNumberFormat="1" applyFont="1" applyFill="1" applyBorder="1" applyAlignment="1">
      <alignment horizontal="center" vertical="center"/>
    </xf>
    <xf numFmtId="165" fontId="3" fillId="2" borderId="34" xfId="0" applyNumberFormat="1" applyFont="1" applyFill="1" applyBorder="1" applyAlignment="1">
      <alignment horizontal="center" vertical="center"/>
    </xf>
    <xf numFmtId="10" fontId="3" fillId="2" borderId="17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/>
    </xf>
    <xf numFmtId="0" fontId="10" fillId="3" borderId="26" xfId="2" applyFill="1" applyBorder="1" applyAlignment="1">
      <alignment horizontal="center" vertical="center" wrapText="1"/>
    </xf>
    <xf numFmtId="0" fontId="10" fillId="3" borderId="27" xfId="2" applyFill="1" applyBorder="1" applyAlignment="1">
      <alignment horizontal="center" vertical="center" wrapText="1"/>
    </xf>
    <xf numFmtId="0" fontId="10" fillId="3" borderId="28" xfId="2" applyFill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164" fontId="15" fillId="2" borderId="19" xfId="0" applyNumberFormat="1" applyFont="1" applyFill="1" applyBorder="1" applyAlignment="1">
      <alignment horizontal="center" vertical="center"/>
    </xf>
    <xf numFmtId="164" fontId="15" fillId="2" borderId="22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 vertical="center"/>
    </xf>
    <xf numFmtId="14" fontId="25" fillId="2" borderId="4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/>
    </xf>
    <xf numFmtId="14" fontId="18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18" fillId="2" borderId="0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3" fillId="2" borderId="31" xfId="0" applyNumberFormat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horizontal="center" vertical="center"/>
    </xf>
    <xf numFmtId="14" fontId="27" fillId="12" borderId="38" xfId="5" applyNumberFormat="1" applyFont="1" applyBorder="1" applyAlignment="1">
      <alignment horizontal="center" vertical="center"/>
    </xf>
    <xf numFmtId="2" fontId="27" fillId="12" borderId="38" xfId="5" applyNumberFormat="1" applyFont="1" applyBorder="1" applyAlignment="1">
      <alignment horizontal="center" vertical="center" wrapText="1"/>
    </xf>
    <xf numFmtId="8" fontId="4" fillId="2" borderId="4" xfId="0" applyNumberFormat="1" applyFont="1" applyFill="1" applyBorder="1" applyAlignment="1">
      <alignment horizontal="center" vertical="center"/>
    </xf>
    <xf numFmtId="14" fontId="26" fillId="2" borderId="4" xfId="0" applyNumberFormat="1" applyFont="1" applyFill="1" applyBorder="1" applyAlignment="1">
      <alignment horizontal="center" vertical="center"/>
    </xf>
    <xf numFmtId="164" fontId="26" fillId="2" borderId="4" xfId="0" applyNumberFormat="1" applyFont="1" applyFill="1" applyBorder="1" applyAlignment="1">
      <alignment horizontal="center" vertical="center"/>
    </xf>
    <xf numFmtId="8" fontId="26" fillId="2" borderId="4" xfId="0" applyNumberFormat="1" applyFont="1" applyFill="1" applyBorder="1" applyAlignment="1">
      <alignment horizontal="center" vertical="center"/>
    </xf>
    <xf numFmtId="14" fontId="26" fillId="0" borderId="0" xfId="0" applyNumberFormat="1" applyFont="1"/>
    <xf numFmtId="0" fontId="31" fillId="14" borderId="39" xfId="0" applyFont="1" applyFill="1" applyBorder="1" applyAlignment="1">
      <alignment horizontal="center" vertical="center"/>
    </xf>
    <xf numFmtId="0" fontId="31" fillId="15" borderId="40" xfId="0" applyFont="1" applyFill="1" applyBorder="1" applyAlignment="1">
      <alignment horizontal="center" vertical="center"/>
    </xf>
    <xf numFmtId="0" fontId="31" fillId="13" borderId="4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/>
    <xf numFmtId="0" fontId="35" fillId="0" borderId="0" xfId="0" applyFont="1" applyFill="1" applyBorder="1" applyAlignment="1">
      <alignment horizontal="right" vertical="center"/>
    </xf>
    <xf numFmtId="0" fontId="37" fillId="0" borderId="0" xfId="0" applyFont="1"/>
    <xf numFmtId="0" fontId="13" fillId="0" borderId="38" xfId="3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36" fillId="0" borderId="0" xfId="3" applyFont="1"/>
    <xf numFmtId="0" fontId="38" fillId="0" borderId="0" xfId="3" applyFont="1" applyAlignment="1">
      <alignment horizontal="left" vertical="center"/>
    </xf>
    <xf numFmtId="0" fontId="39" fillId="0" borderId="0" xfId="3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4" fontId="39" fillId="0" borderId="0" xfId="3" applyNumberFormat="1" applyFont="1" applyAlignment="1">
      <alignment horizontal="center" vertical="center"/>
    </xf>
    <xf numFmtId="0" fontId="39" fillId="0" borderId="0" xfId="3" applyFont="1" applyAlignment="1">
      <alignment horizontal="left" vertical="center"/>
    </xf>
    <xf numFmtId="14" fontId="39" fillId="0" borderId="0" xfId="3" applyNumberFormat="1" applyFont="1" applyFill="1" applyAlignment="1">
      <alignment horizontal="center" vertical="center"/>
    </xf>
    <xf numFmtId="164" fontId="39" fillId="0" borderId="0" xfId="3" applyNumberFormat="1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164" fontId="39" fillId="0" borderId="0" xfId="3" quotePrefix="1" applyNumberFormat="1" applyFont="1" applyAlignment="1">
      <alignment horizontal="center" vertical="center"/>
    </xf>
    <xf numFmtId="164" fontId="40" fillId="0" borderId="0" xfId="3" applyNumberFormat="1" applyFont="1" applyAlignment="1">
      <alignment horizontal="center" vertical="center"/>
    </xf>
    <xf numFmtId="0" fontId="43" fillId="6" borderId="3" xfId="0" applyFont="1" applyFill="1" applyBorder="1" applyAlignment="1">
      <alignment horizontal="center" vertical="center"/>
    </xf>
    <xf numFmtId="0" fontId="43" fillId="6" borderId="5" xfId="0" applyFont="1" applyFill="1" applyBorder="1" applyAlignment="1">
      <alignment horizontal="center" vertical="center" wrapText="1"/>
    </xf>
    <xf numFmtId="0" fontId="43" fillId="6" borderId="12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14" fontId="32" fillId="0" borderId="4" xfId="0" applyNumberFormat="1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41" fillId="6" borderId="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41" fillId="6" borderId="3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 vertical="center"/>
    </xf>
    <xf numFmtId="164" fontId="39" fillId="0" borderId="0" xfId="3" applyNumberFormat="1" applyFont="1" applyFill="1" applyAlignment="1">
      <alignment horizontal="center" vertical="center"/>
    </xf>
    <xf numFmtId="0" fontId="0" fillId="0" borderId="0" xfId="0" applyNumberFormat="1"/>
    <xf numFmtId="0" fontId="39" fillId="0" borderId="0" xfId="3" applyFont="1" applyAlignment="1">
      <alignment horizontal="left" vertical="center" wrapText="1"/>
    </xf>
    <xf numFmtId="0" fontId="39" fillId="0" borderId="0" xfId="3" applyFont="1" applyFill="1" applyAlignment="1">
      <alignment horizontal="left" vertical="center" wrapText="1"/>
    </xf>
    <xf numFmtId="0" fontId="46" fillId="2" borderId="0" xfId="0" applyFont="1" applyFill="1"/>
    <xf numFmtId="0" fontId="47" fillId="2" borderId="0" xfId="0" applyFont="1" applyFill="1" applyAlignment="1">
      <alignment vertical="center"/>
    </xf>
    <xf numFmtId="164" fontId="4" fillId="2" borderId="6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8" fillId="6" borderId="3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48" fillId="6" borderId="12" xfId="0" applyFont="1" applyFill="1" applyBorder="1" applyAlignment="1">
      <alignment horizontal="center" vertical="center" wrapText="1"/>
    </xf>
    <xf numFmtId="0" fontId="48" fillId="3" borderId="27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48" fillId="3" borderId="28" xfId="0" applyFont="1" applyFill="1" applyBorder="1" applyAlignment="1">
      <alignment horizontal="center" vertical="center" wrapText="1"/>
    </xf>
    <xf numFmtId="167" fontId="48" fillId="3" borderId="5" xfId="0" applyNumberFormat="1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167" fontId="48" fillId="3" borderId="12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4" fontId="46" fillId="0" borderId="16" xfId="0" applyNumberFormat="1" applyFont="1" applyBorder="1" applyAlignment="1">
      <alignment horizontal="center" vertical="center"/>
    </xf>
    <xf numFmtId="165" fontId="46" fillId="0" borderId="16" xfId="0" applyNumberFormat="1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164" fontId="46" fillId="0" borderId="50" xfId="0" applyNumberFormat="1" applyFont="1" applyBorder="1" applyAlignment="1">
      <alignment horizontal="center" vertical="center"/>
    </xf>
    <xf numFmtId="1" fontId="46" fillId="0" borderId="16" xfId="0" applyNumberFormat="1" applyFont="1" applyBorder="1" applyAlignment="1">
      <alignment horizontal="center" vertical="center"/>
    </xf>
    <xf numFmtId="165" fontId="46" fillId="2" borderId="50" xfId="0" applyNumberFormat="1" applyFont="1" applyFill="1" applyBorder="1" applyAlignment="1">
      <alignment horizontal="center" vertical="center"/>
    </xf>
    <xf numFmtId="2" fontId="46" fillId="0" borderId="54" xfId="0" applyNumberFormat="1" applyFont="1" applyBorder="1" applyAlignment="1">
      <alignment horizontal="center" vertical="center"/>
    </xf>
    <xf numFmtId="10" fontId="46" fillId="2" borderId="55" xfId="0" applyNumberFormat="1" applyFont="1" applyFill="1" applyBorder="1" applyAlignment="1">
      <alignment horizontal="center" vertical="center"/>
    </xf>
    <xf numFmtId="165" fontId="57" fillId="2" borderId="54" xfId="0" applyNumberFormat="1" applyFont="1" applyFill="1" applyBorder="1" applyAlignment="1">
      <alignment horizontal="center" vertical="center"/>
    </xf>
    <xf numFmtId="165" fontId="57" fillId="2" borderId="56" xfId="0" applyNumberFormat="1" applyFont="1" applyFill="1" applyBorder="1" applyAlignment="1">
      <alignment horizontal="center" vertical="center"/>
    </xf>
    <xf numFmtId="165" fontId="57" fillId="2" borderId="57" xfId="0" applyNumberFormat="1" applyFont="1" applyFill="1" applyBorder="1" applyAlignment="1">
      <alignment horizontal="center" vertical="center"/>
    </xf>
    <xf numFmtId="10" fontId="46" fillId="2" borderId="58" xfId="0" applyNumberFormat="1" applyFont="1" applyFill="1" applyBorder="1" applyAlignment="1">
      <alignment horizontal="center" vertical="center"/>
    </xf>
    <xf numFmtId="10" fontId="46" fillId="2" borderId="16" xfId="0" applyNumberFormat="1" applyFont="1" applyFill="1" applyBorder="1" applyAlignment="1">
      <alignment horizontal="center" vertical="center"/>
    </xf>
    <xf numFmtId="165" fontId="46" fillId="2" borderId="16" xfId="0" applyNumberFormat="1" applyFont="1" applyFill="1" applyBorder="1" applyAlignment="1">
      <alignment horizontal="center" vertical="center"/>
    </xf>
    <xf numFmtId="165" fontId="46" fillId="2" borderId="17" xfId="0" applyNumberFormat="1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31" xfId="0" applyNumberFormat="1" applyFont="1" applyFill="1" applyBorder="1" applyAlignment="1">
      <alignment horizontal="center" vertical="center"/>
    </xf>
    <xf numFmtId="165" fontId="3" fillId="2" borderId="16" xfId="0" applyNumberFormat="1" applyFont="1" applyFill="1" applyBorder="1" applyAlignment="1">
      <alignment horizontal="center" vertical="center"/>
    </xf>
    <xf numFmtId="0" fontId="56" fillId="0" borderId="18" xfId="4" applyFont="1" applyBorder="1" applyAlignment="1">
      <alignment horizontal="center" vertical="center"/>
    </xf>
    <xf numFmtId="14" fontId="46" fillId="0" borderId="13" xfId="0" applyNumberFormat="1" applyFont="1" applyBorder="1" applyAlignment="1">
      <alignment horizontal="center" vertical="center"/>
    </xf>
    <xf numFmtId="165" fontId="46" fillId="0" borderId="13" xfId="0" applyNumberFormat="1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164" fontId="46" fillId="0" borderId="30" xfId="0" applyNumberFormat="1" applyFont="1" applyBorder="1" applyAlignment="1">
      <alignment horizontal="center" vertical="center"/>
    </xf>
    <xf numFmtId="1" fontId="46" fillId="0" borderId="13" xfId="0" applyNumberFormat="1" applyFont="1" applyBorder="1" applyAlignment="1">
      <alignment horizontal="center" vertical="center"/>
    </xf>
    <xf numFmtId="165" fontId="46" fillId="2" borderId="30" xfId="0" applyNumberFormat="1" applyFont="1" applyFill="1" applyBorder="1" applyAlignment="1">
      <alignment horizontal="center" vertical="center"/>
    </xf>
    <xf numFmtId="2" fontId="46" fillId="0" borderId="51" xfId="0" applyNumberFormat="1" applyFont="1" applyBorder="1" applyAlignment="1">
      <alignment horizontal="center" vertical="center"/>
    </xf>
    <xf numFmtId="10" fontId="46" fillId="2" borderId="60" xfId="0" applyNumberFormat="1" applyFont="1" applyFill="1" applyBorder="1" applyAlignment="1">
      <alignment horizontal="center" vertical="center"/>
    </xf>
    <xf numFmtId="165" fontId="57" fillId="2" borderId="51" xfId="0" applyNumberFormat="1" applyFont="1" applyFill="1" applyBorder="1" applyAlignment="1">
      <alignment horizontal="center" vertical="center"/>
    </xf>
    <xf numFmtId="165" fontId="57" fillId="2" borderId="13" xfId="0" applyNumberFormat="1" applyFont="1" applyFill="1" applyBorder="1" applyAlignment="1">
      <alignment horizontal="center" vertical="center"/>
    </xf>
    <xf numFmtId="165" fontId="57" fillId="2" borderId="52" xfId="0" applyNumberFormat="1" applyFont="1" applyFill="1" applyBorder="1" applyAlignment="1">
      <alignment horizontal="center" vertical="center"/>
    </xf>
    <xf numFmtId="10" fontId="46" fillId="2" borderId="14" xfId="0" applyNumberFormat="1" applyFont="1" applyFill="1" applyBorder="1" applyAlignment="1">
      <alignment horizontal="center" vertical="center"/>
    </xf>
    <xf numFmtId="10" fontId="46" fillId="2" borderId="13" xfId="0" applyNumberFormat="1" applyFont="1" applyFill="1" applyBorder="1" applyAlignment="1">
      <alignment horizontal="center" vertical="center"/>
    </xf>
    <xf numFmtId="165" fontId="46" fillId="2" borderId="13" xfId="0" applyNumberFormat="1" applyFont="1" applyFill="1" applyBorder="1" applyAlignment="1">
      <alignment horizontal="center" vertical="center"/>
    </xf>
    <xf numFmtId="165" fontId="46" fillId="2" borderId="19" xfId="0" applyNumberFormat="1" applyFont="1" applyFill="1" applyBorder="1" applyAlignment="1">
      <alignment horizontal="center" vertical="center"/>
    </xf>
    <xf numFmtId="165" fontId="58" fillId="0" borderId="13" xfId="0" applyNumberFormat="1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164" fontId="58" fillId="0" borderId="30" xfId="0" applyNumberFormat="1" applyFont="1" applyBorder="1" applyAlignment="1">
      <alignment horizontal="center" vertical="center"/>
    </xf>
    <xf numFmtId="164" fontId="46" fillId="2" borderId="30" xfId="0" applyNumberFormat="1" applyFont="1" applyFill="1" applyBorder="1" applyAlignment="1">
      <alignment horizontal="center" vertical="center"/>
    </xf>
    <xf numFmtId="0" fontId="56" fillId="0" borderId="23" xfId="4" applyFont="1" applyBorder="1" applyAlignment="1">
      <alignment horizontal="center" vertical="center"/>
    </xf>
    <xf numFmtId="14" fontId="46" fillId="0" borderId="24" xfId="0" applyNumberFormat="1" applyFont="1" applyBorder="1" applyAlignment="1">
      <alignment horizontal="center" vertical="center"/>
    </xf>
    <xf numFmtId="165" fontId="46" fillId="0" borderId="24" xfId="0" applyNumberFormat="1" applyFont="1" applyBorder="1" applyAlignment="1">
      <alignment horizontal="center" vertical="center"/>
    </xf>
    <xf numFmtId="0" fontId="46" fillId="2" borderId="18" xfId="0" applyFont="1" applyFill="1" applyBorder="1" applyAlignment="1">
      <alignment horizontal="center" vertical="center"/>
    </xf>
    <xf numFmtId="14" fontId="46" fillId="2" borderId="13" xfId="0" applyNumberFormat="1" applyFont="1" applyFill="1" applyBorder="1" applyAlignment="1">
      <alignment horizontal="center" vertical="center"/>
    </xf>
    <xf numFmtId="0" fontId="46" fillId="2" borderId="13" xfId="0" applyFont="1" applyFill="1" applyBorder="1" applyAlignment="1">
      <alignment horizontal="center" vertical="center"/>
    </xf>
    <xf numFmtId="164" fontId="46" fillId="2" borderId="13" xfId="0" applyNumberFormat="1" applyFont="1" applyFill="1" applyBorder="1" applyAlignment="1">
      <alignment horizontal="center" vertical="center"/>
    </xf>
    <xf numFmtId="1" fontId="46" fillId="2" borderId="13" xfId="0" applyNumberFormat="1" applyFont="1" applyFill="1" applyBorder="1" applyAlignment="1">
      <alignment horizontal="center" vertical="center"/>
    </xf>
    <xf numFmtId="164" fontId="57" fillId="2" borderId="30" xfId="0" applyNumberFormat="1" applyFont="1" applyFill="1" applyBorder="1" applyAlignment="1">
      <alignment horizontal="center" vertical="center"/>
    </xf>
    <xf numFmtId="164" fontId="57" fillId="2" borderId="51" xfId="0" applyNumberFormat="1" applyFont="1" applyFill="1" applyBorder="1" applyAlignment="1">
      <alignment horizontal="center" vertical="center"/>
    </xf>
    <xf numFmtId="165" fontId="46" fillId="2" borderId="60" xfId="0" applyNumberFormat="1" applyFont="1" applyFill="1" applyBorder="1" applyAlignment="1">
      <alignment horizontal="center" vertical="center"/>
    </xf>
    <xf numFmtId="14" fontId="46" fillId="2" borderId="18" xfId="0" applyNumberFormat="1" applyFont="1" applyFill="1" applyBorder="1" applyAlignment="1">
      <alignment horizontal="center" vertical="center"/>
    </xf>
    <xf numFmtId="0" fontId="46" fillId="2" borderId="61" xfId="0" applyFont="1" applyFill="1" applyBorder="1" applyAlignment="1">
      <alignment horizontal="center" vertical="center"/>
    </xf>
    <xf numFmtId="14" fontId="46" fillId="2" borderId="33" xfId="0" applyNumberFormat="1" applyFont="1" applyFill="1" applyBorder="1" applyAlignment="1">
      <alignment horizontal="center" vertical="center"/>
    </xf>
    <xf numFmtId="165" fontId="46" fillId="2" borderId="33" xfId="0" applyNumberFormat="1" applyFont="1" applyFill="1" applyBorder="1" applyAlignment="1">
      <alignment horizontal="center" vertical="center"/>
    </xf>
    <xf numFmtId="0" fontId="46" fillId="2" borderId="33" xfId="0" applyFont="1" applyFill="1" applyBorder="1" applyAlignment="1">
      <alignment horizontal="center" vertical="center"/>
    </xf>
    <xf numFmtId="164" fontId="46" fillId="2" borderId="33" xfId="0" applyNumberFormat="1" applyFont="1" applyFill="1" applyBorder="1" applyAlignment="1">
      <alignment horizontal="center" vertical="center"/>
    </xf>
    <xf numFmtId="1" fontId="46" fillId="2" borderId="33" xfId="0" applyNumberFormat="1" applyFont="1" applyFill="1" applyBorder="1" applyAlignment="1">
      <alignment horizontal="center" vertical="center"/>
    </xf>
    <xf numFmtId="164" fontId="57" fillId="2" borderId="34" xfId="0" applyNumberFormat="1" applyFont="1" applyFill="1" applyBorder="1" applyAlignment="1">
      <alignment horizontal="center" vertical="center"/>
    </xf>
    <xf numFmtId="164" fontId="57" fillId="2" borderId="62" xfId="0" applyNumberFormat="1" applyFont="1" applyFill="1" applyBorder="1" applyAlignment="1">
      <alignment horizontal="center" vertical="center"/>
    </xf>
    <xf numFmtId="165" fontId="46" fillId="2" borderId="63" xfId="0" applyNumberFormat="1" applyFont="1" applyFill="1" applyBorder="1" applyAlignment="1">
      <alignment horizontal="center" vertical="center"/>
    </xf>
    <xf numFmtId="165" fontId="57" fillId="2" borderId="62" xfId="0" applyNumberFormat="1" applyFont="1" applyFill="1" applyBorder="1" applyAlignment="1">
      <alignment horizontal="center" vertical="center"/>
    </xf>
    <xf numFmtId="165" fontId="57" fillId="2" borderId="64" xfId="0" applyNumberFormat="1" applyFont="1" applyFill="1" applyBorder="1" applyAlignment="1">
      <alignment horizontal="center" vertical="center"/>
    </xf>
    <xf numFmtId="165" fontId="57" fillId="2" borderId="65" xfId="0" applyNumberFormat="1" applyFont="1" applyFill="1" applyBorder="1" applyAlignment="1">
      <alignment horizontal="center" vertical="center"/>
    </xf>
    <xf numFmtId="10" fontId="46" fillId="2" borderId="32" xfId="0" applyNumberFormat="1" applyFont="1" applyFill="1" applyBorder="1" applyAlignment="1">
      <alignment horizontal="center" vertical="center"/>
    </xf>
    <xf numFmtId="10" fontId="46" fillId="2" borderId="33" xfId="0" applyNumberFormat="1" applyFont="1" applyFill="1" applyBorder="1" applyAlignment="1">
      <alignment horizontal="center" vertical="center"/>
    </xf>
    <xf numFmtId="165" fontId="46" fillId="2" borderId="66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164" fontId="4" fillId="2" borderId="28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48" fillId="6" borderId="0" xfId="0" applyFont="1" applyFill="1" applyAlignment="1">
      <alignment horizontal="center" vertical="center" wrapText="1"/>
    </xf>
    <xf numFmtId="0" fontId="55" fillId="17" borderId="26" xfId="0" applyFont="1" applyFill="1" applyBorder="1" applyAlignment="1">
      <alignment horizontal="center" vertical="center" wrapText="1"/>
    </xf>
    <xf numFmtId="0" fontId="55" fillId="17" borderId="27" xfId="0" applyFont="1" applyFill="1" applyBorder="1" applyAlignment="1">
      <alignment horizontal="center" vertical="center" wrapText="1"/>
    </xf>
    <xf numFmtId="0" fontId="55" fillId="17" borderId="28" xfId="0" applyFont="1" applyFill="1" applyBorder="1" applyAlignment="1">
      <alignment horizontal="center" vertical="center" wrapText="1"/>
    </xf>
    <xf numFmtId="0" fontId="55" fillId="18" borderId="0" xfId="0" applyFont="1" applyFill="1" applyAlignment="1">
      <alignment horizontal="center" vertical="center" wrapText="1"/>
    </xf>
    <xf numFmtId="0" fontId="55" fillId="18" borderId="27" xfId="0" applyFont="1" applyFill="1" applyBorder="1" applyAlignment="1">
      <alignment horizontal="center" vertical="center" wrapText="1"/>
    </xf>
    <xf numFmtId="167" fontId="55" fillId="18" borderId="0" xfId="0" applyNumberFormat="1" applyFont="1" applyFill="1" applyAlignment="1">
      <alignment horizontal="center" vertical="center" wrapText="1"/>
    </xf>
    <xf numFmtId="167" fontId="55" fillId="18" borderId="68" xfId="0" applyNumberFormat="1" applyFont="1" applyFill="1" applyBorder="1" applyAlignment="1">
      <alignment horizontal="center" vertical="center" wrapText="1"/>
    </xf>
    <xf numFmtId="17" fontId="46" fillId="19" borderId="15" xfId="0" applyNumberFormat="1" applyFont="1" applyFill="1" applyBorder="1" applyAlignment="1">
      <alignment horizontal="center" vertical="center"/>
    </xf>
    <xf numFmtId="164" fontId="46" fillId="19" borderId="16" xfId="0" applyNumberFormat="1" applyFont="1" applyFill="1" applyBorder="1" applyAlignment="1">
      <alignment horizontal="center" vertical="center"/>
    </xf>
    <xf numFmtId="164" fontId="46" fillId="2" borderId="16" xfId="0" applyNumberFormat="1" applyFon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0" fontId="46" fillId="2" borderId="15" xfId="0" applyFont="1" applyFill="1" applyBorder="1" applyAlignment="1">
      <alignment horizontal="center" vertical="center"/>
    </xf>
    <xf numFmtId="14" fontId="46" fillId="2" borderId="16" xfId="0" applyNumberFormat="1" applyFont="1" applyFill="1" applyBorder="1" applyAlignment="1">
      <alignment horizontal="center" vertical="center"/>
    </xf>
    <xf numFmtId="165" fontId="58" fillId="2" borderId="16" xfId="0" applyNumberFormat="1" applyFont="1" applyFill="1" applyBorder="1" applyAlignment="1">
      <alignment horizontal="center" vertical="center"/>
    </xf>
    <xf numFmtId="0" fontId="46" fillId="2" borderId="16" xfId="0" applyFont="1" applyFill="1" applyBorder="1" applyAlignment="1">
      <alignment horizontal="center" vertical="center"/>
    </xf>
    <xf numFmtId="1" fontId="46" fillId="2" borderId="16" xfId="0" applyNumberFormat="1" applyFont="1" applyFill="1" applyBorder="1" applyAlignment="1">
      <alignment horizontal="center" vertical="center"/>
    </xf>
    <xf numFmtId="165" fontId="57" fillId="20" borderId="17" xfId="0" applyNumberFormat="1" applyFont="1" applyFill="1" applyBorder="1" applyAlignment="1">
      <alignment horizontal="center" vertical="center"/>
    </xf>
    <xf numFmtId="164" fontId="57" fillId="20" borderId="15" xfId="0" applyNumberFormat="1" applyFont="1" applyFill="1" applyBorder="1" applyAlignment="1">
      <alignment horizontal="center" vertical="center"/>
    </xf>
    <xf numFmtId="2" fontId="46" fillId="2" borderId="16" xfId="0" applyNumberFormat="1" applyFont="1" applyFill="1" applyBorder="1" applyAlignment="1">
      <alignment horizontal="center" vertical="center"/>
    </xf>
    <xf numFmtId="10" fontId="58" fillId="20" borderId="16" xfId="0" applyNumberFormat="1" applyFont="1" applyFill="1" applyBorder="1" applyAlignment="1">
      <alignment horizontal="center" vertical="center"/>
    </xf>
    <xf numFmtId="165" fontId="58" fillId="20" borderId="16" xfId="0" applyNumberFormat="1" applyFont="1" applyFill="1" applyBorder="1" applyAlignment="1">
      <alignment horizontal="center" vertical="center"/>
    </xf>
    <xf numFmtId="165" fontId="58" fillId="20" borderId="17" xfId="0" applyNumberFormat="1" applyFont="1" applyFill="1" applyBorder="1" applyAlignment="1">
      <alignment horizontal="center" vertical="center"/>
    </xf>
    <xf numFmtId="17" fontId="46" fillId="19" borderId="18" xfId="0" applyNumberFormat="1" applyFont="1" applyFill="1" applyBorder="1" applyAlignment="1">
      <alignment horizontal="center" vertical="center"/>
    </xf>
    <xf numFmtId="164" fontId="46" fillId="19" borderId="13" xfId="0" applyNumberFormat="1" applyFon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165" fontId="58" fillId="2" borderId="13" xfId="0" applyNumberFormat="1" applyFont="1" applyFill="1" applyBorder="1" applyAlignment="1">
      <alignment horizontal="center" vertical="center"/>
    </xf>
    <xf numFmtId="165" fontId="57" fillId="20" borderId="19" xfId="0" applyNumberFormat="1" applyFont="1" applyFill="1" applyBorder="1" applyAlignment="1">
      <alignment horizontal="center" vertical="center"/>
    </xf>
    <xf numFmtId="164" fontId="57" fillId="2" borderId="18" xfId="0" applyNumberFormat="1" applyFont="1" applyFill="1" applyBorder="1" applyAlignment="1">
      <alignment horizontal="center" vertical="center"/>
    </xf>
    <xf numFmtId="2" fontId="46" fillId="2" borderId="13" xfId="0" applyNumberFormat="1" applyFont="1" applyFill="1" applyBorder="1" applyAlignment="1">
      <alignment horizontal="center" vertical="center"/>
    </xf>
    <xf numFmtId="10" fontId="58" fillId="20" borderId="13" xfId="0" applyNumberFormat="1" applyFont="1" applyFill="1" applyBorder="1" applyAlignment="1">
      <alignment horizontal="center" vertical="center"/>
    </xf>
    <xf numFmtId="10" fontId="46" fillId="2" borderId="13" xfId="0" applyNumberFormat="1" applyFont="1" applyFill="1" applyBorder="1" applyAlignment="1">
      <alignment horizontal="center"/>
    </xf>
    <xf numFmtId="165" fontId="58" fillId="20" borderId="13" xfId="0" applyNumberFormat="1" applyFont="1" applyFill="1" applyBorder="1" applyAlignment="1">
      <alignment horizontal="center" vertical="center"/>
    </xf>
    <xf numFmtId="165" fontId="58" fillId="20" borderId="19" xfId="0" applyNumberFormat="1" applyFont="1" applyFill="1" applyBorder="1" applyAlignment="1">
      <alignment horizontal="center" vertical="center"/>
    </xf>
    <xf numFmtId="0" fontId="46" fillId="2" borderId="18" xfId="0" applyFont="1" applyFill="1" applyBorder="1" applyAlignment="1">
      <alignment horizontal="center"/>
    </xf>
    <xf numFmtId="0" fontId="46" fillId="2" borderId="13" xfId="0" applyFont="1" applyFill="1" applyBorder="1" applyAlignment="1">
      <alignment horizontal="center"/>
    </xf>
    <xf numFmtId="0" fontId="46" fillId="2" borderId="19" xfId="0" applyFont="1" applyFill="1" applyBorder="1" applyAlignment="1">
      <alignment horizontal="center"/>
    </xf>
    <xf numFmtId="2" fontId="46" fillId="2" borderId="13" xfId="0" applyNumberFormat="1" applyFont="1" applyFill="1" applyBorder="1" applyAlignment="1">
      <alignment horizontal="center"/>
    </xf>
    <xf numFmtId="17" fontId="46" fillId="19" borderId="20" xfId="0" applyNumberFormat="1" applyFont="1" applyFill="1" applyBorder="1" applyAlignment="1">
      <alignment horizontal="center" vertical="center"/>
    </xf>
    <xf numFmtId="164" fontId="46" fillId="19" borderId="21" xfId="0" applyNumberFormat="1" applyFont="1" applyFill="1" applyBorder="1" applyAlignment="1">
      <alignment horizontal="center" vertical="center"/>
    </xf>
    <xf numFmtId="164" fontId="46" fillId="2" borderId="21" xfId="0" applyNumberFormat="1" applyFon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/>
    </xf>
    <xf numFmtId="0" fontId="46" fillId="2" borderId="21" xfId="0" applyFont="1" applyFill="1" applyBorder="1" applyAlignment="1">
      <alignment horizontal="center"/>
    </xf>
    <xf numFmtId="165" fontId="46" fillId="2" borderId="21" xfId="0" applyNumberFormat="1" applyFont="1" applyFill="1" applyBorder="1" applyAlignment="1">
      <alignment horizontal="center" vertical="center"/>
    </xf>
    <xf numFmtId="0" fontId="46" fillId="2" borderId="22" xfId="0" applyFont="1" applyFill="1" applyBorder="1" applyAlignment="1">
      <alignment horizontal="center"/>
    </xf>
    <xf numFmtId="164" fontId="57" fillId="2" borderId="20" xfId="0" applyNumberFormat="1" applyFont="1" applyFill="1" applyBorder="1" applyAlignment="1">
      <alignment horizontal="center" vertical="center"/>
    </xf>
    <xf numFmtId="2" fontId="46" fillId="2" borderId="21" xfId="0" applyNumberFormat="1" applyFont="1" applyFill="1" applyBorder="1" applyAlignment="1">
      <alignment horizontal="center"/>
    </xf>
    <xf numFmtId="10" fontId="58" fillId="20" borderId="21" xfId="0" applyNumberFormat="1" applyFont="1" applyFill="1" applyBorder="1" applyAlignment="1">
      <alignment horizontal="center" vertical="center"/>
    </xf>
    <xf numFmtId="10" fontId="46" fillId="2" borderId="21" xfId="0" applyNumberFormat="1" applyFont="1" applyFill="1" applyBorder="1" applyAlignment="1">
      <alignment horizontal="center"/>
    </xf>
    <xf numFmtId="165" fontId="58" fillId="20" borderId="21" xfId="0" applyNumberFormat="1" applyFont="1" applyFill="1" applyBorder="1" applyAlignment="1">
      <alignment horizontal="center" vertical="center"/>
    </xf>
    <xf numFmtId="165" fontId="58" fillId="20" borderId="2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" fontId="0" fillId="2" borderId="0" xfId="0" applyNumberFormat="1" applyFill="1"/>
    <xf numFmtId="0" fontId="58" fillId="2" borderId="0" xfId="0" applyFont="1" applyFill="1" applyAlignment="1">
      <alignment horizontal="center" vertical="center"/>
    </xf>
    <xf numFmtId="0" fontId="48" fillId="2" borderId="0" xfId="0" applyFont="1" applyFill="1" applyBorder="1" applyAlignment="1">
      <alignment horizontal="center" vertical="center" wrapText="1"/>
    </xf>
    <xf numFmtId="0" fontId="61" fillId="0" borderId="15" xfId="4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0" fontId="63" fillId="0" borderId="0" xfId="0" applyNumberFormat="1" applyFont="1" applyAlignment="1">
      <alignment horizontal="center" vertical="center"/>
    </xf>
    <xf numFmtId="0" fontId="31" fillId="21" borderId="40" xfId="0" applyFont="1" applyFill="1" applyBorder="1" applyAlignment="1">
      <alignment horizontal="center" vertical="center"/>
    </xf>
    <xf numFmtId="166" fontId="3" fillId="2" borderId="30" xfId="0" applyNumberFormat="1" applyFont="1" applyFill="1" applyBorder="1" applyAlignment="1">
      <alignment horizontal="center" vertical="center"/>
    </xf>
    <xf numFmtId="166" fontId="3" fillId="2" borderId="1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8" fontId="64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168" fontId="3" fillId="2" borderId="13" xfId="0" applyNumberFormat="1" applyFont="1" applyFill="1" applyBorder="1" applyAlignment="1">
      <alignment horizontal="center" vertical="center"/>
    </xf>
    <xf numFmtId="168" fontId="3" fillId="2" borderId="30" xfId="0" applyNumberFormat="1" applyFont="1" applyFill="1" applyBorder="1" applyAlignment="1">
      <alignment horizontal="center" vertical="center"/>
    </xf>
    <xf numFmtId="1" fontId="39" fillId="0" borderId="0" xfId="3" applyNumberFormat="1" applyFont="1" applyAlignment="1">
      <alignment horizontal="center" vertical="center"/>
    </xf>
    <xf numFmtId="1" fontId="39" fillId="0" borderId="0" xfId="3" applyNumberFormat="1" applyFont="1" applyFill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8" fillId="0" borderId="0" xfId="3" applyFont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2" fillId="3" borderId="37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4" fontId="28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/>
    </xf>
    <xf numFmtId="0" fontId="42" fillId="6" borderId="29" xfId="0" applyFont="1" applyFill="1" applyBorder="1" applyAlignment="1">
      <alignment horizontal="center" vertical="center"/>
    </xf>
    <xf numFmtId="0" fontId="42" fillId="6" borderId="37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41" fillId="2" borderId="6" xfId="0" applyFont="1" applyFill="1" applyBorder="1" applyAlignment="1">
      <alignment horizontal="center" vertical="center"/>
    </xf>
    <xf numFmtId="10" fontId="50" fillId="2" borderId="0" xfId="0" applyNumberFormat="1" applyFont="1" applyFill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0" fontId="49" fillId="2" borderId="0" xfId="0" applyFont="1" applyFill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/>
    </xf>
    <xf numFmtId="0" fontId="54" fillId="6" borderId="69" xfId="0" applyFont="1" applyFill="1" applyBorder="1" applyAlignment="1">
      <alignment horizontal="center" vertical="center"/>
    </xf>
    <xf numFmtId="0" fontId="54" fillId="6" borderId="0" xfId="0" applyFont="1" applyFill="1" applyBorder="1" applyAlignment="1">
      <alignment horizontal="center" vertical="center"/>
    </xf>
    <xf numFmtId="0" fontId="54" fillId="6" borderId="70" xfId="0" applyFont="1" applyFill="1" applyBorder="1" applyAlignment="1">
      <alignment horizontal="center" vertical="center"/>
    </xf>
    <xf numFmtId="0" fontId="54" fillId="3" borderId="36" xfId="0" applyFont="1" applyFill="1" applyBorder="1" applyAlignment="1">
      <alignment horizontal="center" vertical="center"/>
    </xf>
    <xf numFmtId="0" fontId="54" fillId="3" borderId="37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3" borderId="70" xfId="0" applyFont="1" applyFill="1" applyBorder="1" applyAlignment="1">
      <alignment horizontal="center" vertical="center"/>
    </xf>
    <xf numFmtId="0" fontId="54" fillId="3" borderId="71" xfId="0" applyFont="1" applyFill="1" applyBorder="1" applyAlignment="1">
      <alignment horizontal="center" vertical="center"/>
    </xf>
    <xf numFmtId="0" fontId="54" fillId="3" borderId="72" xfId="0" applyFont="1" applyFill="1" applyBorder="1" applyAlignment="1">
      <alignment horizontal="center" vertical="center"/>
    </xf>
    <xf numFmtId="0" fontId="54" fillId="9" borderId="8" xfId="0" applyFont="1" applyFill="1" applyBorder="1" applyAlignment="1">
      <alignment horizontal="center" vertical="center"/>
    </xf>
    <xf numFmtId="0" fontId="54" fillId="9" borderId="9" xfId="0" applyFont="1" applyFill="1" applyBorder="1" applyAlignment="1">
      <alignment horizontal="center" vertical="center"/>
    </xf>
    <xf numFmtId="0" fontId="54" fillId="3" borderId="8" xfId="0" applyFont="1" applyFill="1" applyBorder="1" applyAlignment="1">
      <alignment horizontal="center" vertical="center"/>
    </xf>
    <xf numFmtId="0" fontId="54" fillId="3" borderId="9" xfId="0" applyFont="1" applyFill="1" applyBorder="1" applyAlignment="1">
      <alignment horizontal="center" vertical="center"/>
    </xf>
    <xf numFmtId="0" fontId="54" fillId="3" borderId="11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59" fillId="17" borderId="69" xfId="0" applyFont="1" applyFill="1" applyBorder="1" applyAlignment="1">
      <alignment horizontal="center" vertical="center"/>
    </xf>
    <xf numFmtId="0" fontId="59" fillId="17" borderId="0" xfId="0" applyFont="1" applyFill="1" applyBorder="1" applyAlignment="1">
      <alignment horizontal="center" vertical="center"/>
    </xf>
    <xf numFmtId="0" fontId="59" fillId="17" borderId="70" xfId="0" applyFont="1" applyFill="1" applyBorder="1" applyAlignment="1">
      <alignment horizontal="center" vertical="center"/>
    </xf>
    <xf numFmtId="0" fontId="60" fillId="18" borderId="36" xfId="0" applyFont="1" applyFill="1" applyBorder="1" applyAlignment="1">
      <alignment horizontal="center" vertical="center"/>
    </xf>
    <xf numFmtId="0" fontId="60" fillId="18" borderId="29" xfId="0" applyFont="1" applyFill="1" applyBorder="1" applyAlignment="1">
      <alignment horizontal="center" vertical="center"/>
    </xf>
    <xf numFmtId="0" fontId="60" fillId="18" borderId="37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6">
    <cellStyle name="40% - Акцент4" xfId="5" builtinId="43"/>
    <cellStyle name="Гиперссылка" xfId="4" builtinId="8"/>
    <cellStyle name="Начертание 1" xfId="2"/>
    <cellStyle name="Обычный" xfId="0" builtinId="0"/>
    <cellStyle name="Обычный 2" xfId="3"/>
    <cellStyle name="Хороший" xfId="1" builtinId="26" customBuiltin="1"/>
  </cellStyles>
  <dxfs count="15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1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entury Gothic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entury Gothic"/>
        <scheme val="none"/>
      </font>
      <numFmt numFmtId="164" formatCode="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1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Century Gothic"/>
        <scheme val="none"/>
      </font>
      <fill>
        <patternFill patternType="solid">
          <fgColor rgb="FF000000"/>
          <bgColor rgb="FFBDDFAC"/>
        </patternFill>
      </fill>
      <alignment horizontal="center" vertical="center" textRotation="0" wrapText="1" indent="0" justifyLastLine="0" shrinkToFit="0" readingOrder="0"/>
    </dxf>
    <dxf>
      <numFmt numFmtId="164" formatCode="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1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#,##0.00\ &quot;₽&quot;"/>
      <fill>
        <patternFill patternType="solid">
          <fgColor indexed="64"/>
          <bgColor rgb="FFF2FFE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22" formatCode="mmm/yy"/>
      <fill>
        <patternFill patternType="solid">
          <fgColor indexed="64"/>
          <bgColor rgb="FFF2FFE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1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1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indexed="64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entury Gothic"/>
        <scheme val="none"/>
      </font>
      <numFmt numFmtId="164" formatCode="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#,##0.00\ &quot;₽&quot;"/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#,##0\ &quot;₽&quot;"/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#,##0\ &quot;₽&quot;"/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Century Gothic"/>
        <scheme val="none"/>
      </font>
      <fill>
        <patternFill patternType="solid">
          <fgColor indexed="64"/>
          <bgColor rgb="FFBDDFA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1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64" formatCode="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749992370372631"/>
        <name val="Century Gothic"/>
        <scheme val="none"/>
      </font>
      <fill>
        <patternFill patternType="solid">
          <fgColor indexed="64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numFmt numFmtId="164" formatCode="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numFmt numFmtId="12" formatCode="#,##0.00\ &quot;₽&quot;;[Red]\-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numFmt numFmtId="164" formatCode="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numFmt numFmtId="164" formatCode="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1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1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65" formatCode="#,##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66" formatCode="#,##0.00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1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64" formatCode="#,##0.00\ &quot;₽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2" tint="-0.749992370372631"/>
        <name val="Century Gothic"/>
        <scheme val="none"/>
      </font>
    </dxf>
    <dxf>
      <fill>
        <patternFill>
          <bgColor rgb="FF32C869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numFmt numFmtId="19" formatCode="dd/mm/yyyy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Medium9">
    <tableStyle name="Стиль сводной таблицы 1" table="0" count="0"/>
  </tableStyles>
  <colors>
    <mruColors>
      <color rgb="FF9BBB55"/>
      <color rgb="FFC6E0B4"/>
      <color rgb="FF32C869"/>
      <color rgb="FF5AB46E"/>
      <color rgb="FFFF5757"/>
      <color rgb="FFFFB89C"/>
      <color rgb="FFA9D08F"/>
      <color rgb="FFFCEB76"/>
      <color rgb="FFFEEAD9"/>
      <color rgb="FFFFD0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/>
              <a:t>СТАТИСТИЧЕСКИЕ</a:t>
            </a:r>
            <a:r>
              <a:rPr lang="ru-RU" baseline="0"/>
              <a:t> ДАННЫЕ ИНВЕСТИЦИОННОГО ПОРТФЕЛЯ</a:t>
            </a:r>
            <a:endParaRPr lang="ru-RU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7924500991780206E-2"/>
          <c:y val="0.12268946721169013"/>
          <c:w val="0.94954511494967098"/>
          <c:h val="0.75112275648342741"/>
        </c:manualLayout>
      </c:layout>
      <c:lineChart>
        <c:grouping val="standard"/>
        <c:varyColors val="0"/>
        <c:ser>
          <c:idx val="0"/>
          <c:order val="0"/>
          <c:tx>
            <c:strRef>
              <c:f>ГРАФИКИ!$H$2</c:f>
              <c:strCache>
                <c:ptCount val="1"/>
                <c:pt idx="0">
                  <c:v>ТЕКУЩАЯ СТОИМОСТЬ ПОРТФЕЛЯ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0"/>
            <c:spPr>
              <a:solidFill>
                <a:srgbClr val="1F497D">
                  <a:lumMod val="60000"/>
                  <a:lumOff val="40000"/>
                </a:srgbClr>
              </a:solidFill>
              <a:ln>
                <a:solidFill>
                  <a:srgbClr val="1F497D">
                    <a:lumMod val="60000"/>
                    <a:lumOff val="40000"/>
                  </a:srgb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etal">
                <a:bevelT w="63500" h="25400" prst="artDeco"/>
                <a:bevelB w="114300" prst="artDeco"/>
              </a:sp3d>
            </c:spPr>
          </c:marker>
          <c:dLbls>
            <c:numFmt formatCode="#,##0\ &quot;₽&quot;" sourceLinked="0"/>
            <c:spPr>
              <a:noFill/>
              <a:ln w="12700"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ГРАФИКИ!$G$3:$G$35</c:f>
              <c:numCache>
                <c:formatCode>m/d/yyyy</c:formatCode>
                <c:ptCount val="33"/>
                <c:pt idx="0">
                  <c:v>45581</c:v>
                </c:pt>
                <c:pt idx="1">
                  <c:v>45582</c:v>
                </c:pt>
                <c:pt idx="2">
                  <c:v>45583</c:v>
                </c:pt>
                <c:pt idx="3">
                  <c:v>45586</c:v>
                </c:pt>
                <c:pt idx="4">
                  <c:v>45587</c:v>
                </c:pt>
                <c:pt idx="5">
                  <c:v>45588</c:v>
                </c:pt>
                <c:pt idx="6">
                  <c:v>45589</c:v>
                </c:pt>
                <c:pt idx="7">
                  <c:v>45590</c:v>
                </c:pt>
                <c:pt idx="8">
                  <c:v>45593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45603</c:v>
                </c:pt>
                <c:pt idx="16">
                  <c:v>45604</c:v>
                </c:pt>
                <c:pt idx="17">
                  <c:v>45607</c:v>
                </c:pt>
                <c:pt idx="18">
                  <c:v>45608</c:v>
                </c:pt>
                <c:pt idx="19">
                  <c:v>45609</c:v>
                </c:pt>
                <c:pt idx="20">
                  <c:v>45610</c:v>
                </c:pt>
                <c:pt idx="21">
                  <c:v>45611</c:v>
                </c:pt>
                <c:pt idx="22">
                  <c:v>45615</c:v>
                </c:pt>
                <c:pt idx="23">
                  <c:v>45617</c:v>
                </c:pt>
                <c:pt idx="24">
                  <c:v>45618</c:v>
                </c:pt>
                <c:pt idx="25">
                  <c:v>45621</c:v>
                </c:pt>
                <c:pt idx="26">
                  <c:v>45622</c:v>
                </c:pt>
                <c:pt idx="27">
                  <c:v>45623</c:v>
                </c:pt>
                <c:pt idx="28">
                  <c:v>45624</c:v>
                </c:pt>
                <c:pt idx="29">
                  <c:v>45625</c:v>
                </c:pt>
                <c:pt idx="30">
                  <c:v>45628</c:v>
                </c:pt>
                <c:pt idx="31">
                  <c:v>45629</c:v>
                </c:pt>
                <c:pt idx="32">
                  <c:v>45630</c:v>
                </c:pt>
              </c:numCache>
            </c:numRef>
          </c:cat>
          <c:val>
            <c:numRef>
              <c:f>ГРАФИКИ!$H$3:$H$35</c:f>
              <c:numCache>
                <c:formatCode>General</c:formatCode>
                <c:ptCount val="33"/>
                <c:pt idx="0">
                  <c:v>6969</c:v>
                </c:pt>
                <c:pt idx="1">
                  <c:v>6949</c:v>
                </c:pt>
                <c:pt idx="2">
                  <c:v>6899</c:v>
                </c:pt>
                <c:pt idx="3">
                  <c:v>10844.05</c:v>
                </c:pt>
                <c:pt idx="4">
                  <c:v>10718.45</c:v>
                </c:pt>
                <c:pt idx="5">
                  <c:v>10685.95</c:v>
                </c:pt>
                <c:pt idx="6">
                  <c:v>10628.24</c:v>
                </c:pt>
                <c:pt idx="7">
                  <c:v>10624.919</c:v>
                </c:pt>
                <c:pt idx="8">
                  <c:v>10630.566999999999</c:v>
                </c:pt>
                <c:pt idx="9">
                  <c:v>10636.215</c:v>
                </c:pt>
                <c:pt idx="10">
                  <c:v>10641.51</c:v>
                </c:pt>
                <c:pt idx="11">
                  <c:v>10643.62</c:v>
                </c:pt>
                <c:pt idx="12">
                  <c:v>10650.424000000001</c:v>
                </c:pt>
                <c:pt idx="13">
                  <c:v>10667.812</c:v>
                </c:pt>
                <c:pt idx="14">
                  <c:v>10674.237999999999</c:v>
                </c:pt>
                <c:pt idx="15">
                  <c:v>10767.572</c:v>
                </c:pt>
                <c:pt idx="16">
                  <c:v>10786.472</c:v>
                </c:pt>
                <c:pt idx="17">
                  <c:v>10792.142</c:v>
                </c:pt>
                <c:pt idx="18">
                  <c:v>10798.189999999999</c:v>
                </c:pt>
                <c:pt idx="19">
                  <c:v>10803.859999999999</c:v>
                </c:pt>
                <c:pt idx="20">
                  <c:v>11576.186</c:v>
                </c:pt>
                <c:pt idx="21">
                  <c:v>15590.73</c:v>
                </c:pt>
                <c:pt idx="22">
                  <c:v>15753.83</c:v>
                </c:pt>
                <c:pt idx="23">
                  <c:v>13430.07</c:v>
                </c:pt>
                <c:pt idx="24">
                  <c:v>12735.79</c:v>
                </c:pt>
                <c:pt idx="25">
                  <c:v>12220.827000000001</c:v>
                </c:pt>
                <c:pt idx="26">
                  <c:v>11883.95</c:v>
                </c:pt>
                <c:pt idx="27">
                  <c:v>12450.061000000002</c:v>
                </c:pt>
                <c:pt idx="28">
                  <c:v>12355.385</c:v>
                </c:pt>
                <c:pt idx="29">
                  <c:v>12861.819999999998</c:v>
                </c:pt>
                <c:pt idx="30">
                  <c:v>12858.539999999999</c:v>
                </c:pt>
                <c:pt idx="31">
                  <c:v>12661.74</c:v>
                </c:pt>
                <c:pt idx="32">
                  <c:v>12309.1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ГРАФИКИ!$I$2</c:f>
              <c:strCache>
                <c:ptCount val="1"/>
                <c:pt idx="0">
                  <c:v>ОБЩИЙ РЕЗУЛЬТАТ С ДИВИДЕНДАМИ И КОМИССИЯМИ</c:v>
                </c:pt>
              </c:strCache>
            </c:strRef>
          </c:tx>
          <c:spPr>
            <a:ln cmpd="sng">
              <a:solidFill>
                <a:srgbClr val="FF000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etal">
                <a:bevelT w="63500" h="25400" prst="artDeco"/>
                <a:bevelB w="114300" prst="artDeco"/>
              </a:sp3d>
            </c:spPr>
          </c:marker>
          <c:dLbls>
            <c:numFmt formatCode="#,##0\ &quot;₽&quot;" sourceLinked="0"/>
            <c:spPr>
              <a:noFill/>
              <a:ln>
                <a:noFill/>
              </a:ln>
            </c:spPr>
            <c:txPr>
              <a:bodyPr rot="0" vert="horz"/>
              <a:lstStyle/>
              <a:p>
                <a:pPr>
                  <a:defRPr sz="800"/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ГРАФИКИ!$G$3:$G$35</c:f>
              <c:numCache>
                <c:formatCode>m/d/yyyy</c:formatCode>
                <c:ptCount val="33"/>
                <c:pt idx="0">
                  <c:v>45581</c:v>
                </c:pt>
                <c:pt idx="1">
                  <c:v>45582</c:v>
                </c:pt>
                <c:pt idx="2">
                  <c:v>45583</c:v>
                </c:pt>
                <c:pt idx="3">
                  <c:v>45586</c:v>
                </c:pt>
                <c:pt idx="4">
                  <c:v>45587</c:v>
                </c:pt>
                <c:pt idx="5">
                  <c:v>45588</c:v>
                </c:pt>
                <c:pt idx="6">
                  <c:v>45589</c:v>
                </c:pt>
                <c:pt idx="7">
                  <c:v>45590</c:v>
                </c:pt>
                <c:pt idx="8">
                  <c:v>45593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45603</c:v>
                </c:pt>
                <c:pt idx="16">
                  <c:v>45604</c:v>
                </c:pt>
                <c:pt idx="17">
                  <c:v>45607</c:v>
                </c:pt>
                <c:pt idx="18">
                  <c:v>45608</c:v>
                </c:pt>
                <c:pt idx="19">
                  <c:v>45609</c:v>
                </c:pt>
                <c:pt idx="20">
                  <c:v>45610</c:v>
                </c:pt>
                <c:pt idx="21">
                  <c:v>45611</c:v>
                </c:pt>
                <c:pt idx="22">
                  <c:v>45615</c:v>
                </c:pt>
                <c:pt idx="23">
                  <c:v>45617</c:v>
                </c:pt>
                <c:pt idx="24">
                  <c:v>45618</c:v>
                </c:pt>
                <c:pt idx="25">
                  <c:v>45621</c:v>
                </c:pt>
                <c:pt idx="26">
                  <c:v>45622</c:v>
                </c:pt>
                <c:pt idx="27">
                  <c:v>45623</c:v>
                </c:pt>
                <c:pt idx="28">
                  <c:v>45624</c:v>
                </c:pt>
                <c:pt idx="29">
                  <c:v>45625</c:v>
                </c:pt>
                <c:pt idx="30">
                  <c:v>45628</c:v>
                </c:pt>
                <c:pt idx="31">
                  <c:v>45629</c:v>
                </c:pt>
                <c:pt idx="32">
                  <c:v>45630</c:v>
                </c:pt>
              </c:numCache>
            </c:numRef>
          </c:cat>
          <c:val>
            <c:numRef>
              <c:f>ГРАФИКИ!$I$3:$I$35</c:f>
              <c:numCache>
                <c:formatCode>General</c:formatCode>
                <c:ptCount val="33"/>
                <c:pt idx="0">
                  <c:v>-30</c:v>
                </c:pt>
                <c:pt idx="1">
                  <c:v>-50</c:v>
                </c:pt>
                <c:pt idx="2">
                  <c:v>-100</c:v>
                </c:pt>
                <c:pt idx="3">
                  <c:v>-154.4</c:v>
                </c:pt>
                <c:pt idx="4">
                  <c:v>-280</c:v>
                </c:pt>
                <c:pt idx="5">
                  <c:v>-312.5</c:v>
                </c:pt>
                <c:pt idx="6">
                  <c:v>-371.76</c:v>
                </c:pt>
                <c:pt idx="7">
                  <c:v>-375.08100000000013</c:v>
                </c:pt>
                <c:pt idx="8">
                  <c:v>-369.4330000000009</c:v>
                </c:pt>
                <c:pt idx="9">
                  <c:v>-363.78499999999985</c:v>
                </c:pt>
                <c:pt idx="10">
                  <c:v>-358.48999999999978</c:v>
                </c:pt>
                <c:pt idx="11">
                  <c:v>-356.3799999999992</c:v>
                </c:pt>
                <c:pt idx="12">
                  <c:v>-349.57599999999911</c:v>
                </c:pt>
                <c:pt idx="13">
                  <c:v>-332.1880000000001</c:v>
                </c:pt>
                <c:pt idx="14">
                  <c:v>-325.76200000000063</c:v>
                </c:pt>
                <c:pt idx="15">
                  <c:v>-232.42799999999988</c:v>
                </c:pt>
                <c:pt idx="16">
                  <c:v>-213.52800000000025</c:v>
                </c:pt>
                <c:pt idx="17">
                  <c:v>-207.85800000000017</c:v>
                </c:pt>
                <c:pt idx="18">
                  <c:v>-201.81000000000131</c:v>
                </c:pt>
                <c:pt idx="19">
                  <c:v>-196.14000000000124</c:v>
                </c:pt>
                <c:pt idx="20">
                  <c:v>576.18599999999969</c:v>
                </c:pt>
                <c:pt idx="21">
                  <c:v>590.72999999999956</c:v>
                </c:pt>
                <c:pt idx="22">
                  <c:v>753.82999999999993</c:v>
                </c:pt>
                <c:pt idx="23">
                  <c:v>-1569.9300000000003</c:v>
                </c:pt>
                <c:pt idx="24">
                  <c:v>-2264.2099999999991</c:v>
                </c:pt>
                <c:pt idx="25">
                  <c:v>-2779.1729999999989</c:v>
                </c:pt>
                <c:pt idx="26">
                  <c:v>-3116.0499999999993</c:v>
                </c:pt>
                <c:pt idx="27">
                  <c:v>-2549.9389999999985</c:v>
                </c:pt>
                <c:pt idx="28">
                  <c:v>-2644.6149999999998</c:v>
                </c:pt>
                <c:pt idx="29">
                  <c:v>-2138.1800000000021</c:v>
                </c:pt>
                <c:pt idx="30">
                  <c:v>-2141.4600000000009</c:v>
                </c:pt>
                <c:pt idx="31">
                  <c:v>-2338.2600000000002</c:v>
                </c:pt>
                <c:pt idx="32">
                  <c:v>-2690.8999999999996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ГРАФИКИ!$J$2</c:f>
              <c:strCache>
                <c:ptCount val="1"/>
                <c:pt idx="0">
                  <c:v>СУММА ВЛОЖЕНИЙ</c:v>
                </c:pt>
              </c:strCache>
            </c:strRef>
          </c:tx>
          <c:spPr>
            <a:ln>
              <a:solidFill>
                <a:srgbClr val="9BBB59">
                  <a:lumMod val="75000"/>
                </a:srgb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0"/>
            <c:spPr>
              <a:solidFill>
                <a:srgbClr val="9BBB59">
                  <a:lumMod val="75000"/>
                </a:srgbClr>
              </a:solidFill>
              <a:ln>
                <a:solidFill>
                  <a:srgbClr val="9BBB59">
                    <a:lumMod val="75000"/>
                  </a:srgb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etal">
                <a:bevelT w="63500" h="25400" prst="artDeco"/>
                <a:bevelB w="114300" prst="artDeco"/>
              </a:sp3d>
            </c:spPr>
          </c:marker>
          <c:dLbls>
            <c:numFmt formatCode="#,##0\ &quot;₽&quot;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ГРАФИКИ!$G$3:$G$35</c:f>
              <c:numCache>
                <c:formatCode>m/d/yyyy</c:formatCode>
                <c:ptCount val="33"/>
                <c:pt idx="0">
                  <c:v>45581</c:v>
                </c:pt>
                <c:pt idx="1">
                  <c:v>45582</c:v>
                </c:pt>
                <c:pt idx="2">
                  <c:v>45583</c:v>
                </c:pt>
                <c:pt idx="3">
                  <c:v>45586</c:v>
                </c:pt>
                <c:pt idx="4">
                  <c:v>45587</c:v>
                </c:pt>
                <c:pt idx="5">
                  <c:v>45588</c:v>
                </c:pt>
                <c:pt idx="6">
                  <c:v>45589</c:v>
                </c:pt>
                <c:pt idx="7">
                  <c:v>45590</c:v>
                </c:pt>
                <c:pt idx="8">
                  <c:v>45593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45603</c:v>
                </c:pt>
                <c:pt idx="16">
                  <c:v>45604</c:v>
                </c:pt>
                <c:pt idx="17">
                  <c:v>45607</c:v>
                </c:pt>
                <c:pt idx="18">
                  <c:v>45608</c:v>
                </c:pt>
                <c:pt idx="19">
                  <c:v>45609</c:v>
                </c:pt>
                <c:pt idx="20">
                  <c:v>45610</c:v>
                </c:pt>
                <c:pt idx="21">
                  <c:v>45611</c:v>
                </c:pt>
                <c:pt idx="22">
                  <c:v>45615</c:v>
                </c:pt>
                <c:pt idx="23">
                  <c:v>45617</c:v>
                </c:pt>
                <c:pt idx="24">
                  <c:v>45618</c:v>
                </c:pt>
                <c:pt idx="25">
                  <c:v>45621</c:v>
                </c:pt>
                <c:pt idx="26">
                  <c:v>45622</c:v>
                </c:pt>
                <c:pt idx="27">
                  <c:v>45623</c:v>
                </c:pt>
                <c:pt idx="28">
                  <c:v>45624</c:v>
                </c:pt>
                <c:pt idx="29">
                  <c:v>45625</c:v>
                </c:pt>
                <c:pt idx="30">
                  <c:v>45628</c:v>
                </c:pt>
                <c:pt idx="31">
                  <c:v>45629</c:v>
                </c:pt>
                <c:pt idx="32">
                  <c:v>45630</c:v>
                </c:pt>
              </c:numCache>
            </c:numRef>
          </c:cat>
          <c:val>
            <c:numRef>
              <c:f>ГРАФИКИ!$J$3:$J$35</c:f>
              <c:numCache>
                <c:formatCode>General</c:formatCode>
                <c:ptCount val="33"/>
                <c:pt idx="0">
                  <c:v>7000</c:v>
                </c:pt>
                <c:pt idx="1">
                  <c:v>7000</c:v>
                </c:pt>
                <c:pt idx="2">
                  <c:v>7000</c:v>
                </c:pt>
                <c:pt idx="3">
                  <c:v>11000</c:v>
                </c:pt>
                <c:pt idx="4">
                  <c:v>11000</c:v>
                </c:pt>
                <c:pt idx="5">
                  <c:v>11000</c:v>
                </c:pt>
                <c:pt idx="6">
                  <c:v>11000</c:v>
                </c:pt>
                <c:pt idx="7">
                  <c:v>11000</c:v>
                </c:pt>
                <c:pt idx="8">
                  <c:v>11000</c:v>
                </c:pt>
                <c:pt idx="9">
                  <c:v>11000</c:v>
                </c:pt>
                <c:pt idx="10">
                  <c:v>11000</c:v>
                </c:pt>
                <c:pt idx="11">
                  <c:v>11000</c:v>
                </c:pt>
                <c:pt idx="12">
                  <c:v>11000</c:v>
                </c:pt>
                <c:pt idx="13">
                  <c:v>11000</c:v>
                </c:pt>
                <c:pt idx="14">
                  <c:v>11000</c:v>
                </c:pt>
                <c:pt idx="15">
                  <c:v>11000</c:v>
                </c:pt>
                <c:pt idx="16">
                  <c:v>11000</c:v>
                </c:pt>
                <c:pt idx="17">
                  <c:v>11000</c:v>
                </c:pt>
                <c:pt idx="18">
                  <c:v>11000</c:v>
                </c:pt>
                <c:pt idx="19">
                  <c:v>11000</c:v>
                </c:pt>
                <c:pt idx="20">
                  <c:v>11000</c:v>
                </c:pt>
                <c:pt idx="21">
                  <c:v>15000</c:v>
                </c:pt>
                <c:pt idx="22">
                  <c:v>15000</c:v>
                </c:pt>
                <c:pt idx="23">
                  <c:v>15000</c:v>
                </c:pt>
                <c:pt idx="24">
                  <c:v>15000</c:v>
                </c:pt>
                <c:pt idx="25">
                  <c:v>15000</c:v>
                </c:pt>
                <c:pt idx="26">
                  <c:v>15000</c:v>
                </c:pt>
                <c:pt idx="27">
                  <c:v>15000</c:v>
                </c:pt>
                <c:pt idx="28">
                  <c:v>15000</c:v>
                </c:pt>
                <c:pt idx="29">
                  <c:v>15000</c:v>
                </c:pt>
                <c:pt idx="30">
                  <c:v>15000</c:v>
                </c:pt>
                <c:pt idx="31">
                  <c:v>15000</c:v>
                </c:pt>
                <c:pt idx="32">
                  <c:v>15000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ГРАФИКИ!$K$2</c:f>
              <c:strCache>
                <c:ptCount val="1"/>
                <c:pt idx="0">
                  <c:v>КОЛИЧЕСТВО СВОБОДНЫХ СРЕДСТВ</c:v>
                </c:pt>
              </c:strCache>
            </c:strRef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0"/>
            <c:spPr>
              <a:solidFill>
                <a:srgbClr val="8064A2">
                  <a:lumMod val="60000"/>
                  <a:lumOff val="40000"/>
                </a:srgbClr>
              </a:solidFill>
              <a:ln>
                <a:solidFill>
                  <a:srgbClr val="8064A2">
                    <a:lumMod val="60000"/>
                    <a:lumOff val="40000"/>
                  </a:srgb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etal">
                <a:bevelT w="63500" h="25400" prst="artDeco"/>
                <a:bevelB w="114300" prst="artDeco"/>
              </a:sp3d>
            </c:spPr>
          </c:marker>
          <c:dLbls>
            <c:numFmt formatCode="#,##0\ &quot;₽&quot;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ГРАФИКИ!$G$3:$G$35</c:f>
              <c:numCache>
                <c:formatCode>m/d/yyyy</c:formatCode>
                <c:ptCount val="33"/>
                <c:pt idx="0">
                  <c:v>45581</c:v>
                </c:pt>
                <c:pt idx="1">
                  <c:v>45582</c:v>
                </c:pt>
                <c:pt idx="2">
                  <c:v>45583</c:v>
                </c:pt>
                <c:pt idx="3">
                  <c:v>45586</c:v>
                </c:pt>
                <c:pt idx="4">
                  <c:v>45587</c:v>
                </c:pt>
                <c:pt idx="5">
                  <c:v>45588</c:v>
                </c:pt>
                <c:pt idx="6">
                  <c:v>45589</c:v>
                </c:pt>
                <c:pt idx="7">
                  <c:v>45590</c:v>
                </c:pt>
                <c:pt idx="8">
                  <c:v>45593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45603</c:v>
                </c:pt>
                <c:pt idx="16">
                  <c:v>45604</c:v>
                </c:pt>
                <c:pt idx="17">
                  <c:v>45607</c:v>
                </c:pt>
                <c:pt idx="18">
                  <c:v>45608</c:v>
                </c:pt>
                <c:pt idx="19">
                  <c:v>45609</c:v>
                </c:pt>
                <c:pt idx="20">
                  <c:v>45610</c:v>
                </c:pt>
                <c:pt idx="21">
                  <c:v>45611</c:v>
                </c:pt>
                <c:pt idx="22">
                  <c:v>45615</c:v>
                </c:pt>
                <c:pt idx="23">
                  <c:v>45617</c:v>
                </c:pt>
                <c:pt idx="24">
                  <c:v>45618</c:v>
                </c:pt>
                <c:pt idx="25">
                  <c:v>45621</c:v>
                </c:pt>
                <c:pt idx="26">
                  <c:v>45622</c:v>
                </c:pt>
                <c:pt idx="27">
                  <c:v>45623</c:v>
                </c:pt>
                <c:pt idx="28">
                  <c:v>45624</c:v>
                </c:pt>
                <c:pt idx="29">
                  <c:v>45625</c:v>
                </c:pt>
                <c:pt idx="30">
                  <c:v>45628</c:v>
                </c:pt>
                <c:pt idx="31">
                  <c:v>45629</c:v>
                </c:pt>
                <c:pt idx="32">
                  <c:v>45630</c:v>
                </c:pt>
              </c:numCache>
            </c:numRef>
          </c:cat>
          <c:val>
            <c:numRef>
              <c:f>ГРАФИКИ!$K$3:$K$35</c:f>
              <c:numCache>
                <c:formatCode>General</c:formatCode>
                <c:ptCount val="33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5248.45</c:v>
                </c:pt>
                <c:pt idx="4">
                  <c:v>3781.45</c:v>
                </c:pt>
                <c:pt idx="5">
                  <c:v>3781.45</c:v>
                </c:pt>
                <c:pt idx="6">
                  <c:v>10628.24</c:v>
                </c:pt>
                <c:pt idx="7">
                  <c:v>736.33</c:v>
                </c:pt>
                <c:pt idx="8">
                  <c:v>736.33</c:v>
                </c:pt>
                <c:pt idx="9">
                  <c:v>736.33</c:v>
                </c:pt>
                <c:pt idx="10">
                  <c:v>736.33</c:v>
                </c:pt>
                <c:pt idx="11">
                  <c:v>31.27</c:v>
                </c:pt>
                <c:pt idx="12">
                  <c:v>31.27</c:v>
                </c:pt>
                <c:pt idx="13">
                  <c:v>31.27</c:v>
                </c:pt>
                <c:pt idx="14">
                  <c:v>31.27</c:v>
                </c:pt>
                <c:pt idx="15">
                  <c:v>112.13</c:v>
                </c:pt>
                <c:pt idx="16">
                  <c:v>112.13</c:v>
                </c:pt>
                <c:pt idx="17">
                  <c:v>112.13</c:v>
                </c:pt>
                <c:pt idx="18">
                  <c:v>112.13</c:v>
                </c:pt>
                <c:pt idx="19">
                  <c:v>112.13</c:v>
                </c:pt>
                <c:pt idx="20">
                  <c:v>878.03</c:v>
                </c:pt>
                <c:pt idx="21">
                  <c:v>15590.73</c:v>
                </c:pt>
                <c:pt idx="22">
                  <c:v>15753.83</c:v>
                </c:pt>
                <c:pt idx="23">
                  <c:v>13430.07</c:v>
                </c:pt>
                <c:pt idx="24">
                  <c:v>511.79</c:v>
                </c:pt>
                <c:pt idx="25">
                  <c:v>2.4500000000000002</c:v>
                </c:pt>
                <c:pt idx="26">
                  <c:v>2.4500000000000002</c:v>
                </c:pt>
                <c:pt idx="27">
                  <c:v>2.4500000000000002</c:v>
                </c:pt>
                <c:pt idx="28">
                  <c:v>2.4500000000000002</c:v>
                </c:pt>
                <c:pt idx="29">
                  <c:v>29.64</c:v>
                </c:pt>
                <c:pt idx="30">
                  <c:v>29.64</c:v>
                </c:pt>
                <c:pt idx="31">
                  <c:v>29.64</c:v>
                </c:pt>
                <c:pt idx="32">
                  <c:v>12309.1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8670848"/>
        <c:axId val="118229248"/>
      </c:lineChart>
      <c:catAx>
        <c:axId val="118670848"/>
        <c:scaling>
          <c:orientation val="minMax"/>
        </c:scaling>
        <c:delete val="0"/>
        <c:axPos val="b"/>
        <c:majorGridlines/>
        <c:minorGridlines/>
        <c:numFmt formatCode="m/d/yyyy" sourceLinked="0"/>
        <c:majorTickMark val="out"/>
        <c:minorTickMark val="cross"/>
        <c:tickLblPos val="low"/>
        <c:txPr>
          <a:bodyPr rot="-3600000" vert="horz"/>
          <a:lstStyle/>
          <a:p>
            <a:pPr>
              <a:defRPr/>
            </a:pPr>
            <a:endParaRPr lang="ru-RU"/>
          </a:p>
        </c:txPr>
        <c:crossAx val="118229248"/>
        <c:crosses val="autoZero"/>
        <c:auto val="0"/>
        <c:lblAlgn val="ctr"/>
        <c:lblOffset val="50"/>
        <c:tickMarkSkip val="1"/>
        <c:noMultiLvlLbl val="1"/>
      </c:catAx>
      <c:valAx>
        <c:axId val="118229248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400" i="0" u="none"/>
                </a:pPr>
                <a:r>
                  <a:rPr lang="ru-RU" sz="1400" i="0" u="none"/>
                  <a:t>РУБЛИ</a:t>
                </a:r>
              </a:p>
            </c:rich>
          </c:tx>
          <c:layout>
            <c:manualLayout>
              <c:xMode val="edge"/>
              <c:yMode val="edge"/>
              <c:x val="1.2447159320377792E-3"/>
              <c:y val="0.4217452202491459"/>
            </c:manualLayout>
          </c:layout>
          <c:overlay val="0"/>
        </c:title>
        <c:numFmt formatCode="General" sourceLinked="0"/>
        <c:majorTickMark val="out"/>
        <c:minorTickMark val="cross"/>
        <c:tickLblPos val="nextTo"/>
        <c:spPr>
          <a:effectLst/>
        </c:spPr>
        <c:crossAx val="118670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525187295913492"/>
          <c:y val="5.9656958397022224E-2"/>
          <c:w val="0.57806150837141079"/>
          <c:h val="4.789044539791191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b="1" cap="none" spc="0">
          <a:ln w="10541" cmpd="sng">
            <a:solidFill>
              <a:schemeClr val="accent1">
                <a:shade val="88000"/>
                <a:satMod val="110000"/>
              </a:schemeClr>
            </a:solidFill>
            <a:prstDash val="solid"/>
          </a:ln>
          <a:solidFill>
            <a:sysClr val="windowText" lastClr="000000"/>
          </a:solidFill>
          <a:effectLst>
            <a:glow rad="101600">
              <a:schemeClr val="bg1">
                <a:alpha val="60000"/>
              </a:schemeClr>
            </a:glow>
          </a:effectLst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 algn="ctr">
              <a:defRPr sz="2000" b="1" i="1" cap="none" spc="0">
                <a:ln w="10541" cmpd="sng">
                  <a:solidFill>
                    <a:srgbClr val="7D7D7D">
                      <a:tint val="100000"/>
                      <a:shade val="100000"/>
                      <a:satMod val="110000"/>
                    </a:srgbClr>
                  </a:solidFill>
                  <a:prstDash val="solid"/>
                </a:ln>
                <a:gradFill>
                  <a:gsLst>
                    <a:gs pos="0">
                      <a:srgbClr val="FF3399"/>
                    </a:gs>
                    <a:gs pos="25000">
                      <a:srgbClr val="FF6633"/>
                    </a:gs>
                    <a:gs pos="50000">
                      <a:srgbClr val="FFFF00"/>
                    </a:gs>
                    <a:gs pos="75000">
                      <a:srgbClr val="01A78F"/>
                    </a:gs>
                    <a:gs pos="100000">
                      <a:srgbClr val="3366FF"/>
                    </a:gs>
                  </a:gsLst>
                  <a:lin ang="5400000" scaled="0"/>
                </a:gradFill>
                <a:effectLst>
                  <a:glow rad="101600">
                    <a:schemeClr val="accent3">
                      <a:satMod val="175000"/>
                      <a:alpha val="40000"/>
                    </a:schemeClr>
                  </a:glow>
                </a:effectLst>
              </a:defRPr>
            </a:pPr>
            <a:r>
              <a:rPr lang="ru-RU" sz="2000" b="1" i="1" cap="none" spc="0">
                <a:ln w="10541" cmpd="sng">
                  <a:solidFill>
                    <a:srgbClr val="7D7D7D">
                      <a:tint val="100000"/>
                      <a:shade val="100000"/>
                      <a:satMod val="110000"/>
                    </a:srgbClr>
                  </a:solidFill>
                  <a:prstDash val="solid"/>
                </a:ln>
                <a:gradFill>
                  <a:gsLst>
                    <a:gs pos="0">
                      <a:srgbClr val="FF3399"/>
                    </a:gs>
                    <a:gs pos="25000">
                      <a:srgbClr val="FF6633"/>
                    </a:gs>
                    <a:gs pos="50000">
                      <a:srgbClr val="FFFF00"/>
                    </a:gs>
                    <a:gs pos="75000">
                      <a:srgbClr val="01A78F"/>
                    </a:gs>
                    <a:gs pos="100000">
                      <a:srgbClr val="3366FF"/>
                    </a:gs>
                  </a:gsLst>
                  <a:lin ang="5400000" scaled="0"/>
                </a:gradFill>
                <a:effectLst>
                  <a:glow rad="101600">
                    <a:schemeClr val="accent3">
                      <a:satMod val="175000"/>
                      <a:alpha val="40000"/>
                    </a:schemeClr>
                  </a:glow>
                </a:effectLst>
              </a:rPr>
              <a:t>ДИАГРАММА ПРОЦЕНТНОГО СООТНОШЕНИЯ СРЕДСТВ И АКТИВОВ</a:t>
            </a:r>
          </a:p>
        </c:rich>
      </c:tx>
      <c:overlay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165100" prst="coolSlant"/>
        </a:sp3d>
      </c:spPr>
    </c:title>
    <c:autoTitleDeleted val="0"/>
    <c:view3D>
      <c:rotX val="30"/>
      <c:rotY val="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ДИАГРАММА!$AG$2</c:f>
              <c:strCache>
                <c:ptCount val="1"/>
                <c:pt idx="0">
                  <c:v>Процент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>
              <a:outerShdw blurRad="152400" dist="254000" dir="5400000" sx="90000" sy="-19000" rotWithShape="0">
                <a:prstClr val="black">
                  <a:alpha val="15000"/>
                </a:prstClr>
              </a:outerShdw>
            </a:effectLst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explosion val="45"/>
          <c:dLbls>
            <c:dLbl>
              <c:idx val="0"/>
              <c:layout>
                <c:manualLayout>
                  <c:x val="7.1569153694757562E-3"/>
                  <c:y val="6.90398996257711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spPr>
              <a:noFill/>
              <a:ln w="9525" cap="flat" cmpd="sng" algn="ctr">
                <a:noFill/>
                <a:prstDash val="solid"/>
              </a:ln>
              <a:effectLst/>
            </c:spPr>
            <c:txPr>
              <a:bodyPr rot="0"/>
              <a:lstStyle/>
              <a:p>
                <a:pPr>
                  <a:defRPr sz="1100" b="1" cap="all" spc="0">
                    <a:ln w="9000" cmpd="sng">
                      <a:solidFill>
                        <a:schemeClr val="bg1">
                          <a:lumMod val="50000"/>
                        </a:schemeClr>
                      </a:solidFill>
                      <a:prstDash val="solid"/>
                    </a:ln>
                    <a:solidFill>
                      <a:schemeClr val="tx1">
                        <a:lumMod val="95000"/>
                        <a:lumOff val="5000"/>
                      </a:schemeClr>
                    </a:solidFill>
                    <a:effectLst>
                      <a:outerShdw blurRad="60007" dir="2000400" sy="-30000" kx="-800400" algn="bl" rotWithShape="0">
                        <a:prstClr val="black">
                          <a:alpha val="20000"/>
                        </a:prstClr>
                      </a:outerShdw>
                      <a:reflection blurRad="12700" stA="28000" endPos="45000" dist="1000" dir="5400000" sy="-100000" algn="bl" rotWithShape="0"/>
                    </a:effectLst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ДИАГРАММА!$AF$3</c:f>
              <c:strCache>
                <c:ptCount val="1"/>
                <c:pt idx="0">
                  <c:v>Количество свободных средств</c:v>
                </c:pt>
              </c:strCache>
            </c:strRef>
          </c:cat>
          <c:val>
            <c:numRef>
              <c:f>ДИАГРАММА!$AG$3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legend>
      <c:legendPos val="l"/>
      <c:overlay val="1"/>
      <c:spPr>
        <a:noFill/>
        <a:ln>
          <a:noFill/>
        </a:ln>
        <a:effectLst/>
      </c:spPr>
      <c:txPr>
        <a:bodyPr/>
        <a:lstStyle/>
        <a:p>
          <a:pPr rtl="0">
            <a:defRPr sz="1400" b="1" cap="none" spc="0">
              <a:ln w="10541" cmpd="sng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  <a:solidFill>
                <a:schemeClr val="tx1"/>
              </a:solidFill>
              <a:effectLst/>
            </a:defRPr>
          </a:pPr>
          <a:endParaRPr lang="ru-RU"/>
        </a:p>
      </c:txPr>
    </c:legend>
    <c:plotVisOnly val="0"/>
    <c:dispBlanksAs val="gap"/>
    <c:showDLblsOverMax val="0"/>
  </c:chart>
  <c:spPr>
    <a:scene3d>
      <a:camera prst="orthographicFront"/>
      <a:lightRig rig="threePt" dir="t"/>
    </a:scene3d>
    <a:sp3d prstMaterial="matte"/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$H$1" lockText="1"/>
</file>

<file path=xl/ctrlProps/ctrlProp2.xml><?xml version="1.0" encoding="utf-8"?>
<formControlPr xmlns="http://schemas.microsoft.com/office/spreadsheetml/2009/9/main" objectType="CheckBox" checked="Checked" fmlaLink="$I$1" lockText="1"/>
</file>

<file path=xl/ctrlProps/ctrlProp3.xml><?xml version="1.0" encoding="utf-8"?>
<formControlPr xmlns="http://schemas.microsoft.com/office/spreadsheetml/2009/9/main" objectType="CheckBox" checked="Checked" fmlaLink="$J$1" lockText="1"/>
</file>

<file path=xl/ctrlProps/ctrlProp4.xml><?xml version="1.0" encoding="utf-8"?>
<formControlPr xmlns="http://schemas.microsoft.com/office/spreadsheetml/2009/9/main" objectType="CheckBox" checked="Checked" fmlaLink="$K$1" lockText="1"/>
</file>

<file path=xl/ctrlProps/ctrlProp5.xml><?xml version="1.0" encoding="utf-8"?>
<formControlPr xmlns="http://schemas.microsoft.com/office/spreadsheetml/2009/9/main" objectType="Scroll" dx="16" fmlaLink="$E$2" horiz="1" max="40" min="3" page="0" val="40"/>
</file>

<file path=xl/ctrlProps/ctrlProp6.xml><?xml version="1.0" encoding="utf-8"?>
<formControlPr xmlns="http://schemas.microsoft.com/office/spreadsheetml/2009/9/main" objectType="Scroll" dx="16" fmlaLink="$E$3" horiz="1" max="365" min="1" page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0</xdr:col>
          <xdr:colOff>295275</xdr:colOff>
          <xdr:row>0</xdr:row>
          <xdr:rowOff>276225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47625</xdr:rowOff>
        </xdr:from>
        <xdr:to>
          <xdr:col>1</xdr:col>
          <xdr:colOff>257175</xdr:colOff>
          <xdr:row>0</xdr:row>
          <xdr:rowOff>266700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0</xdr:row>
          <xdr:rowOff>47625</xdr:rowOff>
        </xdr:from>
        <xdr:to>
          <xdr:col>2</xdr:col>
          <xdr:colOff>266700</xdr:colOff>
          <xdr:row>0</xdr:row>
          <xdr:rowOff>266700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0</xdr:row>
          <xdr:rowOff>47625</xdr:rowOff>
        </xdr:from>
        <xdr:to>
          <xdr:col>3</xdr:col>
          <xdr:colOff>266700</xdr:colOff>
          <xdr:row>0</xdr:row>
          <xdr:rowOff>266700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47625</xdr:colOff>
      <xdr:row>3</xdr:row>
      <xdr:rowOff>38100</xdr:rowOff>
    </xdr:from>
    <xdr:to>
      <xdr:col>4</xdr:col>
      <xdr:colOff>38099</xdr:colOff>
      <xdr:row>32</xdr:row>
      <xdr:rowOff>9526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2257425</xdr:colOff>
          <xdr:row>1</xdr:row>
          <xdr:rowOff>38100</xdr:rowOff>
        </xdr:from>
        <xdr:to>
          <xdr:col>3</xdr:col>
          <xdr:colOff>2228850</xdr:colOff>
          <xdr:row>1</xdr:row>
          <xdr:rowOff>228600</xdr:rowOff>
        </xdr:to>
        <xdr:sp macro="" textlink="">
          <xdr:nvSpPr>
            <xdr:cNvPr id="5125" name="Scroll Bar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2266950</xdr:colOff>
          <xdr:row>2</xdr:row>
          <xdr:rowOff>19050</xdr:rowOff>
        </xdr:from>
        <xdr:to>
          <xdr:col>3</xdr:col>
          <xdr:colOff>2238375</xdr:colOff>
          <xdr:row>2</xdr:row>
          <xdr:rowOff>209550</xdr:rowOff>
        </xdr:to>
        <xdr:sp macro="" textlink="">
          <xdr:nvSpPr>
            <xdr:cNvPr id="5126" name="Scroll Bar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19050</xdr:rowOff>
        </xdr:from>
        <xdr:to>
          <xdr:col>0</xdr:col>
          <xdr:colOff>2238375</xdr:colOff>
          <xdr:row>1</xdr:row>
          <xdr:rowOff>247650</xdr:rowOff>
        </xdr:to>
        <xdr:sp macro="" textlink="">
          <xdr:nvSpPr>
            <xdr:cNvPr id="5128" name="Label1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</xdr:row>
          <xdr:rowOff>0</xdr:rowOff>
        </xdr:from>
        <xdr:to>
          <xdr:col>0</xdr:col>
          <xdr:colOff>2247900</xdr:colOff>
          <xdr:row>3</xdr:row>
          <xdr:rowOff>0</xdr:rowOff>
        </xdr:to>
        <xdr:sp macro="" textlink="">
          <xdr:nvSpPr>
            <xdr:cNvPr id="5129" name="Label2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80962</xdr:rowOff>
    </xdr:from>
    <xdr:to>
      <xdr:col>29</xdr:col>
      <xdr:colOff>152400</xdr:colOff>
      <xdr:row>36</xdr:row>
      <xdr:rowOff>47626</xdr:rowOff>
    </xdr:to>
    <xdr:graphicFrame macro="">
      <xdr:nvGraphicFramePr>
        <xdr:cNvPr id="2" name="Диаграмма 1" title="ДИАГРАММА ПРОЦЕНТНОГО СООТНОШЕНИЯ СРЕДСТВ И АКТИВОВ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1</xdr:row>
          <xdr:rowOff>28575</xdr:rowOff>
        </xdr:from>
        <xdr:to>
          <xdr:col>6</xdr:col>
          <xdr:colOff>714375</xdr:colOff>
          <xdr:row>2</xdr:row>
          <xdr:rowOff>38100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3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ОБНОВИТЬ</a:t>
              </a:r>
            </a:p>
            <a:p>
              <a:pPr algn="ctr" rtl="0">
                <a:defRPr sz="1000"/>
              </a:pPr>
              <a:r>
                <a:rPr lang="ru-RU" sz="13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ДАННЫЕ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657225</xdr:colOff>
          <xdr:row>2</xdr:row>
          <xdr:rowOff>276225</xdr:rowOff>
        </xdr:from>
        <xdr:to>
          <xdr:col>6</xdr:col>
          <xdr:colOff>704850</xdr:colOff>
          <xdr:row>5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ДОПОЛНИТЬ</a:t>
              </a:r>
            </a:p>
            <a:p>
              <a:pPr algn="ctr" rtl="0">
                <a:defRPr sz="1000"/>
              </a:pPr>
              <a:r>
                <a:rPr lang="ru-RU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СТАТИСТИКУ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50;&#1062;&#1048;&#1048;%20&#1086;&#1085;&#1083;&#1072;&#1081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ЦИИ онлайн"/>
    </sheetNames>
    <sheetDataSet>
      <sheetData sheetId="0">
        <row r="13">
          <cell r="B13">
            <v>45630</v>
          </cell>
        </row>
      </sheetData>
    </sheetDataSet>
  </externalBook>
</externalLink>
</file>

<file path=xl/tables/table1.xml><?xml version="1.0" encoding="utf-8"?>
<table xmlns="http://schemas.openxmlformats.org/spreadsheetml/2006/main" id="4" name="Статистика" displayName="Статистика" ref="G2:K35" headerRowDxfId="157" headerRowBorderDxfId="156">
  <autoFilter ref="G2:K35"/>
  <tableColumns count="5">
    <tableColumn id="1" name="ДАТА" totalsRowLabel="Итог" dataDxfId="155" totalsRowDxfId="154"/>
    <tableColumn id="2" name="ТЕКУЩАЯ СТОИМОСТЬ ПОРТФЕЛЯ" dataDxfId="153">
      <calculatedColumnFormula>IF(H$1=TRUE,АКЦИИ!Z13,NA())</calculatedColumnFormula>
    </tableColumn>
    <tableColumn id="3" name="ОБЩИЙ РЕЗУЛЬТАТ С ДИВИДЕНДАМИ И КОМИССИЯМИ" dataDxfId="152">
      <calculatedColumnFormula>IF(I$1=TRUE,АКЦИИ!AA13,NA())</calculatedColumnFormula>
    </tableColumn>
    <tableColumn id="4" name="СУММА ВЛОЖЕНИЙ" dataDxfId="151">
      <calculatedColumnFormula>IF(J$1=TRUE,АКЦИИ!AB13,NA())</calculatedColumnFormula>
    </tableColumn>
    <tableColumn id="5" name="КОЛИЧЕСТВО СВОБОДНЫХ СРЕДСТВ" totalsRowFunction="sum" dataDxfId="150">
      <calculatedColumnFormula>IF(K$1=TRUE,АКЦИИ!AC13,NA())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0" name="Таблица10" displayName="Таблица10" ref="AF2:AG3" totalsRowShown="0" headerRowDxfId="149" dataDxfId="148">
  <autoFilter ref="AF2:AG3"/>
  <tableColumns count="2">
    <tableColumn id="1" name="Наименование" dataDxfId="147"/>
    <tableColumn id="2" name="Процент" dataDxfId="146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1" name="Акции_покупка" displayName="Акции_покупка" ref="B12:K50" totalsRowShown="0" headerRowDxfId="142" dataDxfId="141" tableBorderDxfId="140">
  <autoFilter ref="B12:K50"/>
  <sortState ref="B13:K50">
    <sortCondition descending="1" ref="K12:K50"/>
  </sortState>
  <tableColumns count="10">
    <tableColumn id="1" name="Акция" dataDxfId="139"/>
    <tableColumn id="2" name="Дата покупки" dataDxfId="138"/>
    <tableColumn id="3" name="Количество акций" dataDxfId="137"/>
    <tableColumn id="4" name="Стоимость покупки" dataDxfId="136"/>
    <tableColumn id="5" name="Текущая цена " dataDxfId="135">
      <calculatedColumnFormula>#REF!</calculatedColumnFormula>
    </tableColumn>
    <tableColumn id="7" name="Сумма вложений" dataDxfId="134">
      <calculatedColumnFormula>D13*E13</calculatedColumnFormula>
    </tableColumn>
    <tableColumn id="8" name="Доля в портфеле" dataDxfId="133">
      <calculatedColumnFormula>Акции_покупка[[#This Row],[Текущие результаты]]/E3</calculatedColumnFormula>
    </tableColumn>
    <tableColumn id="9" name="Текущие результаты" dataDxfId="132">
      <calculatedColumnFormula>F13*D13</calculatedColumnFormula>
    </tableColumn>
    <tableColumn id="10" name="Доход,  ₽" dataDxfId="131">
      <calculatedColumnFormula>(F13*D13)-G13</calculatedColumnFormula>
    </tableColumn>
    <tableColumn id="11" name="Доходность, %" dataDxfId="130">
      <calculatedColumnFormula>J13/G13</calculatedColumnFormula>
    </tableColumn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6" name="Акции_продажа" displayName="Акции_продажа" ref="N12:V50" totalsRowShown="0" dataDxfId="128" headerRowBorderDxfId="129" tableBorderDxfId="127">
  <autoFilter ref="N12:V50"/>
  <tableColumns count="9">
    <tableColumn id="1" name="Акция" dataDxfId="126"/>
    <tableColumn id="8" name="Дата покупки" dataDxfId="125"/>
    <tableColumn id="2" name="Дата продажи" dataDxfId="124"/>
    <tableColumn id="10" name="Количество акций" dataDxfId="123"/>
    <tableColumn id="3" name="Стоимость покуки" dataDxfId="122"/>
    <tableColumn id="4" name="Стоимость продажи" dataDxfId="121"/>
    <tableColumn id="12" name="Дней прошло" dataDxfId="120">
      <calculatedColumnFormula>Акции_продажа[[#This Row],[Дата продажи]]-Акции_продажа[[#This Row],[Дата покупки]]</calculatedColumnFormula>
    </tableColumn>
    <tableColumn id="5" name="Доход, ₽" dataDxfId="119">
      <calculatedColumnFormula>(Акции_продажа[[#This Row],[Стоимость продажи]]*Акции_продажа[[#This Row],[Количество акций]])-(Акции_продажа[[#This Row],[Стоимость покуки]]*Акции_продажа[[#This Row],[Количество акций]])</calculatedColumnFormula>
    </tableColumn>
    <tableColumn id="6" name="Доходность, %" dataDxfId="118">
      <calculatedColumnFormula>Акции_продажа[[#This Row],[Доход, ₽]]/(Акции_продажа[[#This Row],[Стоимость покуки]]*Акции_продажа[[#This Row],[Количество акций]])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13" name="Таблица13" displayName="Таблица13" ref="Y12:AC50" totalsRowShown="0" headerRowDxfId="117" dataDxfId="115" headerRowBorderDxfId="116" tableBorderDxfId="114" headerRowCellStyle="40% - Акцент4">
  <autoFilter ref="Y12:AC50"/>
  <tableColumns count="5">
    <tableColumn id="1" name="ДАТА" dataDxfId="113"/>
    <tableColumn id="2" name="ТЕКУЩАЯ_x000a_СТОИМОСТЬ_x000a_ПОРТФЕЛЯ" dataDxfId="112"/>
    <tableColumn id="3" name="ОБЩИЙ РЕЗУЛЬТАТ_x000a_С ДИВИДЕНДАМИ_x000a_И КОМИССИЯМИ" dataDxfId="111"/>
    <tableColumn id="4" name="СУММА_x000a_ВЛОЖЕНИЙ" dataDxfId="110"/>
    <tableColumn id="5" name="КОЛИЧЕСТВО_x000a_СВОБОДНЫХ_x000a_СРЕДСТВ" dataDxfId="109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id="2" name="Дивиденды" displayName="Дивиденды" ref="B7:E52" headerRowDxfId="108" dataDxfId="106" totalsRowDxfId="105" headerRowBorderDxfId="107">
  <autoFilter ref="B7:E52"/>
  <sortState ref="B8:F52">
    <sortCondition ref="C7:C52"/>
  </sortState>
  <tableColumns count="4">
    <tableColumn id="1" name="Акция" totalsRowLabel="Итог" dataDxfId="104" totalsRowDxfId="103"/>
    <tableColumn id="2" name="Дата выплаты" dataDxfId="102" totalsRowDxfId="101"/>
    <tableColumn id="4" name="Сумма" dataDxfId="100" totalsRowDxfId="99"/>
    <tableColumn id="3" name="Налог" dataDxfId="98" totalsRowDxfId="97">
      <calculatedColumnFormula>Дивиденды[[#This Row],[Сумма]]*0.13</calculatedColumnFormula>
    </tableColumn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id="5" name="Облигации" displayName="Облигации" ref="B10:W50" headerRowDxfId="96" dataDxfId="95" tableBorderDxfId="94">
  <autoFilter ref="B10:W50"/>
  <tableColumns count="22">
    <tableColumn id="1" name="Выпуск" totalsRowLabel="Итог" dataDxfId="93"/>
    <tableColumn id="2" name="Дата покупки" dataDxfId="92"/>
    <tableColumn id="11" name="Дата погашения/оферты" dataDxfId="91"/>
    <tableColumn id="3" name="Номинал" dataDxfId="90"/>
    <tableColumn id="4" name="Цена облигации на момент покупки" dataDxfId="89"/>
    <tableColumn id="5" name="Кол-во облигаций" dataDxfId="88"/>
    <tableColumn id="7" name="Купон, руб" dataDxfId="87"/>
    <tableColumn id="8" name="Количество выплат в год" dataDxfId="86"/>
    <tableColumn id="9" name="НКД" dataDxfId="85"/>
    <tableColumn id="22" name="Лет до погашения" dataDxfId="84"/>
    <tableColumn id="27" name="Доля в портфеле, %" dataDxfId="83">
      <calculatedColumnFormula>Облигации[[#This Row],[Общие Затраты ]]/J$5</calculatedColumnFormula>
    </tableColumn>
    <tableColumn id="10" name="Комиссия брокера" dataDxfId="82">
      <calculatedColumnFormula>Облигации[[#This Row],[Затраты на покупку облигаций]]*T3</calculatedColumnFormula>
    </tableColumn>
    <tableColumn id="12" name="Затраты на покупку облигаций" dataDxfId="81">
      <calculatedColumnFormula>Облигации[[#This Row],[Цена облигации на момент покупки]]*Облигации[[#This Row],[Кол-во облигаций]]</calculatedColumnFormula>
    </tableColumn>
    <tableColumn id="13" name="Общие Затраты " dataDxfId="80">
      <calculatedColumnFormula>F11*G11+(M11+J11)</calculatedColumnFormula>
    </tableColumn>
    <tableColumn id="14" name="Текущая доходность купона, % годовых" dataDxfId="79">
      <calculatedColumnFormula>R11/(F11*G11)</calculatedColumnFormula>
    </tableColumn>
    <tableColumn id="15" name="Текущая доходность купона, % годовых (с НДФЛ)" dataDxfId="78"/>
    <tableColumn id="16" name="Годовой доход купонов" dataDxfId="77"/>
    <tableColumn id="17" name="Годовых доход купоно (с НДФЛ)" dataDxfId="76"/>
    <tableColumn id="18" name="Купонный доход к погашению" dataDxfId="75"/>
    <tableColumn id="19" name="Купонный доход к погашению (с НДФЛ)" dataDxfId="74"/>
    <tableColumn id="20" name="Общий доход к погашению" dataDxfId="73"/>
    <tableColumn id="21" name="Общий доход к погашению (с НДФЛ)" totalsRowFunction="sum" dataDxfId="72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7" name="Акции_продажа4" displayName="Акции_продажа4" ref="Z10:AH50" totalsRowShown="0" dataDxfId="70" headerRowBorderDxfId="71" tableBorderDxfId="69">
  <autoFilter ref="Z10:AH50"/>
  <tableColumns count="9">
    <tableColumn id="1" name="Выпуск" dataDxfId="68"/>
    <tableColumn id="8" name="Дата покупки" dataDxfId="67"/>
    <tableColumn id="2" name="Дата продажи" dataDxfId="66"/>
    <tableColumn id="10" name="Количество проданных облигаций" dataDxfId="65"/>
    <tableColumn id="3" name="Стоимость покуки" dataDxfId="64"/>
    <tableColumn id="4" name="Стоимость продажи" dataDxfId="63"/>
    <tableColumn id="5" name="Дней прошло" dataDxfId="62">
      <calculatedColumnFormula>Акции_продажа4[[#This Row],[Дата продажи]]-Акции_продажа4[[#This Row],[Дата покупки]]</calculatedColumnFormula>
    </tableColumn>
    <tableColumn id="11" name="Доход, ₽" dataDxfId="61">
      <calculatedColumnFormula>Акции_продажа4[[#This Row],[Стоимость продажи]]*Акции_продажа4[[#This Row],[Количество проданных облигаций]]-Акции_продажа4[[#This Row],[Стоимость покуки]]*Акции_продажа4[[#This Row],[Количество проданных облигаций]]</calculatedColumnFormula>
    </tableColumn>
    <tableColumn id="6" name="Доходность, %" dataDxfId="60">
      <calculatedColumnFormula>(Акции_продажа4[[#This Row],[Доход, ₽]]/Акции_продажа4[[#This Row],[Количество проданных облигаций]])/Акции_продажа4[[#This Row],[Стоимость покуки]]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8" name="Полученные_купоны" displayName="Полученные_купоны" ref="B7:N27" totalsRowShown="0" headerRowDxfId="59" headerRowCellStyle="Начертание 1" dataCellStyle="Начертание 1">
  <autoFilter ref="B7:N27"/>
  <tableColumns count="13">
    <tableColumn id="1" name="Месяц выплаты купонов" dataDxfId="58"/>
    <tableColumn id="2" name="Сумма купонов в месяц" dataDxfId="57">
      <calculatedColumnFormula>SUM(D8:N8)</calculatedColumnFormula>
    </tableColumn>
    <tableColumn id="3" name="Облигация 1" dataDxfId="56"/>
    <tableColumn id="4" name="Облигация 2" dataDxfId="55"/>
    <tableColumn id="5" name="Облигация 3" dataDxfId="54"/>
    <tableColumn id="6" name="Облигация 4" dataDxfId="53"/>
    <tableColumn id="7" name="Облигация 5" dataDxfId="52"/>
    <tableColumn id="8" name="Облигация 6" dataDxfId="51"/>
    <tableColumn id="9" name="Облигация 7" dataDxfId="50"/>
    <tableColumn id="10" name="Облигация 8" dataDxfId="49"/>
    <tableColumn id="11" name="Облигация 9" dataDxfId="48"/>
    <tableColumn id="12" name="Облигация 10" dataDxfId="47"/>
    <tableColumn id="14" name="Облигация 11" dataDxfId="46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9" name="Покупка_новых_облигаций" displayName="Покупка_новых_облигаций" ref="P7:AH27" totalsRowShown="0" headerRowDxfId="45" dataDxfId="44" tableBorderDxfId="43">
  <autoFilter ref="P7:AH27"/>
  <tableColumns count="19">
    <tableColumn id="1" name="Выпуск" dataDxfId="42"/>
    <tableColumn id="2" name="Дата покупки" dataDxfId="41"/>
    <tableColumn id="19" name="Дата погашения" dataDxfId="40"/>
    <tableColumn id="3" name="Номинал" dataDxfId="39"/>
    <tableColumn id="4" name="Цена облигации на момент покупки" dataDxfId="38"/>
    <tableColumn id="5" name="Кол-во облигаций" dataDxfId="37"/>
    <tableColumn id="7" name="Купон, руб" dataDxfId="36"/>
    <tableColumn id="8" name="Количество выплат в год" dataDxfId="35"/>
    <tableColumn id="9" name="НКД" dataDxfId="34"/>
    <tableColumn id="10" name="Комиссия брокера" dataDxfId="33">
      <calculatedColumnFormula>Покупка_новых_облигаций[[#This Row],[Цена облигации на момент покупки]]*Покупка_новых_облигаций[[#This Row],[Кол-во облигаций]]*ОБЛИГАЦИИ!T3</calculatedColumnFormula>
    </tableColumn>
    <tableColumn id="20" name="Лет до погашения" dataDxfId="32">
      <calculatedColumnFormula>(Покупка_новых_облигаций[[#This Row],[Дата погашения]]-Покупка_новых_облигаций[[#This Row],[Дата покупки]])/365</calculatedColumnFormula>
    </tableColumn>
    <tableColumn id="11" name="Текущая доходность купона, % годовых" dataDxfId="31">
      <calculatedColumnFormula>Покупка_новых_облигаций[[#This Row],[Годовой доход купонов]]/(Покупка_новых_облигаций[[#This Row],[Цена облигации на момент покупки]]*Покупка_новых_облигаций[[#This Row],[Кол-во облигаций]])</calculatedColumnFormula>
    </tableColumn>
    <tableColumn id="12" name="Текущая доходность купона, % годовых (с НДФЛ)" dataDxfId="30">
      <calculatedColumnFormula>Покупка_новых_облигаций[[#This Row],[Текущая доходность купона, % годовых]]*0.87</calculatedColumnFormula>
    </tableColumn>
    <tableColumn id="13" name="Годовой доход купонов" dataDxfId="29">
      <calculatedColumnFormula>Покупка_новых_облигаций[[#This Row],[Кол-во облигаций]]*Покупка_новых_облигаций[[#This Row],[Купон, руб]]*Покупка_новых_облигаций[[#This Row],[Количество выплат в год]]</calculatedColumnFormula>
    </tableColumn>
    <tableColumn id="14" name="Годовых доход купоно (с НДФЛ)" dataDxfId="28">
      <calculatedColumnFormula>Покупка_новых_облигаций[[#This Row],[Годовой доход купонов]]*0.87</calculatedColumnFormula>
    </tableColumn>
    <tableColumn id="15" name="Купонный доход к погашению" dataDxfId="27">
      <calculatedColumnFormula>Покупка_новых_облигаций[[#This Row],[Кол-во облигаций]]*Покупка_новых_облигаций[[#This Row],[Лет до погашения]]*Покупка_новых_облигаций[[#This Row],[Купон, руб]]*Покупка_новых_облигаций[[#This Row],[Количество выплат в год]]</calculatedColumnFormula>
    </tableColumn>
    <tableColumn id="16" name="Купонный доход к погашению (с НДФЛ)" dataDxfId="26">
      <calculatedColumnFormula>Покупка_новых_облигаций[[#This Row],[Купонный доход к погашению]]*0.87</calculatedColumnFormula>
    </tableColumn>
    <tableColumn id="17" name="Общий доход к погашению" dataDxfId="25">
      <calculatedColumnFormula>(Покупка_новых_облигаций[[#This Row],[Номинал]]-Покупка_новых_облигаций[[#This Row],[Цена облигации на момент покупки]])*Покупка_новых_облигаций[[#This Row],[Кол-во облигаций]]+Покупка_новых_облигаций[[#This Row],[Купонный доход к погашению]]-Покупка_новых_облигаций[[#This Row],[Комиссия брокера]]</calculatedColumnFormula>
    </tableColumn>
    <tableColumn id="18" name="Общий доход к погашению (с НДФЛ)" dataDxfId="24">
      <calculatedColumnFormula>Покупка_новых_облигаций[[#This Row],[Общий доход к погашению]]*0.87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3" name="Таблица3" displayName="Таблица3" ref="A1:J28" headerRowDxfId="23" dataDxfId="21" headerRowBorderDxfId="22" tableBorderDxfId="20" headerRowCellStyle="Обычный 2" dataCellStyle="Обычный 2">
  <autoFilter ref="A1:J28"/>
  <tableColumns count="10">
    <tableColumn id="1" name="НАИМЕНОВАНИЕ_x000a_АКЦИИ" totalsRowLabel="Итог" dataDxfId="19" totalsRowDxfId="18"/>
    <tableColumn id="2" name="ЦЕНА_x000a_ПОКУПКИ_x000a_(с комисс.)" dataDxfId="17" totalsRowDxfId="16" dataCellStyle="Обычный 2"/>
    <tableColumn id="3" name="ЦЕНА_x000a_ПРОДАЖИ" dataDxfId="15" totalsRowDxfId="14"/>
    <tableColumn id="4" name="КОЛ-ВО_x000a_АКЦИЙ" dataDxfId="13" totalsRowDxfId="12" dataCellStyle="Обычный 2"/>
    <tableColumn id="5" name="ПОТРАЧЕНО_x000a_СРЕДСТВ" dataDxfId="11" totalsRowDxfId="10" dataCellStyle="Обычный 2">
      <calculatedColumnFormula>B2*D2</calculatedColumnFormula>
    </tableColumn>
    <tableColumn id="6" name="ПОЛУЧЕНО СРЕДСТВ" dataDxfId="9" totalsRowDxfId="8" dataCellStyle="Обычный 2"/>
    <tableColumn id="7" name="ДАТА_x000a_ПОКУПКИ" dataDxfId="7" totalsRowDxfId="6" dataCellStyle="Обычный 2"/>
    <tableColumn id="8" name="ДАТА_x000a_ПРОДАЖИ" dataDxfId="5" totalsRowDxfId="4" dataCellStyle="Обычный 2"/>
    <tableColumn id="9" name="ПРИБЫЛЬ_x000a_/_x000a_УБЫТКИ" totalsRowFunction="sum" dataDxfId="3" totalsRowDxfId="2" dataCellStyle="Обычный 2"/>
    <tableColumn id="10" name="ПРИМЕЧАНИЕ" dataDxfId="1" totalsRowDxfId="0" dataCellStyle="Обычный 2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table" Target="../tables/table1.xml"/><Relationship Id="rId3" Type="http://schemas.openxmlformats.org/officeDocument/2006/relationships/control" Target="../activeX/activeX1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trlProp" Target="../ctrlProps/ctrlProp5.xml"/><Relationship Id="rId5" Type="http://schemas.openxmlformats.org/officeDocument/2006/relationships/control" Target="../activeX/activeX2.xml"/><Relationship Id="rId10" Type="http://schemas.openxmlformats.org/officeDocument/2006/relationships/ctrlProp" Target="../ctrlProps/ctrlProp4.xml"/><Relationship Id="rId4" Type="http://schemas.openxmlformats.org/officeDocument/2006/relationships/image" Target="../media/image1.emf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K35"/>
  <sheetViews>
    <sheetView showGridLines="0" workbookViewId="0"/>
  </sheetViews>
  <sheetFormatPr defaultRowHeight="18" x14ac:dyDescent="0.25"/>
  <cols>
    <col min="1" max="4" width="66.7109375" customWidth="1"/>
    <col min="7" max="7" width="15.42578125" style="84" bestFit="1" customWidth="1"/>
    <col min="8" max="8" width="25.5703125" customWidth="1"/>
    <col min="9" max="9" width="39.7109375" customWidth="1"/>
    <col min="10" max="10" width="16.42578125" customWidth="1"/>
    <col min="11" max="11" width="27" customWidth="1"/>
  </cols>
  <sheetData>
    <row r="1" spans="1:11" ht="24.75" customHeight="1" x14ac:dyDescent="0.25">
      <c r="A1" s="85" t="s">
        <v>58</v>
      </c>
      <c r="B1" s="86" t="s">
        <v>59</v>
      </c>
      <c r="C1" s="281" t="s">
        <v>60</v>
      </c>
      <c r="D1" s="87" t="s">
        <v>61</v>
      </c>
      <c r="H1" s="108" t="b">
        <v>1</v>
      </c>
      <c r="I1" s="108" t="b">
        <v>1</v>
      </c>
      <c r="J1" s="108" t="b">
        <v>1</v>
      </c>
      <c r="K1" s="108" t="b">
        <v>1</v>
      </c>
    </row>
    <row r="2" spans="1:11" ht="20.25" customHeight="1" x14ac:dyDescent="0.25">
      <c r="A2" s="88"/>
      <c r="B2" s="88"/>
      <c r="C2" s="88"/>
      <c r="D2" s="90">
        <f>E2</f>
        <v>40</v>
      </c>
      <c r="E2" s="91">
        <v>40</v>
      </c>
      <c r="G2" s="109" t="s">
        <v>52</v>
      </c>
      <c r="H2" s="110" t="s">
        <v>58</v>
      </c>
      <c r="I2" s="110" t="s">
        <v>59</v>
      </c>
      <c r="J2" s="110" t="s">
        <v>60</v>
      </c>
      <c r="K2" s="110" t="s">
        <v>61</v>
      </c>
    </row>
    <row r="3" spans="1:11" x14ac:dyDescent="0.25">
      <c r="A3" s="89"/>
      <c r="B3" s="89"/>
      <c r="C3" s="89"/>
      <c r="D3" s="90">
        <f>E3</f>
        <v>1</v>
      </c>
      <c r="E3" s="91">
        <v>1</v>
      </c>
      <c r="G3" s="84">
        <v>45581</v>
      </c>
      <c r="H3">
        <f>IF(H$1=TRUE,АКЦИИ!Z13,NA())</f>
        <v>6969</v>
      </c>
      <c r="I3">
        <f>IF(I$1=TRUE,АКЦИИ!AA13,NA())</f>
        <v>-30</v>
      </c>
      <c r="J3">
        <f>IF(J$1=TRUE,АКЦИИ!AB13,NA())</f>
        <v>7000</v>
      </c>
      <c r="K3">
        <f>IF(K$1=TRUE,АКЦИИ!AC13,NA())</f>
        <v>1250</v>
      </c>
    </row>
    <row r="4" spans="1:11" x14ac:dyDescent="0.25">
      <c r="A4" s="89"/>
      <c r="B4" s="89"/>
      <c r="C4" s="89"/>
      <c r="D4" s="89"/>
      <c r="E4" s="91"/>
      <c r="G4" s="84">
        <v>45582</v>
      </c>
      <c r="H4">
        <f>IF(H$1=TRUE,АКЦИИ!Z14,NA())</f>
        <v>6949</v>
      </c>
      <c r="I4">
        <f>IF(I$1=TRUE,АКЦИИ!AA14,NA())</f>
        <v>-50</v>
      </c>
      <c r="J4">
        <f>IF(J$1=TRUE,АКЦИИ!AB14,NA())</f>
        <v>7000</v>
      </c>
      <c r="K4">
        <f>IF(K$1=TRUE,АКЦИИ!AC14,NA())</f>
        <v>1250</v>
      </c>
    </row>
    <row r="5" spans="1:11" x14ac:dyDescent="0.25">
      <c r="E5" s="91">
        <f ca="1">OFFSET($G$2,$E$3,,$E$2)</f>
        <v>45583</v>
      </c>
      <c r="G5" s="84">
        <v>45583</v>
      </c>
      <c r="H5">
        <f>IF(H$1=TRUE,АКЦИИ!Z15,NA())</f>
        <v>6899</v>
      </c>
      <c r="I5">
        <f>IF(I$1=TRUE,АКЦИИ!AA15,NA())</f>
        <v>-100</v>
      </c>
      <c r="J5">
        <f>IF(J$1=TRUE,АКЦИИ!AB15,NA())</f>
        <v>7000</v>
      </c>
      <c r="K5">
        <f>IF(K$1=TRUE,АКЦИИ!AC15,NA())</f>
        <v>1250</v>
      </c>
    </row>
    <row r="6" spans="1:11" x14ac:dyDescent="0.25">
      <c r="E6" s="91">
        <f ca="1">OFFSET($H$2,$E$3,,$E$2)</f>
        <v>10844.05</v>
      </c>
      <c r="G6" s="84">
        <v>45586</v>
      </c>
      <c r="H6">
        <f>IF(H$1=TRUE,АКЦИИ!Z16,NA())</f>
        <v>10844.05</v>
      </c>
      <c r="I6">
        <f>IF(I$1=TRUE,АКЦИИ!AA16,NA())</f>
        <v>-154.4</v>
      </c>
      <c r="J6">
        <f>IF(J$1=TRUE,АКЦИИ!AB16,NA())</f>
        <v>11000</v>
      </c>
      <c r="K6">
        <f>IF(K$1=TRUE,АКЦИИ!AC16,NA())</f>
        <v>5248.45</v>
      </c>
    </row>
    <row r="7" spans="1:11" x14ac:dyDescent="0.25">
      <c r="E7" s="91">
        <f ca="1">OFFSET($I$2,$E$3,,$E$2)</f>
        <v>-280</v>
      </c>
      <c r="G7" s="84">
        <v>45587</v>
      </c>
      <c r="H7">
        <f>IF(H$1=TRUE,АКЦИИ!Z17,NA())</f>
        <v>10718.45</v>
      </c>
      <c r="I7">
        <f>IF(I$1=TRUE,АКЦИИ!AA17,NA())</f>
        <v>-280</v>
      </c>
      <c r="J7">
        <f>IF(J$1=TRUE,АКЦИИ!AB17,NA())</f>
        <v>11000</v>
      </c>
      <c r="K7">
        <f>IF(K$1=TRUE,АКЦИИ!AC17,NA())</f>
        <v>3781.45</v>
      </c>
    </row>
    <row r="8" spans="1:11" x14ac:dyDescent="0.25">
      <c r="E8" s="91">
        <f ca="1">OFFSET($J$2,$E$3,,$E$2)</f>
        <v>11000</v>
      </c>
      <c r="G8" s="84">
        <v>45588</v>
      </c>
      <c r="H8">
        <f>IF(H$1=TRUE,АКЦИИ!Z18,NA())</f>
        <v>10685.95</v>
      </c>
      <c r="I8">
        <f>IF(I$1=TRUE,АКЦИИ!AA18,NA())</f>
        <v>-312.5</v>
      </c>
      <c r="J8">
        <f>IF(J$1=TRUE,АКЦИИ!AB18,NA())</f>
        <v>11000</v>
      </c>
      <c r="K8">
        <f>IF(K$1=TRUE,АКЦИИ!AC18,NA())</f>
        <v>3781.45</v>
      </c>
    </row>
    <row r="9" spans="1:11" x14ac:dyDescent="0.25">
      <c r="E9" s="91">
        <f ca="1">OFFSET($K$2,$E$3,,$E$2)</f>
        <v>10628.24</v>
      </c>
      <c r="G9" s="84">
        <v>45589</v>
      </c>
      <c r="H9">
        <f>IF(H$1=TRUE,АКЦИИ!Z19,NA())</f>
        <v>10628.24</v>
      </c>
      <c r="I9">
        <f>IF(I$1=TRUE,АКЦИИ!AA19,NA())</f>
        <v>-371.76</v>
      </c>
      <c r="J9">
        <f>IF(J$1=TRUE,АКЦИИ!AB19,NA())</f>
        <v>11000</v>
      </c>
      <c r="K9">
        <f>IF(K$1=TRUE,АКЦИИ!AC19,NA())</f>
        <v>10628.24</v>
      </c>
    </row>
    <row r="10" spans="1:11" x14ac:dyDescent="0.25">
      <c r="G10" s="84">
        <v>45590</v>
      </c>
      <c r="H10">
        <f>IF(H$1=TRUE,АКЦИИ!Z20,NA())</f>
        <v>10624.919</v>
      </c>
      <c r="I10">
        <f>IF(I$1=TRUE,АКЦИИ!AA20,NA())</f>
        <v>-375.08100000000013</v>
      </c>
      <c r="J10">
        <f>IF(J$1=TRUE,АКЦИИ!AB20,NA())</f>
        <v>11000</v>
      </c>
      <c r="K10">
        <f>IF(K$1=TRUE,АКЦИИ!AC20,NA())</f>
        <v>736.33</v>
      </c>
    </row>
    <row r="11" spans="1:11" x14ac:dyDescent="0.25">
      <c r="G11" s="84">
        <v>45593</v>
      </c>
      <c r="H11">
        <f>IF(H$1=TRUE,АКЦИИ!Z21,NA())</f>
        <v>10630.566999999999</v>
      </c>
      <c r="I11">
        <f>IF(I$1=TRUE,АКЦИИ!AA21,NA())</f>
        <v>-369.4330000000009</v>
      </c>
      <c r="J11">
        <f>IF(J$1=TRUE,АКЦИИ!AB21,NA())</f>
        <v>11000</v>
      </c>
      <c r="K11">
        <f>IF(K$1=TRUE,АКЦИИ!AC21,NA())</f>
        <v>736.33</v>
      </c>
    </row>
    <row r="12" spans="1:11" x14ac:dyDescent="0.25">
      <c r="G12" s="84">
        <v>45594</v>
      </c>
      <c r="H12">
        <f>IF(H$1=TRUE,АКЦИИ!Z22,NA())</f>
        <v>10636.215</v>
      </c>
      <c r="I12">
        <f>IF(I$1=TRUE,АКЦИИ!AA22,NA())</f>
        <v>-363.78499999999985</v>
      </c>
      <c r="J12">
        <f>IF(J$1=TRUE,АКЦИИ!AB22,NA())</f>
        <v>11000</v>
      </c>
      <c r="K12">
        <f>IF(K$1=TRUE,АКЦИИ!AC22,NA())</f>
        <v>736.33</v>
      </c>
    </row>
    <row r="13" spans="1:11" x14ac:dyDescent="0.25">
      <c r="G13" s="84">
        <v>45595</v>
      </c>
      <c r="H13">
        <f>IF(H$1=TRUE,АКЦИИ!Z23,NA())</f>
        <v>10641.51</v>
      </c>
      <c r="I13">
        <f>IF(I$1=TRUE,АКЦИИ!AA23,NA())</f>
        <v>-358.48999999999978</v>
      </c>
      <c r="J13">
        <f>IF(J$1=TRUE,АКЦИИ!AB23,NA())</f>
        <v>11000</v>
      </c>
      <c r="K13">
        <f>IF(K$1=TRUE,АКЦИИ!AC23,NA())</f>
        <v>736.33</v>
      </c>
    </row>
    <row r="14" spans="1:11" x14ac:dyDescent="0.25">
      <c r="G14" s="84">
        <v>45596</v>
      </c>
      <c r="H14">
        <f>IF(H$1=TRUE,АКЦИИ!Z24,NA())</f>
        <v>10643.62</v>
      </c>
      <c r="I14">
        <f>IF(I$1=TRUE,АКЦИИ!AA24,NA())</f>
        <v>-356.3799999999992</v>
      </c>
      <c r="J14">
        <f>IF(J$1=TRUE,АКЦИИ!AB24,NA())</f>
        <v>11000</v>
      </c>
      <c r="K14">
        <f>IF(K$1=TRUE,АКЦИИ!AC24,NA())</f>
        <v>31.27</v>
      </c>
    </row>
    <row r="15" spans="1:11" x14ac:dyDescent="0.25">
      <c r="G15" s="84">
        <v>45597</v>
      </c>
      <c r="H15">
        <f>IF(H$1=TRUE,АКЦИИ!Z25,NA())</f>
        <v>10650.424000000001</v>
      </c>
      <c r="I15">
        <f>IF(I$1=TRUE,АКЦИИ!AA25,NA())</f>
        <v>-349.57599999999911</v>
      </c>
      <c r="J15">
        <f>IF(J$1=TRUE,АКЦИИ!AB25,NA())</f>
        <v>11000</v>
      </c>
      <c r="K15">
        <f>IF(K$1=TRUE,АКЦИИ!AC25,NA())</f>
        <v>31.27</v>
      </c>
    </row>
    <row r="16" spans="1:11" x14ac:dyDescent="0.25">
      <c r="G16" s="84">
        <v>45598</v>
      </c>
      <c r="H16">
        <f>IF(H$1=TRUE,АКЦИИ!Z26,NA())</f>
        <v>10667.812</v>
      </c>
      <c r="I16">
        <f>IF(I$1=TRUE,АКЦИИ!AA26,NA())</f>
        <v>-332.1880000000001</v>
      </c>
      <c r="J16">
        <f>IF(J$1=TRUE,АКЦИИ!AB26,NA())</f>
        <v>11000</v>
      </c>
      <c r="K16">
        <f>IF(K$1=TRUE,АКЦИИ!AC26,NA())</f>
        <v>31.27</v>
      </c>
    </row>
    <row r="17" spans="7:11" x14ac:dyDescent="0.25">
      <c r="G17" s="84">
        <v>45601</v>
      </c>
      <c r="H17">
        <f>IF(H$1=TRUE,АКЦИИ!Z27,NA())</f>
        <v>10674.237999999999</v>
      </c>
      <c r="I17">
        <f>IF(I$1=TRUE,АКЦИИ!AA27,NA())</f>
        <v>-325.76200000000063</v>
      </c>
      <c r="J17">
        <f>IF(J$1=TRUE,АКЦИИ!AB27,NA())</f>
        <v>11000</v>
      </c>
      <c r="K17">
        <f>IF(K$1=TRUE,АКЦИИ!AC27,NA())</f>
        <v>31.27</v>
      </c>
    </row>
    <row r="18" spans="7:11" x14ac:dyDescent="0.25">
      <c r="G18" s="84">
        <v>45603</v>
      </c>
      <c r="H18" s="128">
        <f>IF(H$1=TRUE,АКЦИИ!Z28,NA())</f>
        <v>10767.572</v>
      </c>
      <c r="I18" s="128">
        <f>IF(I$1=TRUE,АКЦИИ!AA28,NA())</f>
        <v>-232.42799999999988</v>
      </c>
      <c r="J18" s="128">
        <f>IF(J$1=TRUE,АКЦИИ!AB28,NA())</f>
        <v>11000</v>
      </c>
      <c r="K18" s="128">
        <f>IF(K$1=TRUE,АКЦИИ!AC28,NA())</f>
        <v>112.13</v>
      </c>
    </row>
    <row r="19" spans="7:11" x14ac:dyDescent="0.25">
      <c r="G19" s="84">
        <v>45604</v>
      </c>
      <c r="H19" s="128">
        <f>IF(H$1=TRUE,АКЦИИ!Z29,NA())</f>
        <v>10786.472</v>
      </c>
      <c r="I19" s="128">
        <f>IF(I$1=TRUE,АКЦИИ!AA29,NA())</f>
        <v>-213.52800000000025</v>
      </c>
      <c r="J19" s="128">
        <f>IF(J$1=TRUE,АКЦИИ!AB29,NA())</f>
        <v>11000</v>
      </c>
      <c r="K19" s="128">
        <f>IF(K$1=TRUE,АКЦИИ!AC29,NA())</f>
        <v>112.13</v>
      </c>
    </row>
    <row r="20" spans="7:11" x14ac:dyDescent="0.25">
      <c r="G20" s="84">
        <v>45607</v>
      </c>
      <c r="H20" s="128">
        <f>IF(H$1=TRUE,АКЦИИ!Z30,NA())</f>
        <v>10792.142</v>
      </c>
      <c r="I20" s="128">
        <f>IF(I$1=TRUE,АКЦИИ!AA30,NA())</f>
        <v>-207.85800000000017</v>
      </c>
      <c r="J20" s="128">
        <f>IF(J$1=TRUE,АКЦИИ!AB30,NA())</f>
        <v>11000</v>
      </c>
      <c r="K20" s="128">
        <f>IF(K$1=TRUE,АКЦИИ!AC30,NA())</f>
        <v>112.13</v>
      </c>
    </row>
    <row r="21" spans="7:11" x14ac:dyDescent="0.25">
      <c r="G21" s="84">
        <v>45608</v>
      </c>
      <c r="H21" s="128">
        <f>IF(H$1=TRUE,АКЦИИ!Z31,NA())</f>
        <v>10798.189999999999</v>
      </c>
      <c r="I21" s="128">
        <f>IF(I$1=TRUE,АКЦИИ!AA31,NA())</f>
        <v>-201.81000000000131</v>
      </c>
      <c r="J21" s="128">
        <f>IF(J$1=TRUE,АКЦИИ!AB31,NA())</f>
        <v>11000</v>
      </c>
      <c r="K21" s="128">
        <f>IF(K$1=TRUE,АКЦИИ!AC31,NA())</f>
        <v>112.13</v>
      </c>
    </row>
    <row r="22" spans="7:11" x14ac:dyDescent="0.25">
      <c r="G22" s="84">
        <v>45609</v>
      </c>
      <c r="H22" s="128">
        <f>IF(H$1=TRUE,АКЦИИ!Z32,NA())</f>
        <v>10803.859999999999</v>
      </c>
      <c r="I22" s="128">
        <f>IF(I$1=TRUE,АКЦИИ!AA32,NA())</f>
        <v>-196.14000000000124</v>
      </c>
      <c r="J22" s="128">
        <f>IF(J$1=TRUE,АКЦИИ!AB32,NA())</f>
        <v>11000</v>
      </c>
      <c r="K22" s="128">
        <f>IF(K$1=TRUE,АКЦИИ!AC32,NA())</f>
        <v>112.13</v>
      </c>
    </row>
    <row r="23" spans="7:11" x14ac:dyDescent="0.25">
      <c r="G23" s="84">
        <v>45610</v>
      </c>
      <c r="H23" s="128">
        <f>IF(H$1=TRUE,АКЦИИ!Z33,NA())</f>
        <v>11576.186</v>
      </c>
      <c r="I23" s="128">
        <f>IF(I$1=TRUE,АКЦИИ!AA33,NA())</f>
        <v>576.18599999999969</v>
      </c>
      <c r="J23" s="128">
        <f>IF(J$1=TRUE,АКЦИИ!AB33,NA())</f>
        <v>11000</v>
      </c>
      <c r="K23" s="128">
        <f>IF(K$1=TRUE,АКЦИИ!AC33,NA())</f>
        <v>878.03</v>
      </c>
    </row>
    <row r="24" spans="7:11" x14ac:dyDescent="0.25">
      <c r="G24" s="84">
        <v>45611</v>
      </c>
      <c r="H24" s="128">
        <f>IF(H$1=TRUE,АКЦИИ!Z34,NA())</f>
        <v>15590.73</v>
      </c>
      <c r="I24" s="128">
        <f>IF(I$1=TRUE,АКЦИИ!AA34,NA())</f>
        <v>590.72999999999956</v>
      </c>
      <c r="J24" s="128">
        <f>IF(J$1=TRUE,АКЦИИ!AB34,NA())</f>
        <v>15000</v>
      </c>
      <c r="K24" s="128">
        <f>IF(K$1=TRUE,АКЦИИ!AC34,NA())</f>
        <v>15590.73</v>
      </c>
    </row>
    <row r="25" spans="7:11" x14ac:dyDescent="0.25">
      <c r="G25" s="84">
        <v>45615</v>
      </c>
      <c r="H25" s="128">
        <f>IF(H$1=TRUE,АКЦИИ!Z35,NA())</f>
        <v>15753.83</v>
      </c>
      <c r="I25" s="128">
        <f>IF(I$1=TRUE,АКЦИИ!AA35,NA())</f>
        <v>753.82999999999993</v>
      </c>
      <c r="J25" s="128">
        <f>IF(J$1=TRUE,АКЦИИ!AB35,NA())</f>
        <v>15000</v>
      </c>
      <c r="K25" s="128">
        <f>IF(K$1=TRUE,АКЦИИ!AC35,NA())</f>
        <v>15753.83</v>
      </c>
    </row>
    <row r="26" spans="7:11" x14ac:dyDescent="0.25">
      <c r="G26" s="84">
        <v>45617</v>
      </c>
      <c r="H26" s="128">
        <f>IF(H$1=TRUE,АКЦИИ!Z36,NA())</f>
        <v>13430.07</v>
      </c>
      <c r="I26" s="128">
        <f>IF(I$1=TRUE,АКЦИИ!AA36,NA())</f>
        <v>-1569.9300000000003</v>
      </c>
      <c r="J26" s="128">
        <f>IF(J$1=TRUE,АКЦИИ!AB36,NA())</f>
        <v>15000</v>
      </c>
      <c r="K26" s="128">
        <f>IF(K$1=TRUE,АКЦИИ!AC36,NA())</f>
        <v>13430.07</v>
      </c>
    </row>
    <row r="27" spans="7:11" x14ac:dyDescent="0.25">
      <c r="G27" s="84">
        <v>45618</v>
      </c>
      <c r="H27" s="128">
        <f>IF(H$1=TRUE,АКЦИИ!Z37,NA())</f>
        <v>12735.79</v>
      </c>
      <c r="I27" s="128">
        <f>IF(I$1=TRUE,АКЦИИ!AA37,NA())</f>
        <v>-2264.2099999999991</v>
      </c>
      <c r="J27" s="128">
        <f>IF(J$1=TRUE,АКЦИИ!AB37,NA())</f>
        <v>15000</v>
      </c>
      <c r="K27" s="128">
        <f>IF(K$1=TRUE,АКЦИИ!AC37,NA())</f>
        <v>511.79</v>
      </c>
    </row>
    <row r="28" spans="7:11" x14ac:dyDescent="0.25">
      <c r="G28" s="84">
        <v>45621</v>
      </c>
      <c r="H28" s="128">
        <f>IF(H$1=TRUE,АКЦИИ!Z38,NA())</f>
        <v>12220.827000000001</v>
      </c>
      <c r="I28" s="128">
        <f>IF(I$1=TRUE,АКЦИИ!AA38,NA())</f>
        <v>-2779.1729999999989</v>
      </c>
      <c r="J28" s="128">
        <f>IF(J$1=TRUE,АКЦИИ!AB38,NA())</f>
        <v>15000</v>
      </c>
      <c r="K28" s="128">
        <f>IF(K$1=TRUE,АКЦИИ!AC38,NA())</f>
        <v>2.4500000000000002</v>
      </c>
    </row>
    <row r="29" spans="7:11" x14ac:dyDescent="0.25">
      <c r="G29" s="84">
        <v>45622</v>
      </c>
      <c r="H29" s="128">
        <f>IF(H$1=TRUE,АКЦИИ!Z39,NA())</f>
        <v>11883.95</v>
      </c>
      <c r="I29" s="128">
        <f>IF(I$1=TRUE,АКЦИИ!AA39,NA())</f>
        <v>-3116.0499999999993</v>
      </c>
      <c r="J29" s="128">
        <f>IF(J$1=TRUE,АКЦИИ!AB39,NA())</f>
        <v>15000</v>
      </c>
      <c r="K29" s="128">
        <f>IF(K$1=TRUE,АКЦИИ!AC39,NA())</f>
        <v>2.4500000000000002</v>
      </c>
    </row>
    <row r="30" spans="7:11" x14ac:dyDescent="0.25">
      <c r="G30" s="84">
        <v>45623</v>
      </c>
      <c r="H30" s="128">
        <f>IF(H$1=TRUE,АКЦИИ!Z40,NA())</f>
        <v>12450.061000000002</v>
      </c>
      <c r="I30" s="128">
        <f>IF(I$1=TRUE,АКЦИИ!AA40,NA())</f>
        <v>-2549.9389999999985</v>
      </c>
      <c r="J30" s="128">
        <f>IF(J$1=TRUE,АКЦИИ!AB40,NA())</f>
        <v>15000</v>
      </c>
      <c r="K30" s="128">
        <f>IF(K$1=TRUE,АКЦИИ!AC40,NA())</f>
        <v>2.4500000000000002</v>
      </c>
    </row>
    <row r="31" spans="7:11" x14ac:dyDescent="0.25">
      <c r="G31" s="84">
        <v>45624</v>
      </c>
      <c r="H31" s="128">
        <f>IF(H$1=TRUE,АКЦИИ!Z41,NA())</f>
        <v>12355.385</v>
      </c>
      <c r="I31" s="128">
        <f>IF(I$1=TRUE,АКЦИИ!AA41,NA())</f>
        <v>-2644.6149999999998</v>
      </c>
      <c r="J31" s="128">
        <f>IF(J$1=TRUE,АКЦИИ!AB41,NA())</f>
        <v>15000</v>
      </c>
      <c r="K31" s="128">
        <f>IF(K$1=TRUE,АКЦИИ!AC41,NA())</f>
        <v>2.4500000000000002</v>
      </c>
    </row>
    <row r="32" spans="7:11" x14ac:dyDescent="0.25">
      <c r="G32" s="84">
        <v>45625</v>
      </c>
      <c r="H32" s="128">
        <f>IF(H$1=TRUE,АКЦИИ!Z42,NA())</f>
        <v>12861.819999999998</v>
      </c>
      <c r="I32" s="128">
        <f>IF(I$1=TRUE,АКЦИИ!AA42,NA())</f>
        <v>-2138.1800000000021</v>
      </c>
      <c r="J32" s="128">
        <f>IF(J$1=TRUE,АКЦИИ!AB42,NA())</f>
        <v>15000</v>
      </c>
      <c r="K32" s="128">
        <f>IF(K$1=TRUE,АКЦИИ!AC42,NA())</f>
        <v>29.64</v>
      </c>
    </row>
    <row r="33" spans="7:11" x14ac:dyDescent="0.25">
      <c r="G33" s="84">
        <v>45628</v>
      </c>
      <c r="H33" s="128">
        <f>IF(H$1=TRUE,АКЦИИ!Z43,NA())</f>
        <v>12858.539999999999</v>
      </c>
      <c r="I33" s="128">
        <f>IF(I$1=TRUE,АКЦИИ!AA43,NA())</f>
        <v>-2141.4600000000009</v>
      </c>
      <c r="J33" s="128">
        <f>IF(J$1=TRUE,АКЦИИ!AB43,NA())</f>
        <v>15000</v>
      </c>
      <c r="K33" s="128">
        <f>IF(K$1=TRUE,АКЦИИ!AC43,NA())</f>
        <v>29.64</v>
      </c>
    </row>
    <row r="34" spans="7:11" x14ac:dyDescent="0.25">
      <c r="G34" s="84">
        <v>45629</v>
      </c>
      <c r="H34" s="128">
        <f>IF(H$1=TRUE,АКЦИИ!Z44,NA())</f>
        <v>12661.74</v>
      </c>
      <c r="I34" s="128">
        <f>IF(I$1=TRUE,АКЦИИ!AA44,NA())</f>
        <v>-2338.2600000000002</v>
      </c>
      <c r="J34" s="128">
        <f>IF(J$1=TRUE,АКЦИИ!AB44,NA())</f>
        <v>15000</v>
      </c>
      <c r="K34" s="128">
        <f>IF(K$1=TRUE,АКЦИИ!AC44,NA())</f>
        <v>29.64</v>
      </c>
    </row>
    <row r="35" spans="7:11" x14ac:dyDescent="0.25">
      <c r="G35" s="84">
        <v>45630</v>
      </c>
      <c r="H35" s="128">
        <f>IF(H$1=TRUE,АКЦИИ!Z45,NA())</f>
        <v>12309.1</v>
      </c>
      <c r="I35" s="128">
        <f>IF(I$1=TRUE,АКЦИИ!AA45,NA())</f>
        <v>-2690.8999999999996</v>
      </c>
      <c r="J35" s="128">
        <f>IF(J$1=TRUE,АКЦИИ!AB45,NA())</f>
        <v>15000</v>
      </c>
      <c r="K35" s="128">
        <f>IF(K$1=TRUE,АКЦИИ!AC45,NA())</f>
        <v>12309.1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29" r:id="rId3" name="Label2">
          <controlPr autoLine="0" r:id="rId4">
            <anchor moveWithCells="1">
              <from>
                <xdr:col>0</xdr:col>
                <xdr:colOff>28575</xdr:colOff>
                <xdr:row>2</xdr:row>
                <xdr:rowOff>0</xdr:rowOff>
              </from>
              <to>
                <xdr:col>0</xdr:col>
                <xdr:colOff>2247900</xdr:colOff>
                <xdr:row>3</xdr:row>
                <xdr:rowOff>0</xdr:rowOff>
              </to>
            </anchor>
          </controlPr>
        </control>
      </mc:Choice>
      <mc:Fallback>
        <control shapeId="5129" r:id="rId3" name="Label2"/>
      </mc:Fallback>
    </mc:AlternateContent>
    <mc:AlternateContent xmlns:mc="http://schemas.openxmlformats.org/markup-compatibility/2006">
      <mc:Choice Requires="x14">
        <control shapeId="5128" r:id="rId5" name="Label1">
          <controlPr autoLine="0" r:id="rId6">
            <anchor moveWithCells="1">
              <from>
                <xdr:col>0</xdr:col>
                <xdr:colOff>19050</xdr:colOff>
                <xdr:row>1</xdr:row>
                <xdr:rowOff>19050</xdr:rowOff>
              </from>
              <to>
                <xdr:col>0</xdr:col>
                <xdr:colOff>2238375</xdr:colOff>
                <xdr:row>1</xdr:row>
                <xdr:rowOff>247650</xdr:rowOff>
              </to>
            </anchor>
          </controlPr>
        </control>
      </mc:Choice>
      <mc:Fallback>
        <control shapeId="5128" r:id="rId5" name="Label1"/>
      </mc:Fallback>
    </mc:AlternateContent>
    <mc:AlternateContent xmlns:mc="http://schemas.openxmlformats.org/markup-compatibility/2006">
      <mc:Choice Requires="x14">
        <control shapeId="5121" r:id="rId7" name="Check Box 1">
          <controlPr defaultSize="0" autoFill="0" autoLine="0" autoPict="0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0</xdr:col>
                <xdr:colOff>295275</xdr:colOff>
                <xdr:row>0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2" r:id="rId8" name="Check Box 2">
          <controlPr defaultSize="0" autoFill="0" autoLine="0" autoPict="0">
            <anchor moveWithCells="1">
              <from>
                <xdr:col>1</xdr:col>
                <xdr:colOff>28575</xdr:colOff>
                <xdr:row>0</xdr:row>
                <xdr:rowOff>47625</xdr:rowOff>
              </from>
              <to>
                <xdr:col>1</xdr:col>
                <xdr:colOff>257175</xdr:colOff>
                <xdr:row>0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" r:id="rId9" name="Check Box 3">
          <controlPr defaultSize="0" autoFill="0" autoLine="0" autoPict="0">
            <anchor moveWithCells="1">
              <from>
                <xdr:col>2</xdr:col>
                <xdr:colOff>38100</xdr:colOff>
                <xdr:row>0</xdr:row>
                <xdr:rowOff>47625</xdr:rowOff>
              </from>
              <to>
                <xdr:col>2</xdr:col>
                <xdr:colOff>266700</xdr:colOff>
                <xdr:row>0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4" r:id="rId10" name="Check Box 4">
          <controlPr defaultSize="0" autoFill="0" autoLine="0" autoPict="0">
            <anchor moveWithCells="1">
              <from>
                <xdr:col>3</xdr:col>
                <xdr:colOff>38100</xdr:colOff>
                <xdr:row>0</xdr:row>
                <xdr:rowOff>47625</xdr:rowOff>
              </from>
              <to>
                <xdr:col>3</xdr:col>
                <xdr:colOff>266700</xdr:colOff>
                <xdr:row>0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" r:id="rId11" name="Scroll Bar 5">
          <controlPr locked="0" defaultSize="0" autoPict="0">
            <anchor>
              <from>
                <xdr:col>0</xdr:col>
                <xdr:colOff>2257425</xdr:colOff>
                <xdr:row>1</xdr:row>
                <xdr:rowOff>38100</xdr:rowOff>
              </from>
              <to>
                <xdr:col>3</xdr:col>
                <xdr:colOff>2228850</xdr:colOff>
                <xdr:row>1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" r:id="rId12" name="Scroll Bar 6">
          <controlPr locked="0" defaultSize="0" autoPict="0">
            <anchor>
              <from>
                <xdr:col>0</xdr:col>
                <xdr:colOff>2266950</xdr:colOff>
                <xdr:row>2</xdr:row>
                <xdr:rowOff>19050</xdr:rowOff>
              </from>
              <to>
                <xdr:col>3</xdr:col>
                <xdr:colOff>2238375</xdr:colOff>
                <xdr:row>2</xdr:row>
                <xdr:rowOff>209550</xdr:rowOff>
              </to>
            </anchor>
          </controlPr>
        </control>
      </mc:Choice>
    </mc:AlternateContent>
  </controls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F2:AG5"/>
  <sheetViews>
    <sheetView showGridLines="0" workbookViewId="0">
      <selection activeCell="AF2" sqref="AF2"/>
    </sheetView>
  </sheetViews>
  <sheetFormatPr defaultRowHeight="15.75" x14ac:dyDescent="0.25"/>
  <cols>
    <col min="32" max="32" width="38.42578125" style="279" customWidth="1"/>
    <col min="33" max="33" width="15.140625" style="279" customWidth="1"/>
  </cols>
  <sheetData>
    <row r="2" spans="32:33" ht="30.75" customHeight="1" x14ac:dyDescent="0.25">
      <c r="AF2" s="278" t="s">
        <v>134</v>
      </c>
      <c r="AG2" s="278" t="s">
        <v>135</v>
      </c>
    </row>
    <row r="3" spans="32:33" x14ac:dyDescent="0.25">
      <c r="AF3" s="279" t="str">
        <f>АКЦИИ!H5</f>
        <v>Количество свободных средств</v>
      </c>
      <c r="AG3" s="280">
        <f>АКЦИИ!L5</f>
        <v>1</v>
      </c>
    </row>
    <row r="4" spans="32:33" x14ac:dyDescent="0.25">
      <c r="AF4" s="279">
        <f>АКЦИИ!B13</f>
        <v>0</v>
      </c>
      <c r="AG4" s="280">
        <f>АКЦИИ!H13</f>
        <v>0</v>
      </c>
    </row>
    <row r="5" spans="32:33" x14ac:dyDescent="0.25">
      <c r="AG5" s="280"/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rgb="FF00B050"/>
  </sheetPr>
  <dimension ref="A1:AC58"/>
  <sheetViews>
    <sheetView tabSelected="1" zoomScale="80" zoomScaleNormal="80" workbookViewId="0">
      <selection activeCell="L8" sqref="L8"/>
    </sheetView>
  </sheetViews>
  <sheetFormatPr defaultColWidth="10.85546875" defaultRowHeight="18" x14ac:dyDescent="0.25"/>
  <cols>
    <col min="1" max="1" width="10.7109375" style="6" customWidth="1"/>
    <col min="2" max="2" width="27.140625" style="2" customWidth="1"/>
    <col min="3" max="3" width="14.28515625" style="2" customWidth="1"/>
    <col min="4" max="4" width="16.140625" style="2" customWidth="1"/>
    <col min="5" max="6" width="19.42578125" style="2" customWidth="1"/>
    <col min="7" max="7" width="21.7109375" style="2" customWidth="1"/>
    <col min="8" max="8" width="14.28515625" style="2" customWidth="1"/>
    <col min="9" max="9" width="21.7109375" style="2" customWidth="1"/>
    <col min="10" max="11" width="23.140625" style="2" customWidth="1"/>
    <col min="12" max="12" width="14.140625" style="2" customWidth="1"/>
    <col min="13" max="13" width="10.7109375" style="6" customWidth="1"/>
    <col min="14" max="14" width="30.140625" style="2" customWidth="1"/>
    <col min="15" max="15" width="14.140625" style="2" customWidth="1"/>
    <col min="16" max="16" width="18.140625" style="2" customWidth="1"/>
    <col min="17" max="17" width="14.140625" style="2" customWidth="1"/>
    <col min="18" max="18" width="19" style="2" customWidth="1"/>
    <col min="19" max="19" width="19.42578125" style="2" customWidth="1"/>
    <col min="20" max="20" width="14.28515625" style="2" customWidth="1"/>
    <col min="21" max="22" width="23.140625" style="2" customWidth="1"/>
    <col min="23" max="24" width="10.85546875" style="2"/>
    <col min="25" max="25" width="22.7109375" style="70" customWidth="1"/>
    <col min="26" max="29" width="30.7109375" style="72" customWidth="1"/>
    <col min="30" max="16384" width="10.85546875" style="2"/>
  </cols>
  <sheetData>
    <row r="1" spans="1:29" ht="14.1" customHeight="1" x14ac:dyDescent="0.25"/>
    <row r="2" spans="1:29" ht="39.950000000000003" customHeight="1" x14ac:dyDescent="0.25">
      <c r="B2" s="295" t="s">
        <v>1</v>
      </c>
      <c r="C2" s="295"/>
      <c r="D2" s="309"/>
      <c r="E2" s="69">
        <f>'[1]АКЦИИ онлайн'!$B$13</f>
        <v>45630</v>
      </c>
      <c r="F2" s="64"/>
      <c r="H2" s="295" t="s">
        <v>2</v>
      </c>
      <c r="I2" s="295"/>
      <c r="J2" s="295"/>
      <c r="K2" s="295"/>
      <c r="N2" s="295" t="s">
        <v>26</v>
      </c>
      <c r="O2" s="295"/>
      <c r="P2" s="295"/>
    </row>
    <row r="3" spans="1:29" ht="23.1" customHeight="1" x14ac:dyDescent="0.25">
      <c r="B3" s="310" t="s">
        <v>45</v>
      </c>
      <c r="C3" s="311"/>
      <c r="D3" s="311"/>
      <c r="E3" s="67">
        <f>SUM(Акции_покупка[Текущие результаты])+K5</f>
        <v>12309.1</v>
      </c>
      <c r="F3" s="65"/>
      <c r="H3" s="312" t="s">
        <v>10</v>
      </c>
      <c r="I3" s="313"/>
      <c r="J3" s="316"/>
      <c r="K3" s="67">
        <v>15000</v>
      </c>
      <c r="N3" s="298" t="s">
        <v>28</v>
      </c>
      <c r="O3" s="298"/>
      <c r="P3" s="111">
        <f>SUM(Акции_продажа[Доход, ₽])</f>
        <v>-2380.3929999999991</v>
      </c>
    </row>
    <row r="4" spans="1:29" ht="23.1" customHeight="1" x14ac:dyDescent="0.25">
      <c r="B4" s="312" t="s">
        <v>31</v>
      </c>
      <c r="C4" s="313"/>
      <c r="D4" s="313"/>
      <c r="E4" s="67">
        <f>SUM(Акции_покупка[Доход,  ₽])</f>
        <v>0</v>
      </c>
      <c r="F4" s="65"/>
      <c r="H4" s="315" t="s">
        <v>3</v>
      </c>
      <c r="I4" s="315"/>
      <c r="J4" s="315"/>
      <c r="K4" s="54">
        <f>SUM(Акции_покупка[Количество акций])</f>
        <v>0</v>
      </c>
      <c r="N4" s="299" t="s">
        <v>29</v>
      </c>
      <c r="O4" s="299"/>
      <c r="P4" s="44">
        <f>AVERAGE(Акции_продажа[Доходность, %])</f>
        <v>-1.6197990393366019E-2</v>
      </c>
    </row>
    <row r="5" spans="1:29" ht="23.1" customHeight="1" x14ac:dyDescent="0.25">
      <c r="B5" s="312" t="s">
        <v>30</v>
      </c>
      <c r="C5" s="313"/>
      <c r="D5" s="313"/>
      <c r="E5" s="1" t="e">
        <f>E4/K6</f>
        <v>#DIV/0!</v>
      </c>
      <c r="F5" s="66"/>
      <c r="G5" s="47"/>
      <c r="H5" s="315" t="s">
        <v>44</v>
      </c>
      <c r="I5" s="315"/>
      <c r="J5" s="315"/>
      <c r="K5" s="67">
        <v>12309.1</v>
      </c>
      <c r="L5" s="1">
        <f>K5/E3</f>
        <v>1</v>
      </c>
      <c r="N5" s="4"/>
      <c r="O5" s="4"/>
      <c r="P5" s="5"/>
      <c r="Q5" s="5"/>
      <c r="R5" s="5"/>
      <c r="S5" s="4"/>
      <c r="T5" s="4"/>
    </row>
    <row r="6" spans="1:29" ht="23.1" customHeight="1" x14ac:dyDescent="0.25">
      <c r="B6" s="312" t="s">
        <v>5</v>
      </c>
      <c r="C6" s="313"/>
      <c r="D6" s="313"/>
      <c r="E6" s="67">
        <f>ДИВИДЕНДЫ!D2</f>
        <v>0</v>
      </c>
      <c r="F6" s="65"/>
      <c r="H6" s="315" t="s">
        <v>50</v>
      </c>
      <c r="I6" s="317"/>
      <c r="J6" s="317"/>
      <c r="K6" s="67">
        <f>SUM(Акции_покупка[Сумма вложений])</f>
        <v>0</v>
      </c>
    </row>
    <row r="7" spans="1:29" ht="23.1" customHeight="1" x14ac:dyDescent="0.25">
      <c r="B7" s="310" t="s">
        <v>63</v>
      </c>
      <c r="C7" s="311"/>
      <c r="D7" s="311"/>
      <c r="E7" s="67">
        <f>E3-K3+E6</f>
        <v>-2690.8999999999996</v>
      </c>
      <c r="F7" s="65"/>
      <c r="H7" s="318"/>
      <c r="I7" s="318"/>
      <c r="J7" s="318"/>
      <c r="K7" s="75"/>
    </row>
    <row r="8" spans="1:29" ht="23.1" customHeight="1" x14ac:dyDescent="0.25">
      <c r="B8" s="312" t="s">
        <v>4</v>
      </c>
      <c r="C8" s="313"/>
      <c r="D8" s="313"/>
      <c r="E8" s="1">
        <f>E7/K3</f>
        <v>-0.17939333333333332</v>
      </c>
      <c r="F8" s="66"/>
      <c r="G8" s="306" t="s">
        <v>156</v>
      </c>
      <c r="H8" s="307"/>
      <c r="I8" s="307"/>
      <c r="J8" s="308"/>
      <c r="K8" s="294">
        <f>INDEX(Таблица13[ТЕКУЩАЯ
СТОИМОСТЬ
ПОРТФЕЛЯ],COUNTA(Таблица13[ТЕКУЩАЯ
СТОИМОСТЬ
ПОРТФЕЛЯ]))-INDEX(Таблица13[ТЕКУЩАЯ
СТОИМОСТЬ
ПОРТФЕЛЯ],COUNTA(Таблица13[ТЕКУЩАЯ
СТОИМОСТЬ
ПОРТФЕЛЯ])-1)</f>
        <v>-352.63999999999942</v>
      </c>
    </row>
    <row r="9" spans="1:29" ht="27" customHeight="1" x14ac:dyDescent="0.25"/>
    <row r="10" spans="1:29" ht="24.95" customHeight="1" x14ac:dyDescent="0.25">
      <c r="A10" s="319" t="s">
        <v>46</v>
      </c>
      <c r="B10" s="319"/>
      <c r="C10" s="319"/>
      <c r="D10" s="319"/>
      <c r="E10" s="319"/>
      <c r="F10" s="319"/>
      <c r="G10" s="303" t="s">
        <v>47</v>
      </c>
      <c r="H10" s="303"/>
      <c r="I10" s="303"/>
      <c r="J10" s="303"/>
      <c r="K10" s="303"/>
      <c r="M10" s="321" t="s">
        <v>48</v>
      </c>
      <c r="N10" s="321"/>
      <c r="O10" s="321"/>
      <c r="P10" s="321"/>
      <c r="Q10" s="321"/>
      <c r="R10" s="321"/>
      <c r="S10" s="321"/>
      <c r="T10" s="304" t="s">
        <v>49</v>
      </c>
      <c r="U10" s="305"/>
      <c r="V10" s="305"/>
      <c r="Y10" s="71"/>
      <c r="Z10" s="73"/>
      <c r="AA10" s="73"/>
      <c r="AB10" s="73"/>
    </row>
    <row r="11" spans="1:29" ht="45.95" customHeight="1" x14ac:dyDescent="0.25">
      <c r="A11" s="320" t="s">
        <v>18</v>
      </c>
      <c r="B11" s="320"/>
      <c r="C11" s="320"/>
      <c r="D11" s="320"/>
      <c r="E11" s="320"/>
      <c r="F11" s="320"/>
      <c r="G11" s="300" t="s">
        <v>17</v>
      </c>
      <c r="H11" s="301"/>
      <c r="I11" s="301"/>
      <c r="J11" s="301"/>
      <c r="K11" s="302"/>
      <c r="M11" s="322" t="s">
        <v>19</v>
      </c>
      <c r="N11" s="322"/>
      <c r="O11" s="322"/>
      <c r="P11" s="322"/>
      <c r="Q11" s="322"/>
      <c r="R11" s="322"/>
      <c r="S11" s="322"/>
      <c r="T11" s="112"/>
      <c r="U11" s="296" t="s">
        <v>17</v>
      </c>
      <c r="V11" s="297"/>
      <c r="Y11" s="314" t="s">
        <v>57</v>
      </c>
      <c r="Z11" s="314"/>
      <c r="AA11" s="314"/>
      <c r="AB11" s="314"/>
      <c r="AC11" s="314"/>
    </row>
    <row r="12" spans="1:29" ht="71.099999999999994" customHeight="1" x14ac:dyDescent="0.25">
      <c r="A12" s="115" t="s">
        <v>70</v>
      </c>
      <c r="B12" s="113" t="s">
        <v>6</v>
      </c>
      <c r="C12" s="113" t="s">
        <v>0</v>
      </c>
      <c r="D12" s="113" t="s">
        <v>7</v>
      </c>
      <c r="E12" s="114" t="s">
        <v>8</v>
      </c>
      <c r="F12" s="113" t="s">
        <v>9</v>
      </c>
      <c r="G12" s="48" t="s">
        <v>10</v>
      </c>
      <c r="H12" s="49" t="s">
        <v>11</v>
      </c>
      <c r="I12" s="49" t="s">
        <v>12</v>
      </c>
      <c r="J12" s="49" t="s">
        <v>23</v>
      </c>
      <c r="K12" s="50" t="s">
        <v>24</v>
      </c>
      <c r="M12" s="123" t="s">
        <v>70</v>
      </c>
      <c r="N12" s="35" t="s">
        <v>6</v>
      </c>
      <c r="O12" s="113" t="s">
        <v>0</v>
      </c>
      <c r="P12" s="35" t="s">
        <v>20</v>
      </c>
      <c r="Q12" s="35" t="s">
        <v>7</v>
      </c>
      <c r="R12" s="35" t="s">
        <v>21</v>
      </c>
      <c r="S12" s="35" t="s">
        <v>22</v>
      </c>
      <c r="T12" s="57" t="s">
        <v>25</v>
      </c>
      <c r="U12" s="58" t="s">
        <v>27</v>
      </c>
      <c r="V12" s="59" t="s">
        <v>24</v>
      </c>
      <c r="Y12" s="78" t="s">
        <v>52</v>
      </c>
      <c r="Z12" s="79" t="s">
        <v>53</v>
      </c>
      <c r="AA12" s="79" t="s">
        <v>56</v>
      </c>
      <c r="AB12" s="79" t="s">
        <v>54</v>
      </c>
      <c r="AC12" s="79" t="s">
        <v>55</v>
      </c>
    </row>
    <row r="13" spans="1:29" ht="20.100000000000001" customHeight="1" x14ac:dyDescent="0.25">
      <c r="A13" s="118"/>
      <c r="B13" s="291"/>
      <c r="C13" s="12"/>
      <c r="D13" s="13"/>
      <c r="E13" s="33"/>
      <c r="F13" s="62"/>
      <c r="G13" s="68">
        <f t="shared" ref="G13" si="0">D13*E13</f>
        <v>0</v>
      </c>
      <c r="H13" s="31">
        <f>Акции_покупка[[#This Row],[Текущие результаты]]/$E$3</f>
        <v>0</v>
      </c>
      <c r="I13" s="61">
        <f t="shared" ref="I13" si="1">F13*D13</f>
        <v>0</v>
      </c>
      <c r="J13" s="61">
        <f t="shared" ref="J13" si="2">(F13*D13)-G13</f>
        <v>0</v>
      </c>
      <c r="K13" s="32" t="e">
        <f t="shared" ref="K13" si="3">J13/G13</f>
        <v>#DIV/0!</v>
      </c>
      <c r="M13" s="284" t="s">
        <v>69</v>
      </c>
      <c r="N13" s="162" t="s">
        <v>38</v>
      </c>
      <c r="O13" s="29">
        <v>45581</v>
      </c>
      <c r="P13" s="29">
        <v>45589</v>
      </c>
      <c r="Q13" s="30">
        <v>100</v>
      </c>
      <c r="R13" s="61">
        <v>57.5</v>
      </c>
      <c r="S13" s="76">
        <v>54.52</v>
      </c>
      <c r="T13" s="55">
        <f>Акции_продажа[[#This Row],[Дата продажи]]-Акции_продажа[[#This Row],[Дата покупки]]</f>
        <v>8</v>
      </c>
      <c r="U13" s="34">
        <f>(Акции_продажа[[#This Row],[Стоимость продажи]]*Акции_продажа[[#This Row],[Количество акций]])-(Акции_продажа[[#This Row],[Стоимость покуки]]*Акции_продажа[[#This Row],[Количество акций]])</f>
        <v>-298</v>
      </c>
      <c r="V13" s="53">
        <f>Акции_продажа[[#This Row],[Доход, ₽]]/(Акции_продажа[[#This Row],[Стоимость покуки]]*Акции_продажа[[#This Row],[Количество акций]])</f>
        <v>-5.1826086956521737E-2</v>
      </c>
      <c r="Y13" s="74">
        <v>45581</v>
      </c>
      <c r="Z13" s="67">
        <v>6969</v>
      </c>
      <c r="AA13" s="67">
        <v>-30</v>
      </c>
      <c r="AB13" s="67">
        <v>7000</v>
      </c>
      <c r="AC13" s="67">
        <v>1250</v>
      </c>
    </row>
    <row r="14" spans="1:29" ht="20.100000000000001" customHeight="1" x14ac:dyDescent="0.25">
      <c r="A14" s="118"/>
      <c r="B14" s="18"/>
      <c r="C14" s="12"/>
      <c r="D14" s="13"/>
      <c r="E14" s="33"/>
      <c r="F14" s="62"/>
      <c r="G14" s="68"/>
      <c r="H14" s="31"/>
      <c r="I14" s="61"/>
      <c r="J14" s="61"/>
      <c r="K14" s="32"/>
      <c r="M14" s="284" t="s">
        <v>71</v>
      </c>
      <c r="N14" s="36" t="s">
        <v>51</v>
      </c>
      <c r="O14" s="12">
        <v>45586</v>
      </c>
      <c r="P14" s="29">
        <v>45589</v>
      </c>
      <c r="Q14" s="13">
        <v>3</v>
      </c>
      <c r="R14" s="33">
        <v>489</v>
      </c>
      <c r="S14" s="77">
        <v>466.3</v>
      </c>
      <c r="T14" s="55">
        <f>Акции_продажа[[#This Row],[Дата продажи]]-Акции_продажа[[#This Row],[Дата покупки]]</f>
        <v>3</v>
      </c>
      <c r="U14" s="34">
        <f>(Акции_продажа[[#This Row],[Стоимость продажи]]*Акции_продажа[[#This Row],[Количество акций]])-(Акции_продажа[[#This Row],[Стоимость покуки]]*Акции_продажа[[#This Row],[Количество акций]])</f>
        <v>-68.099999999999909</v>
      </c>
      <c r="V14" s="53">
        <f>Акции_продажа[[#This Row],[Доход, ₽]]/(Акции_продажа[[#This Row],[Стоимость покуки]]*Акции_продажа[[#This Row],[Количество акций]])</f>
        <v>-4.6421267893660467E-2</v>
      </c>
      <c r="Y14" s="74">
        <v>45582</v>
      </c>
      <c r="Z14" s="67">
        <v>6949</v>
      </c>
      <c r="AA14" s="67">
        <v>-50</v>
      </c>
      <c r="AB14" s="67">
        <v>7000</v>
      </c>
      <c r="AC14" s="67">
        <v>1250</v>
      </c>
    </row>
    <row r="15" spans="1:29" ht="20.100000000000001" customHeight="1" x14ac:dyDescent="0.25">
      <c r="A15" s="118"/>
      <c r="B15" s="18"/>
      <c r="C15" s="12"/>
      <c r="D15" s="13"/>
      <c r="E15" s="33"/>
      <c r="F15" s="62"/>
      <c r="G15" s="68"/>
      <c r="H15" s="31"/>
      <c r="I15" s="61"/>
      <c r="J15" s="61"/>
      <c r="K15" s="32"/>
      <c r="M15" s="284" t="s">
        <v>72</v>
      </c>
      <c r="N15" s="36" t="s">
        <v>73</v>
      </c>
      <c r="O15" s="126">
        <v>45572</v>
      </c>
      <c r="P15" s="12">
        <v>45572</v>
      </c>
      <c r="Q15" s="30">
        <v>10</v>
      </c>
      <c r="R15" s="33">
        <v>1270</v>
      </c>
      <c r="S15" s="77">
        <v>1280</v>
      </c>
      <c r="T15" s="55">
        <f>Акции_продажа[[#This Row],[Дата продажи]]-Акции_продажа[[#This Row],[Дата покупки]]</f>
        <v>0</v>
      </c>
      <c r="U15" s="34">
        <f>(Акции_продажа[[#This Row],[Стоимость продажи]]*Акции_продажа[[#This Row],[Количество акций]])-(Акции_продажа[[#This Row],[Стоимость покуки]]*Акции_продажа[[#This Row],[Количество акций]])</f>
        <v>100</v>
      </c>
      <c r="V15" s="53">
        <f>Акции_продажа[[#This Row],[Доход, ₽]]/(Акции_продажа[[#This Row],[Стоимость покуки]]*Акции_продажа[[#This Row],[Количество акций]])</f>
        <v>7.874015748031496E-3</v>
      </c>
      <c r="Y15" s="74">
        <v>45583</v>
      </c>
      <c r="Z15" s="67">
        <v>6899</v>
      </c>
      <c r="AA15" s="67">
        <v>-100</v>
      </c>
      <c r="AB15" s="67">
        <v>7000</v>
      </c>
      <c r="AC15" s="67">
        <v>1250</v>
      </c>
    </row>
    <row r="16" spans="1:29" ht="20.100000000000001" customHeight="1" x14ac:dyDescent="0.25">
      <c r="A16" s="118"/>
      <c r="B16" s="18"/>
      <c r="C16" s="12"/>
      <c r="D16" s="13"/>
      <c r="E16" s="33"/>
      <c r="F16" s="62"/>
      <c r="G16" s="68"/>
      <c r="H16" s="31"/>
      <c r="I16" s="61"/>
      <c r="J16" s="61"/>
      <c r="K16" s="32"/>
      <c r="M16" s="284" t="s">
        <v>136</v>
      </c>
      <c r="N16" s="36" t="s">
        <v>39</v>
      </c>
      <c r="O16" s="126">
        <v>45581</v>
      </c>
      <c r="P16" s="12">
        <v>45610</v>
      </c>
      <c r="Q16" s="13">
        <v>3</v>
      </c>
      <c r="R16" s="33">
        <v>0.01</v>
      </c>
      <c r="S16" s="77">
        <v>255.31</v>
      </c>
      <c r="T16" s="55">
        <f>Акции_продажа[[#This Row],[Дата продажи]]-Акции_продажа[[#This Row],[Дата покупки]]</f>
        <v>29</v>
      </c>
      <c r="U16" s="34">
        <f>(Акции_продажа[[#This Row],[Стоимость продажи]]*Акции_продажа[[#This Row],[Количество акций]])-(Акции_продажа[[#This Row],[Стоимость покуки]]*Акции_продажа[[#This Row],[Количество акций]])</f>
        <v>765.90000000000009</v>
      </c>
      <c r="V16" s="53">
        <v>0</v>
      </c>
      <c r="Y16" s="74">
        <v>45586</v>
      </c>
      <c r="Z16" s="67">
        <v>10844.05</v>
      </c>
      <c r="AA16" s="67">
        <v>-154.4</v>
      </c>
      <c r="AB16" s="67">
        <v>11000</v>
      </c>
      <c r="AC16" s="67">
        <v>5248.45</v>
      </c>
    </row>
    <row r="17" spans="1:29" ht="20.100000000000001" customHeight="1" x14ac:dyDescent="0.25">
      <c r="A17" s="118"/>
      <c r="B17" s="18"/>
      <c r="C17" s="12"/>
      <c r="D17" s="13"/>
      <c r="E17" s="33"/>
      <c r="F17" s="62"/>
      <c r="G17" s="68"/>
      <c r="H17" s="31"/>
      <c r="I17" s="61"/>
      <c r="J17" s="61"/>
      <c r="K17" s="32"/>
      <c r="M17" s="284" t="s">
        <v>68</v>
      </c>
      <c r="N17" s="162" t="s">
        <v>64</v>
      </c>
      <c r="O17" s="126">
        <v>45590</v>
      </c>
      <c r="P17" s="12">
        <v>45611</v>
      </c>
      <c r="Q17" s="13">
        <v>756</v>
      </c>
      <c r="R17" s="283">
        <v>14.0375</v>
      </c>
      <c r="S17" s="282">
        <v>14.1745</v>
      </c>
      <c r="T17" s="56">
        <f>Акции_продажа[[#This Row],[Дата продажи]]-Акции_продажа[[#This Row],[Дата покупки]]</f>
        <v>21</v>
      </c>
      <c r="U17" s="34">
        <f>(Акции_продажа[[#This Row],[Стоимость продажи]]*Акции_продажа[[#This Row],[Количество акций]])-(Акции_продажа[[#This Row],[Стоимость покуки]]*Акции_продажа[[#This Row],[Количество акций]])</f>
        <v>103.57200000000012</v>
      </c>
      <c r="V17" s="25">
        <f>Акции_продажа[[#This Row],[Доход, ₽]]/(Акции_продажа[[#This Row],[Стоимость покуки]]*Акции_продажа[[#This Row],[Количество акций]])</f>
        <v>9.7595725734639458E-3</v>
      </c>
      <c r="Y17" s="74">
        <v>45587</v>
      </c>
      <c r="Z17" s="80">
        <v>10718.45</v>
      </c>
      <c r="AA17" s="285">
        <v>-280</v>
      </c>
      <c r="AB17" s="80">
        <v>11000</v>
      </c>
      <c r="AC17" s="67">
        <v>3781.45</v>
      </c>
    </row>
    <row r="18" spans="1:29" ht="20.100000000000001" customHeight="1" x14ac:dyDescent="0.25">
      <c r="A18" s="118"/>
      <c r="B18" s="18"/>
      <c r="C18" s="12"/>
      <c r="D18" s="13"/>
      <c r="E18" s="33"/>
      <c r="F18" s="62"/>
      <c r="G18" s="68"/>
      <c r="H18" s="31"/>
      <c r="I18" s="61"/>
      <c r="J18" s="61"/>
      <c r="K18" s="32"/>
      <c r="M18" s="284" t="s">
        <v>139</v>
      </c>
      <c r="N18" s="36" t="s">
        <v>137</v>
      </c>
      <c r="O18" s="126">
        <v>45615</v>
      </c>
      <c r="P18" s="12">
        <v>45615</v>
      </c>
      <c r="Q18" s="13">
        <v>5</v>
      </c>
      <c r="R18" s="33">
        <v>1220</v>
      </c>
      <c r="S18" s="77">
        <v>1213</v>
      </c>
      <c r="T18" s="56">
        <f>Акции_продажа[[#This Row],[Дата продажи]]-Акции_продажа[[#This Row],[Дата покупки]]</f>
        <v>0</v>
      </c>
      <c r="U18" s="34">
        <f>(Акции_продажа[[#This Row],[Стоимость продажи]]*Акции_продажа[[#This Row],[Количество акций]])-(Акции_продажа[[#This Row],[Стоимость покуки]]*Акции_продажа[[#This Row],[Количество акций]])</f>
        <v>-35</v>
      </c>
      <c r="V18" s="25">
        <f>Акции_продажа[[#This Row],[Доход, ₽]]/(Акции_продажа[[#This Row],[Стоимость покуки]]*Акции_продажа[[#This Row],[Количество акций]])</f>
        <v>-5.7377049180327867E-3</v>
      </c>
      <c r="Y18" s="74">
        <v>45588</v>
      </c>
      <c r="Z18" s="80">
        <v>10685.95</v>
      </c>
      <c r="AA18" s="285">
        <v>-312.5</v>
      </c>
      <c r="AB18" s="80">
        <v>11000</v>
      </c>
      <c r="AC18" s="67">
        <v>3781.45</v>
      </c>
    </row>
    <row r="19" spans="1:29" ht="20.100000000000001" customHeight="1" x14ac:dyDescent="0.25">
      <c r="A19" s="118"/>
      <c r="B19" s="18"/>
      <c r="C19" s="12"/>
      <c r="D19" s="13"/>
      <c r="E19" s="33"/>
      <c r="F19" s="62"/>
      <c r="G19" s="68"/>
      <c r="H19" s="31"/>
      <c r="I19" s="61"/>
      <c r="J19" s="61"/>
      <c r="K19" s="32"/>
      <c r="M19" s="284" t="s">
        <v>139</v>
      </c>
      <c r="N19" s="36" t="s">
        <v>137</v>
      </c>
      <c r="O19" s="126">
        <v>45615</v>
      </c>
      <c r="P19" s="12">
        <v>45615</v>
      </c>
      <c r="Q19" s="13">
        <v>31</v>
      </c>
      <c r="R19" s="33">
        <v>1205</v>
      </c>
      <c r="S19" s="77">
        <v>1213.5</v>
      </c>
      <c r="T19" s="56">
        <f>Акции_продажа[[#This Row],[Дата продажи]]-Акции_продажа[[#This Row],[Дата покупки]]</f>
        <v>0</v>
      </c>
      <c r="U19" s="34">
        <f>(Акции_продажа[[#This Row],[Стоимость продажи]]*Акции_продажа[[#This Row],[Количество акций]])-(Акции_продажа[[#This Row],[Стоимость покуки]]*Акции_продажа[[#This Row],[Количество акций]])</f>
        <v>263.5</v>
      </c>
      <c r="V19" s="25">
        <f>Акции_продажа[[#This Row],[Доход, ₽]]/(Акции_продажа[[#This Row],[Стоимость покуки]]*Акции_продажа[[#This Row],[Количество акций]])</f>
        <v>7.053941908713693E-3</v>
      </c>
      <c r="Y19" s="74">
        <v>45589</v>
      </c>
      <c r="Z19" s="67">
        <v>10628.24</v>
      </c>
      <c r="AA19" s="67">
        <v>-371.76</v>
      </c>
      <c r="AB19" s="80">
        <v>11000</v>
      </c>
      <c r="AC19" s="67">
        <v>10628.24</v>
      </c>
    </row>
    <row r="20" spans="1:29" ht="20.100000000000001" customHeight="1" x14ac:dyDescent="0.25">
      <c r="A20" s="120"/>
      <c r="B20" s="18"/>
      <c r="C20" s="12"/>
      <c r="D20" s="13"/>
      <c r="E20" s="33"/>
      <c r="F20" s="62"/>
      <c r="G20" s="68"/>
      <c r="H20" s="31"/>
      <c r="I20" s="61"/>
      <c r="J20" s="61"/>
      <c r="K20" s="32"/>
      <c r="M20" s="284" t="s">
        <v>140</v>
      </c>
      <c r="N20" s="36" t="s">
        <v>141</v>
      </c>
      <c r="O20" s="126">
        <v>45617</v>
      </c>
      <c r="P20" s="12">
        <v>45617</v>
      </c>
      <c r="Q20" s="13">
        <v>400</v>
      </c>
      <c r="R20" s="33">
        <v>97.45</v>
      </c>
      <c r="S20" s="77">
        <v>97.25</v>
      </c>
      <c r="T20" s="56">
        <f>Акции_продажа[[#This Row],[Дата продажи]]-Акции_продажа[[#This Row],[Дата покупки]]</f>
        <v>0</v>
      </c>
      <c r="U20" s="34">
        <f>(Акции_продажа[[#This Row],[Стоимость продажи]]*Акции_продажа[[#This Row],[Количество акций]])-(Акции_продажа[[#This Row],[Стоимость покуки]]*Акции_продажа[[#This Row],[Количество акций]])</f>
        <v>-80</v>
      </c>
      <c r="V20" s="25">
        <f>Акции_продажа[[#This Row],[Доход, ₽]]/(Акции_продажа[[#This Row],[Стоимость покуки]]*Акции_продажа[[#This Row],[Количество акций]])</f>
        <v>-2.052334530528476E-3</v>
      </c>
      <c r="Y20" s="81">
        <v>45590</v>
      </c>
      <c r="Z20" s="82">
        <v>10624.919</v>
      </c>
      <c r="AA20" s="82">
        <v>-375.08100000000013</v>
      </c>
      <c r="AB20" s="82">
        <v>11000</v>
      </c>
      <c r="AC20" s="82">
        <v>736.33</v>
      </c>
    </row>
    <row r="21" spans="1:29" ht="20.100000000000001" customHeight="1" x14ac:dyDescent="0.25">
      <c r="B21" s="18"/>
      <c r="C21" s="12"/>
      <c r="D21" s="13"/>
      <c r="E21" s="33"/>
      <c r="F21" s="62"/>
      <c r="G21" s="68"/>
      <c r="H21" s="31"/>
      <c r="I21" s="61"/>
      <c r="J21" s="61"/>
      <c r="K21" s="32"/>
      <c r="M21" s="284" t="s">
        <v>140</v>
      </c>
      <c r="N21" s="36" t="s">
        <v>141</v>
      </c>
      <c r="O21" s="126">
        <v>45617</v>
      </c>
      <c r="P21" s="126">
        <v>45617</v>
      </c>
      <c r="Q21" s="13">
        <v>390</v>
      </c>
      <c r="R21" s="33">
        <v>96.75</v>
      </c>
      <c r="S21" s="77">
        <v>97.711500000000001</v>
      </c>
      <c r="T21" s="56">
        <f>Акции_продажа[[#This Row],[Дата продажи]]-Акции_продажа[[#This Row],[Дата покупки]]</f>
        <v>0</v>
      </c>
      <c r="U21" s="34">
        <f>(Акции_продажа[[#This Row],[Стоимость продажи]]*Акции_продажа[[#This Row],[Количество акций]])-(Акции_продажа[[#This Row],[Стоимость покуки]]*Акции_продажа[[#This Row],[Количество акций]])</f>
        <v>374.98500000000058</v>
      </c>
      <c r="V21" s="25">
        <f>Акции_продажа[[#This Row],[Доход, ₽]]/(Акции_продажа[[#This Row],[Стоимость покуки]]*Акции_продажа[[#This Row],[Количество акций]])</f>
        <v>9.9379844961240468E-3</v>
      </c>
      <c r="Y21" s="81">
        <v>45593</v>
      </c>
      <c r="Z21" s="82">
        <v>10630.566999999999</v>
      </c>
      <c r="AA21" s="82">
        <v>-369.4330000000009</v>
      </c>
      <c r="AB21" s="82">
        <v>11000</v>
      </c>
      <c r="AC21" s="82">
        <v>736.33</v>
      </c>
    </row>
    <row r="22" spans="1:29" ht="20.100000000000001" customHeight="1" x14ac:dyDescent="0.25">
      <c r="A22" s="118"/>
      <c r="B22" s="18"/>
      <c r="C22" s="12"/>
      <c r="D22" s="13"/>
      <c r="E22" s="33"/>
      <c r="F22" s="62"/>
      <c r="G22" s="68"/>
      <c r="H22" s="31"/>
      <c r="I22" s="61"/>
      <c r="J22" s="61"/>
      <c r="K22" s="32"/>
      <c r="M22" s="284" t="s">
        <v>142</v>
      </c>
      <c r="N22" s="36" t="s">
        <v>143</v>
      </c>
      <c r="O22" s="126">
        <v>45617</v>
      </c>
      <c r="P22" s="126">
        <v>45617</v>
      </c>
      <c r="Q22" s="13">
        <v>30000</v>
      </c>
      <c r="R22" s="287">
        <v>1.369</v>
      </c>
      <c r="S22" s="288">
        <v>1.288</v>
      </c>
      <c r="T22" s="56">
        <f>Акции_продажа[[#This Row],[Дата продажи]]-Акции_продажа[[#This Row],[Дата покупки]]</f>
        <v>0</v>
      </c>
      <c r="U22" s="34">
        <f>(Акции_продажа[[#This Row],[Стоимость продажи]]*Акции_продажа[[#This Row],[Количество акций]])-(Акции_продажа[[#This Row],[Стоимость покуки]]*Акции_продажа[[#This Row],[Количество акций]])</f>
        <v>-2430</v>
      </c>
      <c r="V22" s="25">
        <f>Акции_продажа[[#This Row],[Доход, ₽]]/(Акции_продажа[[#This Row],[Стоимость покуки]]*Акции_продажа[[#This Row],[Количество акций]])</f>
        <v>-5.9167275383491598E-2</v>
      </c>
      <c r="Y22" s="81">
        <v>45594</v>
      </c>
      <c r="Z22" s="82">
        <v>10636.215</v>
      </c>
      <c r="AA22" s="82">
        <v>-363.78499999999985</v>
      </c>
      <c r="AB22" s="82">
        <v>11000</v>
      </c>
      <c r="AC22" s="82">
        <v>736.33</v>
      </c>
    </row>
    <row r="23" spans="1:29" ht="20.100000000000001" customHeight="1" x14ac:dyDescent="0.25">
      <c r="A23" s="120"/>
      <c r="B23" s="18"/>
      <c r="C23" s="12"/>
      <c r="D23" s="13"/>
      <c r="E23" s="33"/>
      <c r="F23" s="62"/>
      <c r="G23" s="68"/>
      <c r="H23" s="31"/>
      <c r="I23" s="61"/>
      <c r="J23" s="61"/>
      <c r="K23" s="32"/>
      <c r="M23" s="284" t="s">
        <v>148</v>
      </c>
      <c r="N23" s="28" t="s">
        <v>144</v>
      </c>
      <c r="O23" s="126">
        <v>45618</v>
      </c>
      <c r="P23" s="12">
        <v>45625</v>
      </c>
      <c r="Q23" s="13">
        <v>5</v>
      </c>
      <c r="R23" s="33">
        <v>2583.65</v>
      </c>
      <c r="S23" s="77">
        <v>2395</v>
      </c>
      <c r="T23" s="56">
        <f>Акции_продажа[[#This Row],[Дата продажи]]-Акции_продажа[[#This Row],[Дата покупки]]</f>
        <v>7</v>
      </c>
      <c r="U23" s="34">
        <f>(Акции_продажа[[#This Row],[Стоимость продажи]]*Акции_продажа[[#This Row],[Количество акций]])-(Акции_продажа[[#This Row],[Стоимость покуки]]*Акции_продажа[[#This Row],[Количество акций]])</f>
        <v>-943.25</v>
      </c>
      <c r="V23" s="25">
        <f>Акции_продажа[[#This Row],[Доход, ₽]]/(Акции_продажа[[#This Row],[Стоимость покуки]]*Акции_продажа[[#This Row],[Количество акций]])</f>
        <v>-7.3016855998296978E-2</v>
      </c>
      <c r="Y23" s="81">
        <v>45595</v>
      </c>
      <c r="Z23" s="82">
        <v>10641.51</v>
      </c>
      <c r="AA23" s="82">
        <v>-358.48999999999978</v>
      </c>
      <c r="AB23" s="82">
        <v>11000</v>
      </c>
      <c r="AC23" s="82">
        <v>736.33</v>
      </c>
    </row>
    <row r="24" spans="1:29" ht="20.100000000000001" customHeight="1" x14ac:dyDescent="0.25">
      <c r="B24" s="18"/>
      <c r="C24" s="12"/>
      <c r="D24" s="13"/>
      <c r="E24" s="33"/>
      <c r="F24" s="62"/>
      <c r="G24" s="68"/>
      <c r="H24" s="31"/>
      <c r="I24" s="61"/>
      <c r="J24" s="61"/>
      <c r="K24" s="32"/>
      <c r="M24" s="284" t="s">
        <v>149</v>
      </c>
      <c r="N24" s="36" t="s">
        <v>150</v>
      </c>
      <c r="O24" s="126">
        <v>45625</v>
      </c>
      <c r="P24" s="12">
        <v>45625</v>
      </c>
      <c r="Q24" s="13">
        <v>200</v>
      </c>
      <c r="R24" s="33">
        <v>84</v>
      </c>
      <c r="S24" s="77">
        <v>86.67</v>
      </c>
      <c r="T24" s="56">
        <f>Акции_продажа[[#This Row],[Дата продажи]]-Акции_продажа[[#This Row],[Дата покупки]]</f>
        <v>0</v>
      </c>
      <c r="U24" s="34">
        <f>(Акции_продажа[[#This Row],[Стоимость продажи]]*Акции_продажа[[#This Row],[Количество акций]])-(Акции_продажа[[#This Row],[Стоимость покуки]]*Акции_продажа[[#This Row],[Количество акций]])</f>
        <v>534</v>
      </c>
      <c r="V24" s="25">
        <f>Акции_продажа[[#This Row],[Доход, ₽]]/(Акции_продажа[[#This Row],[Стоимость покуки]]*Акции_продажа[[#This Row],[Количество акций]])</f>
        <v>3.1785714285714285E-2</v>
      </c>
      <c r="Y24" s="81">
        <v>45596</v>
      </c>
      <c r="Z24" s="82">
        <v>10643.62</v>
      </c>
      <c r="AA24" s="82">
        <v>-356.3799999999992</v>
      </c>
      <c r="AB24" s="82">
        <v>11000</v>
      </c>
      <c r="AC24" s="82">
        <v>31.27</v>
      </c>
    </row>
    <row r="25" spans="1:29" ht="20.100000000000001" customHeight="1" x14ac:dyDescent="0.25">
      <c r="A25" s="120"/>
      <c r="B25" s="18"/>
      <c r="C25" s="12"/>
      <c r="D25" s="13"/>
      <c r="E25" s="33"/>
      <c r="F25" s="62"/>
      <c r="G25" s="68"/>
      <c r="H25" s="31"/>
      <c r="I25" s="61"/>
      <c r="J25" s="61"/>
      <c r="K25" s="32"/>
      <c r="M25" s="284" t="s">
        <v>145</v>
      </c>
      <c r="N25" s="293" t="s">
        <v>146</v>
      </c>
      <c r="O25" s="126">
        <v>45621</v>
      </c>
      <c r="P25" s="12">
        <v>45630</v>
      </c>
      <c r="Q25" s="13">
        <v>820</v>
      </c>
      <c r="R25" s="33">
        <v>15.79</v>
      </c>
      <c r="S25" s="77">
        <v>15.34</v>
      </c>
      <c r="T25" s="56">
        <f>Акции_продажа[[#This Row],[Дата продажи]]-Акции_продажа[[#This Row],[Дата покупки]]</f>
        <v>9</v>
      </c>
      <c r="U25" s="34">
        <f>(Акции_продажа[[#This Row],[Стоимость продажи]]*Акции_продажа[[#This Row],[Количество акций]])-(Акции_продажа[[#This Row],[Стоимость покуки]]*Акции_продажа[[#This Row],[Количество акций]])</f>
        <v>-369</v>
      </c>
      <c r="V25" s="25">
        <f>Акции_продажа[[#This Row],[Доход, ₽]]/(Акции_продажа[[#This Row],[Стоимость покуки]]*Акции_продажа[[#This Row],[Количество акций]])</f>
        <v>-2.8499050031665613E-2</v>
      </c>
      <c r="Y25" s="81">
        <v>45597</v>
      </c>
      <c r="Z25" s="82">
        <v>10650.424000000001</v>
      </c>
      <c r="AA25" s="82">
        <v>-349.57599999999911</v>
      </c>
      <c r="AB25" s="82">
        <v>11000</v>
      </c>
      <c r="AC25" s="82">
        <v>31.27</v>
      </c>
    </row>
    <row r="26" spans="1:29" ht="20.100000000000001" customHeight="1" x14ac:dyDescent="0.25">
      <c r="A26" s="121"/>
      <c r="B26" s="36"/>
      <c r="C26" s="12"/>
      <c r="D26" s="13"/>
      <c r="E26" s="33"/>
      <c r="F26" s="62"/>
      <c r="G26" s="68"/>
      <c r="H26" s="31"/>
      <c r="I26" s="61"/>
      <c r="J26" s="61"/>
      <c r="K26" s="32"/>
      <c r="M26" s="284" t="s">
        <v>153</v>
      </c>
      <c r="N26" s="36" t="s">
        <v>154</v>
      </c>
      <c r="O26" s="126">
        <v>45644</v>
      </c>
      <c r="P26" s="12">
        <v>45644</v>
      </c>
      <c r="Q26" s="13">
        <v>100</v>
      </c>
      <c r="R26" s="33">
        <v>112.99</v>
      </c>
      <c r="S26" s="77">
        <v>110</v>
      </c>
      <c r="T26" s="56">
        <f>Акции_продажа[[#This Row],[Дата продажи]]-Акции_продажа[[#This Row],[Дата покупки]]</f>
        <v>0</v>
      </c>
      <c r="U26" s="34">
        <f>(Акции_продажа[[#This Row],[Стоимость продажи]]*Акции_продажа[[#This Row],[Количество акций]])-(Акции_продажа[[#This Row],[Стоимость покуки]]*Акции_продажа[[#This Row],[Количество акций]])</f>
        <v>-299</v>
      </c>
      <c r="V26" s="25">
        <f>Акции_продажа[[#This Row],[Доход, ₽]]/(Акции_продажа[[#This Row],[Стоимость покуки]]*Акции_продажа[[#This Row],[Количество акций]])</f>
        <v>-2.6462518806974068E-2</v>
      </c>
      <c r="Y26" s="81">
        <v>45598</v>
      </c>
      <c r="Z26" s="82">
        <v>10667.812</v>
      </c>
      <c r="AA26" s="82">
        <v>-332.1880000000001</v>
      </c>
      <c r="AB26" s="82">
        <v>11000</v>
      </c>
      <c r="AC26" s="82">
        <v>31.27</v>
      </c>
    </row>
    <row r="27" spans="1:29" ht="20.100000000000001" customHeight="1" x14ac:dyDescent="0.25">
      <c r="A27" s="117"/>
      <c r="B27" s="36"/>
      <c r="C27" s="12"/>
      <c r="D27" s="13"/>
      <c r="E27" s="33"/>
      <c r="F27" s="62"/>
      <c r="G27" s="68"/>
      <c r="H27" s="31"/>
      <c r="I27" s="61"/>
      <c r="J27" s="61"/>
      <c r="K27" s="32"/>
      <c r="M27" s="284"/>
      <c r="N27" s="36"/>
      <c r="O27" s="36"/>
      <c r="P27" s="37"/>
      <c r="Q27" s="13"/>
      <c r="R27" s="14"/>
      <c r="S27" s="51"/>
      <c r="T27" s="56"/>
      <c r="U27" s="34"/>
      <c r="V27" s="25"/>
      <c r="Y27" s="81">
        <v>45601</v>
      </c>
      <c r="Z27" s="82">
        <v>10674.237999999999</v>
      </c>
      <c r="AA27" s="82">
        <v>-325.76200000000063</v>
      </c>
      <c r="AB27" s="82">
        <v>11000</v>
      </c>
      <c r="AC27" s="82">
        <v>31.27</v>
      </c>
    </row>
    <row r="28" spans="1:29" ht="20.100000000000001" customHeight="1" x14ac:dyDescent="0.25">
      <c r="A28" s="121"/>
      <c r="B28" s="36"/>
      <c r="C28" s="12"/>
      <c r="D28" s="13"/>
      <c r="E28" s="33"/>
      <c r="F28" s="62"/>
      <c r="G28" s="68"/>
      <c r="H28" s="31"/>
      <c r="I28" s="61"/>
      <c r="J28" s="61"/>
      <c r="K28" s="32"/>
      <c r="M28" s="284"/>
      <c r="N28" s="36"/>
      <c r="O28" s="36"/>
      <c r="P28" s="37"/>
      <c r="Q28" s="13"/>
      <c r="R28" s="14"/>
      <c r="S28" s="51"/>
      <c r="T28" s="56"/>
      <c r="U28" s="34"/>
      <c r="V28" s="25"/>
      <c r="Y28" s="81">
        <v>45603</v>
      </c>
      <c r="Z28" s="82">
        <v>10767.572</v>
      </c>
      <c r="AA28" s="82">
        <v>-232.42799999999988</v>
      </c>
      <c r="AB28" s="82">
        <v>11000</v>
      </c>
      <c r="AC28" s="82">
        <v>112.13</v>
      </c>
    </row>
    <row r="29" spans="1:29" ht="20.100000000000001" customHeight="1" x14ac:dyDescent="0.25">
      <c r="A29" s="117"/>
      <c r="B29" s="122"/>
      <c r="C29" s="12"/>
      <c r="D29" s="13"/>
      <c r="E29" s="33"/>
      <c r="F29" s="62"/>
      <c r="G29" s="68"/>
      <c r="H29" s="31"/>
      <c r="I29" s="61"/>
      <c r="J29" s="61"/>
      <c r="K29" s="32"/>
      <c r="M29" s="284"/>
      <c r="N29" s="36"/>
      <c r="O29" s="36"/>
      <c r="P29" s="37"/>
      <c r="Q29" s="13"/>
      <c r="R29" s="14"/>
      <c r="S29" s="51"/>
      <c r="T29" s="56"/>
      <c r="U29" s="34"/>
      <c r="V29" s="25"/>
      <c r="Y29" s="81">
        <v>45604</v>
      </c>
      <c r="Z29" s="82">
        <v>10786.472</v>
      </c>
      <c r="AA29" s="82">
        <v>-213.52800000000025</v>
      </c>
      <c r="AB29" s="82">
        <v>11000</v>
      </c>
      <c r="AC29" s="82">
        <v>112.13</v>
      </c>
    </row>
    <row r="30" spans="1:29" ht="20.100000000000001" customHeight="1" x14ac:dyDescent="0.25">
      <c r="A30" s="116"/>
      <c r="B30" s="36"/>
      <c r="C30" s="12"/>
      <c r="D30" s="13"/>
      <c r="E30" s="33"/>
      <c r="F30" s="62"/>
      <c r="G30" s="68"/>
      <c r="H30" s="31"/>
      <c r="I30" s="61"/>
      <c r="J30" s="61"/>
      <c r="K30" s="32"/>
      <c r="M30" s="284"/>
      <c r="N30" s="36"/>
      <c r="O30" s="36"/>
      <c r="P30" s="37"/>
      <c r="Q30" s="13"/>
      <c r="R30" s="14"/>
      <c r="S30" s="51"/>
      <c r="T30" s="56"/>
      <c r="U30" s="34"/>
      <c r="V30" s="25"/>
      <c r="Y30" s="81">
        <v>45607</v>
      </c>
      <c r="Z30" s="82">
        <v>10792.142</v>
      </c>
      <c r="AA30" s="82">
        <v>-207.85800000000017</v>
      </c>
      <c r="AB30" s="82">
        <v>11000</v>
      </c>
      <c r="AC30" s="82">
        <v>112.13</v>
      </c>
    </row>
    <row r="31" spans="1:29" ht="20.100000000000001" customHeight="1" x14ac:dyDescent="0.25">
      <c r="A31" s="116"/>
      <c r="B31" s="36"/>
      <c r="C31" s="12"/>
      <c r="D31" s="13"/>
      <c r="E31" s="33"/>
      <c r="F31" s="62"/>
      <c r="G31" s="68"/>
      <c r="H31" s="31"/>
      <c r="I31" s="61"/>
      <c r="J31" s="61"/>
      <c r="K31" s="32"/>
      <c r="M31" s="284"/>
      <c r="N31" s="36"/>
      <c r="O31" s="36"/>
      <c r="P31" s="37"/>
      <c r="Q31" s="13"/>
      <c r="R31" s="14"/>
      <c r="S31" s="51"/>
      <c r="T31" s="56"/>
      <c r="U31" s="34"/>
      <c r="V31" s="25"/>
      <c r="Y31" s="81">
        <v>45608</v>
      </c>
      <c r="Z31" s="82">
        <v>10798.189999999999</v>
      </c>
      <c r="AA31" s="82">
        <v>-201.81000000000131</v>
      </c>
      <c r="AB31" s="82">
        <v>11000</v>
      </c>
      <c r="AC31" s="82">
        <v>112.13</v>
      </c>
    </row>
    <row r="32" spans="1:29" ht="20.100000000000001" customHeight="1" x14ac:dyDescent="0.25">
      <c r="A32" s="116"/>
      <c r="B32" s="36"/>
      <c r="C32" s="12"/>
      <c r="D32" s="13"/>
      <c r="E32" s="33"/>
      <c r="F32" s="62"/>
      <c r="G32" s="68"/>
      <c r="H32" s="31"/>
      <c r="I32" s="61"/>
      <c r="J32" s="61"/>
      <c r="K32" s="32"/>
      <c r="L32" s="3"/>
      <c r="M32" s="286"/>
      <c r="N32" s="38"/>
      <c r="O32" s="38"/>
      <c r="P32" s="37"/>
      <c r="Q32" s="13"/>
      <c r="R32" s="14"/>
      <c r="S32" s="51"/>
      <c r="T32" s="56"/>
      <c r="U32" s="34"/>
      <c r="V32" s="25"/>
      <c r="Y32" s="81">
        <v>45609</v>
      </c>
      <c r="Z32" s="82">
        <v>10803.859999999999</v>
      </c>
      <c r="AA32" s="82">
        <v>-196.14000000000124</v>
      </c>
      <c r="AB32" s="82">
        <v>11000</v>
      </c>
      <c r="AC32" s="82">
        <v>112.13</v>
      </c>
    </row>
    <row r="33" spans="1:29" ht="20.100000000000001" customHeight="1" x14ac:dyDescent="0.25">
      <c r="A33" s="116"/>
      <c r="B33" s="36"/>
      <c r="C33" s="12"/>
      <c r="D33" s="13"/>
      <c r="E33" s="33"/>
      <c r="F33" s="62"/>
      <c r="G33" s="68"/>
      <c r="H33" s="31"/>
      <c r="I33" s="61"/>
      <c r="J33" s="61"/>
      <c r="K33" s="32"/>
      <c r="M33" s="284"/>
      <c r="N33" s="36"/>
      <c r="O33" s="36"/>
      <c r="P33" s="37"/>
      <c r="Q33" s="13"/>
      <c r="R33" s="14"/>
      <c r="S33" s="51"/>
      <c r="T33" s="56"/>
      <c r="U33" s="34"/>
      <c r="V33" s="25"/>
      <c r="Y33" s="81">
        <v>45610</v>
      </c>
      <c r="Z33" s="82">
        <v>11576.186</v>
      </c>
      <c r="AA33" s="82">
        <v>576.18599999999969</v>
      </c>
      <c r="AB33" s="82">
        <v>11000</v>
      </c>
      <c r="AC33" s="82">
        <v>878.03</v>
      </c>
    </row>
    <row r="34" spans="1:29" ht="20.100000000000001" customHeight="1" x14ac:dyDescent="0.25">
      <c r="A34" s="116"/>
      <c r="B34" s="36"/>
      <c r="C34" s="12"/>
      <c r="D34" s="13"/>
      <c r="E34" s="33"/>
      <c r="F34" s="62"/>
      <c r="G34" s="68"/>
      <c r="H34" s="31"/>
      <c r="I34" s="61"/>
      <c r="J34" s="61"/>
      <c r="K34" s="32"/>
      <c r="M34" s="284"/>
      <c r="N34" s="36"/>
      <c r="O34" s="36"/>
      <c r="P34" s="37"/>
      <c r="Q34" s="13"/>
      <c r="R34" s="14"/>
      <c r="S34" s="51"/>
      <c r="T34" s="56"/>
      <c r="U34" s="34"/>
      <c r="V34" s="25"/>
      <c r="Y34" s="81">
        <v>45611</v>
      </c>
      <c r="Z34" s="82">
        <v>15590.73</v>
      </c>
      <c r="AA34" s="82">
        <v>590.72999999999956</v>
      </c>
      <c r="AB34" s="82">
        <v>15000</v>
      </c>
      <c r="AC34" s="82">
        <v>15590.73</v>
      </c>
    </row>
    <row r="35" spans="1:29" ht="20.100000000000001" customHeight="1" x14ac:dyDescent="0.25">
      <c r="A35" s="121"/>
      <c r="B35" s="36"/>
      <c r="C35" s="12"/>
      <c r="D35" s="13"/>
      <c r="E35" s="33"/>
      <c r="F35" s="62"/>
      <c r="G35" s="68"/>
      <c r="H35" s="31"/>
      <c r="I35" s="61"/>
      <c r="J35" s="61"/>
      <c r="K35" s="32"/>
      <c r="M35" s="284"/>
      <c r="N35" s="36"/>
      <c r="O35" s="36"/>
      <c r="P35" s="37"/>
      <c r="Q35" s="13"/>
      <c r="R35" s="14"/>
      <c r="S35" s="51"/>
      <c r="T35" s="56"/>
      <c r="U35" s="34"/>
      <c r="V35" s="25"/>
      <c r="Y35" s="81">
        <v>45615</v>
      </c>
      <c r="Z35" s="82">
        <v>15753.83</v>
      </c>
      <c r="AA35" s="82">
        <v>753.82999999999993</v>
      </c>
      <c r="AB35" s="82">
        <v>15000</v>
      </c>
      <c r="AC35" s="82">
        <v>15753.83</v>
      </c>
    </row>
    <row r="36" spans="1:29" ht="20.100000000000001" customHeight="1" x14ac:dyDescent="0.25">
      <c r="A36" s="121"/>
      <c r="B36" s="36"/>
      <c r="C36" s="12"/>
      <c r="D36" s="13"/>
      <c r="E36" s="33"/>
      <c r="F36" s="62"/>
      <c r="G36" s="68"/>
      <c r="H36" s="31"/>
      <c r="I36" s="61"/>
      <c r="J36" s="61"/>
      <c r="K36" s="32"/>
      <c r="M36" s="284"/>
      <c r="N36" s="36"/>
      <c r="O36" s="36"/>
      <c r="P36" s="37"/>
      <c r="Q36" s="13"/>
      <c r="R36" s="14"/>
      <c r="S36" s="51"/>
      <c r="T36" s="56"/>
      <c r="U36" s="34"/>
      <c r="V36" s="25"/>
      <c r="Y36" s="81">
        <v>45617</v>
      </c>
      <c r="Z36" s="82">
        <v>13430.07</v>
      </c>
      <c r="AA36" s="82">
        <v>-1569.9300000000003</v>
      </c>
      <c r="AB36" s="82">
        <v>15000</v>
      </c>
      <c r="AC36" s="82">
        <v>13430.07</v>
      </c>
    </row>
    <row r="37" spans="1:29" ht="20.100000000000001" customHeight="1" x14ac:dyDescent="0.25">
      <c r="A37" s="120"/>
      <c r="B37" s="18"/>
      <c r="C37" s="12"/>
      <c r="D37" s="13"/>
      <c r="E37" s="33"/>
      <c r="F37" s="62"/>
      <c r="G37" s="68"/>
      <c r="H37" s="31"/>
      <c r="I37" s="61"/>
      <c r="J37" s="61"/>
      <c r="K37" s="32"/>
      <c r="M37" s="284"/>
      <c r="N37" s="36"/>
      <c r="O37" s="36"/>
      <c r="P37" s="37"/>
      <c r="Q37" s="13"/>
      <c r="R37" s="14"/>
      <c r="S37" s="51"/>
      <c r="T37" s="56"/>
      <c r="U37" s="34"/>
      <c r="V37" s="25"/>
      <c r="Y37" s="81">
        <v>45618</v>
      </c>
      <c r="Z37" s="82">
        <v>12735.79</v>
      </c>
      <c r="AA37" s="82">
        <v>-2264.2099999999991</v>
      </c>
      <c r="AB37" s="82">
        <v>15000</v>
      </c>
      <c r="AC37" s="82">
        <v>511.79</v>
      </c>
    </row>
    <row r="38" spans="1:29" ht="20.100000000000001" customHeight="1" x14ac:dyDescent="0.25">
      <c r="A38" s="119"/>
      <c r="B38" s="18"/>
      <c r="C38" s="12"/>
      <c r="D38" s="13"/>
      <c r="E38" s="33"/>
      <c r="F38" s="62"/>
      <c r="G38" s="68"/>
      <c r="H38" s="31"/>
      <c r="I38" s="61"/>
      <c r="J38" s="61"/>
      <c r="K38" s="32"/>
      <c r="M38" s="284"/>
      <c r="N38" s="36"/>
      <c r="O38" s="36"/>
      <c r="P38" s="37"/>
      <c r="Q38" s="13"/>
      <c r="R38" s="14"/>
      <c r="S38" s="51"/>
      <c r="T38" s="56"/>
      <c r="U38" s="34"/>
      <c r="V38" s="25"/>
      <c r="Y38" s="81">
        <v>45621</v>
      </c>
      <c r="Z38" s="82">
        <v>12220.827000000001</v>
      </c>
      <c r="AA38" s="82">
        <v>-2779.1729999999989</v>
      </c>
      <c r="AB38" s="82">
        <v>15000</v>
      </c>
      <c r="AC38" s="82">
        <v>2.4500000000000002</v>
      </c>
    </row>
    <row r="39" spans="1:29" ht="20.100000000000001" customHeight="1" x14ac:dyDescent="0.25">
      <c r="B39" s="18"/>
      <c r="C39" s="12"/>
      <c r="D39" s="13"/>
      <c r="E39" s="33"/>
      <c r="F39" s="62"/>
      <c r="G39" s="68"/>
      <c r="H39" s="31"/>
      <c r="I39" s="61"/>
      <c r="J39" s="61"/>
      <c r="K39" s="32"/>
      <c r="M39" s="284"/>
      <c r="N39" s="36"/>
      <c r="O39" s="36"/>
      <c r="P39" s="37"/>
      <c r="Q39" s="13"/>
      <c r="R39" s="14"/>
      <c r="S39" s="51"/>
      <c r="T39" s="56"/>
      <c r="U39" s="34"/>
      <c r="V39" s="25"/>
      <c r="Y39" s="81">
        <v>45622</v>
      </c>
      <c r="Z39" s="82">
        <v>11883.95</v>
      </c>
      <c r="AA39" s="82">
        <v>-3116.0499999999993</v>
      </c>
      <c r="AB39" s="82">
        <v>15000</v>
      </c>
      <c r="AC39" s="82">
        <v>2.4500000000000002</v>
      </c>
    </row>
    <row r="40" spans="1:29" ht="20.100000000000001" customHeight="1" x14ac:dyDescent="0.25">
      <c r="A40" s="118"/>
      <c r="B40" s="18"/>
      <c r="C40" s="12"/>
      <c r="D40" s="13"/>
      <c r="E40" s="33"/>
      <c r="F40" s="62"/>
      <c r="G40" s="68"/>
      <c r="H40" s="31"/>
      <c r="I40" s="61"/>
      <c r="J40" s="61"/>
      <c r="K40" s="32"/>
      <c r="M40" s="284"/>
      <c r="N40" s="36"/>
      <c r="O40" s="36"/>
      <c r="P40" s="37"/>
      <c r="Q40" s="13"/>
      <c r="R40" s="14"/>
      <c r="S40" s="51"/>
      <c r="T40" s="56"/>
      <c r="U40" s="34"/>
      <c r="V40" s="25"/>
      <c r="Y40" s="81">
        <v>45623</v>
      </c>
      <c r="Z40" s="82">
        <v>12450.061000000002</v>
      </c>
      <c r="AA40" s="82">
        <v>-2549.9389999999985</v>
      </c>
      <c r="AB40" s="82">
        <v>15000</v>
      </c>
      <c r="AC40" s="82">
        <v>2.4500000000000002</v>
      </c>
    </row>
    <row r="41" spans="1:29" ht="20.100000000000001" customHeight="1" x14ac:dyDescent="0.25">
      <c r="A41" s="118"/>
      <c r="B41" s="18"/>
      <c r="C41" s="12"/>
      <c r="D41" s="13"/>
      <c r="E41" s="33"/>
      <c r="F41" s="62"/>
      <c r="G41" s="68"/>
      <c r="H41" s="31"/>
      <c r="I41" s="61"/>
      <c r="J41" s="61"/>
      <c r="K41" s="32"/>
      <c r="M41" s="284"/>
      <c r="N41" s="36"/>
      <c r="O41" s="36"/>
      <c r="P41" s="37"/>
      <c r="Q41" s="13"/>
      <c r="R41" s="14"/>
      <c r="S41" s="51"/>
      <c r="T41" s="56"/>
      <c r="U41" s="34"/>
      <c r="V41" s="25"/>
      <c r="Y41" s="81">
        <v>45624</v>
      </c>
      <c r="Z41" s="82">
        <v>12355.385</v>
      </c>
      <c r="AA41" s="82">
        <v>-2644.6149999999998</v>
      </c>
      <c r="AB41" s="82">
        <v>15000</v>
      </c>
      <c r="AC41" s="82">
        <v>2.4500000000000002</v>
      </c>
    </row>
    <row r="42" spans="1:29" ht="20.100000000000001" customHeight="1" x14ac:dyDescent="0.25">
      <c r="A42" s="118"/>
      <c r="B42" s="18"/>
      <c r="C42" s="12"/>
      <c r="D42" s="13"/>
      <c r="E42" s="33"/>
      <c r="F42" s="62"/>
      <c r="G42" s="68"/>
      <c r="H42" s="31"/>
      <c r="I42" s="61"/>
      <c r="J42" s="61"/>
      <c r="K42" s="32"/>
      <c r="M42" s="284"/>
      <c r="N42" s="36"/>
      <c r="O42" s="36"/>
      <c r="P42" s="37"/>
      <c r="Q42" s="13"/>
      <c r="R42" s="14"/>
      <c r="S42" s="51"/>
      <c r="T42" s="56"/>
      <c r="U42" s="34"/>
      <c r="V42" s="25"/>
      <c r="Y42" s="81">
        <v>45625</v>
      </c>
      <c r="Z42" s="82">
        <v>12861.819999999998</v>
      </c>
      <c r="AA42" s="82">
        <v>-2138.1800000000021</v>
      </c>
      <c r="AB42" s="82">
        <v>15000</v>
      </c>
      <c r="AC42" s="82">
        <v>29.64</v>
      </c>
    </row>
    <row r="43" spans="1:29" ht="20.100000000000001" customHeight="1" x14ac:dyDescent="0.25">
      <c r="A43" s="118"/>
      <c r="B43" s="18"/>
      <c r="C43" s="12"/>
      <c r="D43" s="13"/>
      <c r="E43" s="33"/>
      <c r="F43" s="62"/>
      <c r="G43" s="68"/>
      <c r="H43" s="31"/>
      <c r="I43" s="61"/>
      <c r="J43" s="61"/>
      <c r="K43" s="32"/>
      <c r="M43" s="284"/>
      <c r="N43" s="36"/>
      <c r="O43" s="36"/>
      <c r="P43" s="37"/>
      <c r="Q43" s="13"/>
      <c r="R43" s="14"/>
      <c r="S43" s="51"/>
      <c r="T43" s="56"/>
      <c r="U43" s="34"/>
      <c r="V43" s="25"/>
      <c r="Y43" s="81">
        <v>45628</v>
      </c>
      <c r="Z43" s="82">
        <v>12858.539999999999</v>
      </c>
      <c r="AA43" s="82">
        <v>-2141.4600000000009</v>
      </c>
      <c r="AB43" s="82">
        <v>15000</v>
      </c>
      <c r="AC43" s="82">
        <v>29.64</v>
      </c>
    </row>
    <row r="44" spans="1:29" ht="20.100000000000001" customHeight="1" x14ac:dyDescent="0.25">
      <c r="B44" s="18"/>
      <c r="C44" s="12"/>
      <c r="D44" s="13"/>
      <c r="E44" s="33"/>
      <c r="F44" s="62"/>
      <c r="G44" s="68"/>
      <c r="H44" s="31"/>
      <c r="I44" s="61"/>
      <c r="J44" s="61"/>
      <c r="K44" s="32"/>
      <c r="M44" s="284"/>
      <c r="N44" s="36"/>
      <c r="O44" s="36"/>
      <c r="P44" s="37"/>
      <c r="Q44" s="13"/>
      <c r="R44" s="14"/>
      <c r="S44" s="51"/>
      <c r="T44" s="56"/>
      <c r="U44" s="34"/>
      <c r="V44" s="25"/>
      <c r="Y44" s="81">
        <v>45629</v>
      </c>
      <c r="Z44" s="82">
        <v>12661.74</v>
      </c>
      <c r="AA44" s="82">
        <v>-2338.2600000000002</v>
      </c>
      <c r="AB44" s="82">
        <v>15000</v>
      </c>
      <c r="AC44" s="82">
        <v>29.64</v>
      </c>
    </row>
    <row r="45" spans="1:29" ht="20.100000000000001" customHeight="1" x14ac:dyDescent="0.25">
      <c r="B45" s="18"/>
      <c r="C45" s="12"/>
      <c r="D45" s="13"/>
      <c r="E45" s="33"/>
      <c r="F45" s="62"/>
      <c r="G45" s="68"/>
      <c r="H45" s="31"/>
      <c r="I45" s="61"/>
      <c r="J45" s="61"/>
      <c r="K45" s="32"/>
      <c r="M45" s="284"/>
      <c r="N45" s="36"/>
      <c r="O45" s="36"/>
      <c r="P45" s="37"/>
      <c r="Q45" s="13"/>
      <c r="R45" s="14"/>
      <c r="S45" s="51"/>
      <c r="T45" s="56"/>
      <c r="U45" s="34"/>
      <c r="V45" s="25"/>
      <c r="Y45" s="81">
        <v>45630</v>
      </c>
      <c r="Z45" s="82">
        <v>12309.1</v>
      </c>
      <c r="AA45" s="82">
        <v>-2690.8999999999996</v>
      </c>
      <c r="AB45" s="82">
        <v>15000</v>
      </c>
      <c r="AC45" s="82">
        <v>12309.1</v>
      </c>
    </row>
    <row r="46" spans="1:29" ht="20.100000000000001" customHeight="1" x14ac:dyDescent="0.25">
      <c r="A46" s="120"/>
      <c r="B46" s="18"/>
      <c r="C46" s="12"/>
      <c r="D46" s="13"/>
      <c r="E46" s="33"/>
      <c r="F46" s="62"/>
      <c r="G46" s="68"/>
      <c r="H46" s="31"/>
      <c r="I46" s="61"/>
      <c r="J46" s="61"/>
      <c r="K46" s="32"/>
      <c r="M46" s="284"/>
      <c r="N46" s="36"/>
      <c r="O46" s="36"/>
      <c r="P46" s="37"/>
      <c r="Q46" s="13"/>
      <c r="R46" s="14"/>
      <c r="S46" s="51"/>
      <c r="T46" s="56"/>
      <c r="U46" s="34"/>
      <c r="V46" s="25"/>
      <c r="Y46" s="81"/>
      <c r="Z46" s="82"/>
      <c r="AA46" s="82"/>
      <c r="AB46" s="83"/>
      <c r="AC46" s="82"/>
    </row>
    <row r="47" spans="1:29" ht="20.100000000000001" customHeight="1" x14ac:dyDescent="0.25">
      <c r="A47" s="120"/>
      <c r="B47" s="18"/>
      <c r="C47" s="12"/>
      <c r="D47" s="13"/>
      <c r="E47" s="33"/>
      <c r="F47" s="62"/>
      <c r="G47" s="68"/>
      <c r="H47" s="31"/>
      <c r="I47" s="61"/>
      <c r="J47" s="61"/>
      <c r="K47" s="32"/>
      <c r="M47" s="284"/>
      <c r="N47" s="36"/>
      <c r="O47" s="36"/>
      <c r="P47" s="37"/>
      <c r="Q47" s="13"/>
      <c r="R47" s="14"/>
      <c r="S47" s="51"/>
      <c r="T47" s="56"/>
      <c r="U47" s="34"/>
      <c r="V47" s="25"/>
      <c r="Y47" s="81"/>
      <c r="Z47" s="82"/>
      <c r="AA47" s="82"/>
      <c r="AB47" s="83"/>
      <c r="AC47" s="82"/>
    </row>
    <row r="48" spans="1:29" ht="20.100000000000001" customHeight="1" x14ac:dyDescent="0.25">
      <c r="A48" s="119"/>
      <c r="B48" s="18"/>
      <c r="C48" s="12"/>
      <c r="D48" s="13"/>
      <c r="E48" s="33"/>
      <c r="F48" s="62"/>
      <c r="G48" s="68"/>
      <c r="H48" s="31"/>
      <c r="I48" s="61"/>
      <c r="J48" s="61"/>
      <c r="K48" s="32"/>
      <c r="M48" s="284"/>
      <c r="N48" s="36"/>
      <c r="O48" s="36"/>
      <c r="P48" s="37"/>
      <c r="Q48" s="13"/>
      <c r="R48" s="14"/>
      <c r="S48" s="51"/>
      <c r="T48" s="56"/>
      <c r="U48" s="34"/>
      <c r="V48" s="25"/>
      <c r="Y48" s="81"/>
      <c r="Z48" s="82"/>
      <c r="AA48" s="82"/>
      <c r="AB48" s="83"/>
      <c r="AC48" s="82"/>
    </row>
    <row r="49" spans="1:29" ht="20.100000000000001" customHeight="1" x14ac:dyDescent="0.25">
      <c r="B49" s="18"/>
      <c r="C49" s="12"/>
      <c r="D49" s="13"/>
      <c r="E49" s="33"/>
      <c r="F49" s="62"/>
      <c r="G49" s="68"/>
      <c r="H49" s="31"/>
      <c r="I49" s="61"/>
      <c r="J49" s="61"/>
      <c r="K49" s="32"/>
      <c r="M49" s="284"/>
      <c r="N49" s="36"/>
      <c r="O49" s="36"/>
      <c r="P49" s="37"/>
      <c r="Q49" s="13"/>
      <c r="R49" s="14"/>
      <c r="S49" s="51"/>
      <c r="T49" s="56"/>
      <c r="U49" s="34"/>
      <c r="V49" s="25"/>
      <c r="Y49" s="81"/>
      <c r="Z49" s="82"/>
      <c r="AA49" s="82"/>
      <c r="AB49" s="83"/>
      <c r="AC49" s="82"/>
    </row>
    <row r="50" spans="1:29" ht="20.100000000000001" customHeight="1" x14ac:dyDescent="0.25">
      <c r="A50" s="125"/>
      <c r="B50" s="20"/>
      <c r="C50" s="21"/>
      <c r="D50" s="22"/>
      <c r="E50" s="45"/>
      <c r="F50" s="63"/>
      <c r="G50" s="68"/>
      <c r="H50" s="31"/>
      <c r="I50" s="61"/>
      <c r="J50" s="61"/>
      <c r="K50" s="32"/>
      <c r="M50" s="284"/>
      <c r="N50" s="39"/>
      <c r="O50" s="39"/>
      <c r="P50" s="40"/>
      <c r="Q50" s="42"/>
      <c r="R50" s="41"/>
      <c r="S50" s="52"/>
      <c r="T50" s="56"/>
      <c r="U50" s="34"/>
      <c r="V50" s="25"/>
      <c r="Y50" s="81"/>
      <c r="Z50" s="82"/>
      <c r="AA50" s="82"/>
      <c r="AB50" s="83"/>
      <c r="AC50" s="82"/>
    </row>
    <row r="51" spans="1:29" x14ac:dyDescent="0.25">
      <c r="M51" s="124"/>
    </row>
    <row r="53" spans="1:29" x14ac:dyDescent="0.25">
      <c r="B53" s="6"/>
      <c r="C53" s="5"/>
    </row>
    <row r="54" spans="1:29" x14ac:dyDescent="0.25">
      <c r="B54" s="10"/>
      <c r="C54" s="5"/>
    </row>
    <row r="55" spans="1:29" x14ac:dyDescent="0.25">
      <c r="B55" s="10"/>
      <c r="C55" s="5"/>
    </row>
    <row r="56" spans="1:29" x14ac:dyDescent="0.25">
      <c r="C56" s="5"/>
    </row>
    <row r="57" spans="1:29" x14ac:dyDescent="0.25">
      <c r="B57" s="10"/>
      <c r="C57" s="5"/>
    </row>
    <row r="58" spans="1:29" x14ac:dyDescent="0.25">
      <c r="B58" s="10"/>
    </row>
  </sheetData>
  <mergeCells count="26">
    <mergeCell ref="Y11:AC11"/>
    <mergeCell ref="B8:D8"/>
    <mergeCell ref="H5:J5"/>
    <mergeCell ref="H4:J4"/>
    <mergeCell ref="H3:J3"/>
    <mergeCell ref="H6:J6"/>
    <mergeCell ref="H7:J7"/>
    <mergeCell ref="A10:F10"/>
    <mergeCell ref="A11:F11"/>
    <mergeCell ref="M10:S10"/>
    <mergeCell ref="M11:S11"/>
    <mergeCell ref="B2:D2"/>
    <mergeCell ref="B7:D7"/>
    <mergeCell ref="B6:D6"/>
    <mergeCell ref="B5:D5"/>
    <mergeCell ref="B4:D4"/>
    <mergeCell ref="B3:D3"/>
    <mergeCell ref="H2:K2"/>
    <mergeCell ref="N2:P2"/>
    <mergeCell ref="U11:V11"/>
    <mergeCell ref="N3:O3"/>
    <mergeCell ref="N4:O4"/>
    <mergeCell ref="G11:K11"/>
    <mergeCell ref="G10:K10"/>
    <mergeCell ref="T10:V10"/>
    <mergeCell ref="G8:J8"/>
  </mergeCells>
  <conditionalFormatting sqref="F4:F5 F7:F8">
    <cfRule type="cellIs" dxfId="145" priority="8" operator="greaterThan">
      <formula>0</formula>
    </cfRule>
    <cfRule type="cellIs" dxfId="144" priority="11" operator="lessThan">
      <formula>0</formula>
    </cfRule>
    <cfRule type="cellIs" dxfId="143" priority="12" operator="greaterThan">
      <formula>0</formula>
    </cfRule>
  </conditionalFormatting>
  <conditionalFormatting sqref="E5 E8 P4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{C1FD50ED-A2B9-409E-942B-530600880D07}</x14:id>
        </ext>
      </extLst>
    </cfRule>
  </conditionalFormatting>
  <conditionalFormatting sqref="E4 E7 P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{095138E1-9DA1-4089-880E-D1BABF9EF2DA}</x14:id>
        </ext>
      </extLst>
    </cfRule>
  </conditionalFormatting>
  <conditionalFormatting sqref="J13:J5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{0A29D412-AEC0-42EC-8B73-129C5E37E878}</x14:id>
        </ext>
      </extLst>
    </cfRule>
  </conditionalFormatting>
  <conditionalFormatting sqref="K13:K5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{A6867373-DEEE-413E-8E63-E4F6B6DAB4CF}</x14:id>
        </ext>
      </extLst>
    </cfRule>
  </conditionalFormatting>
  <conditionalFormatting sqref="U13:U5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{3AAE0759-CEE9-4841-B874-0D3CCFB41693}</x14:id>
        </ext>
      </extLst>
    </cfRule>
  </conditionalFormatting>
  <conditionalFormatting sqref="V13:V5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{1AB263EF-556E-48F7-AC95-8F9E461AFCDD}</x14:id>
        </ext>
      </extLst>
    </cfRule>
  </conditionalFormatting>
  <pageMargins left="0.7" right="0.7" top="0.75" bottom="0.75" header="0.3" footer="0.3"/>
  <pageSetup paperSize="285" orientation="portrait" horizontalDpi="0" verticalDpi="0" r:id="rId1"/>
  <ignoredErrors>
    <ignoredError sqref="V16" calculatedColumn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ОбновитьДанные" altText="ОБНОВИТЬ_x000a_ДАННЫЕ">
                <anchor moveWithCells="1">
                  <from>
                    <xdr:col>5</xdr:col>
                    <xdr:colOff>657225</xdr:colOff>
                    <xdr:row>1</xdr:row>
                    <xdr:rowOff>28575</xdr:rowOff>
                  </from>
                  <to>
                    <xdr:col>6</xdr:col>
                    <xdr:colOff>714375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ДополнитьСтатистику">
                <anchor moveWithCells="1" sizeWithCells="1">
                  <from>
                    <xdr:col>5</xdr:col>
                    <xdr:colOff>657225</xdr:colOff>
                    <xdr:row>2</xdr:row>
                    <xdr:rowOff>276225</xdr:rowOff>
                  </from>
                  <to>
                    <xdr:col>6</xdr:col>
                    <xdr:colOff>704850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FD50ED-A2B9-409E-942B-530600880D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 E8 P4</xm:sqref>
        </x14:conditionalFormatting>
        <x14:conditionalFormatting xmlns:xm="http://schemas.microsoft.com/office/excel/2006/main">
          <x14:cfRule type="dataBar" id="{095138E1-9DA1-4089-880E-D1BABF9EF2D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 E7 P3</xm:sqref>
        </x14:conditionalFormatting>
        <x14:conditionalFormatting xmlns:xm="http://schemas.microsoft.com/office/excel/2006/main">
          <x14:cfRule type="dataBar" id="{0A29D412-AEC0-42EC-8B73-129C5E37E87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J13:J50</xm:sqref>
        </x14:conditionalFormatting>
        <x14:conditionalFormatting xmlns:xm="http://schemas.microsoft.com/office/excel/2006/main">
          <x14:cfRule type="dataBar" id="{A6867373-DEEE-413E-8E63-E4F6B6DAB4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K13:K50</xm:sqref>
        </x14:conditionalFormatting>
        <x14:conditionalFormatting xmlns:xm="http://schemas.microsoft.com/office/excel/2006/main">
          <x14:cfRule type="dataBar" id="{3AAE0759-CEE9-4841-B874-0D3CCFB416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U13:U50</xm:sqref>
        </x14:conditionalFormatting>
        <x14:conditionalFormatting xmlns:xm="http://schemas.microsoft.com/office/excel/2006/main">
          <x14:cfRule type="dataBar" id="{1AB263EF-556E-48F7-AC95-8F9E461AFCD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V13:V50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B1:M60"/>
  <sheetViews>
    <sheetView zoomScaleNormal="100" workbookViewId="0">
      <selection activeCell="B4" sqref="B4"/>
    </sheetView>
  </sheetViews>
  <sheetFormatPr defaultColWidth="10.85546875" defaultRowHeight="18" x14ac:dyDescent="0.25"/>
  <cols>
    <col min="1" max="1" width="5.85546875" style="2" customWidth="1"/>
    <col min="2" max="2" width="31" style="2" customWidth="1"/>
    <col min="3" max="3" width="14.85546875" style="2" customWidth="1"/>
    <col min="4" max="5" width="19.7109375" style="2" customWidth="1"/>
    <col min="6" max="6" width="19" style="2" customWidth="1"/>
    <col min="7" max="7" width="18.140625" style="2" customWidth="1"/>
    <col min="8" max="9" width="19.7109375" style="2" customWidth="1"/>
    <col min="10" max="11" width="21.42578125" style="2" customWidth="1"/>
    <col min="12" max="12" width="17.28515625" style="2" customWidth="1"/>
    <col min="13" max="13" width="19" style="2" customWidth="1"/>
    <col min="14" max="14" width="10.85546875" style="2"/>
    <col min="15" max="15" width="19" style="2" customWidth="1"/>
    <col min="16" max="16384" width="10.85546875" style="2"/>
  </cols>
  <sheetData>
    <row r="1" spans="2:13" ht="15" customHeight="1" x14ac:dyDescent="0.25">
      <c r="G1" s="3"/>
      <c r="H1" s="3"/>
      <c r="I1" s="3"/>
      <c r="J1" s="3"/>
      <c r="K1" s="3"/>
      <c r="L1" s="3"/>
      <c r="M1" s="3"/>
    </row>
    <row r="2" spans="2:13" ht="23.1" customHeight="1" x14ac:dyDescent="0.25">
      <c r="B2" s="326" t="s">
        <v>16</v>
      </c>
      <c r="C2" s="327"/>
      <c r="D2" s="43">
        <f>SUM(Дивиденды[Сумма])</f>
        <v>0</v>
      </c>
      <c r="G2" s="3"/>
      <c r="H2" s="3"/>
      <c r="I2" s="3"/>
      <c r="J2" s="3"/>
      <c r="K2" s="3"/>
      <c r="L2" s="3"/>
      <c r="M2" s="3"/>
    </row>
    <row r="3" spans="2:13" ht="23.1" customHeight="1" x14ac:dyDescent="0.25">
      <c r="B3" s="326" t="s">
        <v>32</v>
      </c>
      <c r="C3" s="327"/>
      <c r="D3" s="43">
        <f>SUM(Дивиденды[Налог])</f>
        <v>0</v>
      </c>
      <c r="G3" s="3"/>
      <c r="H3" s="3"/>
      <c r="I3" s="3"/>
      <c r="J3" s="3"/>
      <c r="K3" s="3"/>
      <c r="L3" s="3"/>
      <c r="M3" s="3"/>
    </row>
    <row r="4" spans="2:13" ht="23.1" customHeight="1" x14ac:dyDescent="0.25">
      <c r="B4" s="9"/>
      <c r="C4" s="9"/>
      <c r="D4" s="5"/>
      <c r="G4" s="3"/>
      <c r="H4" s="3"/>
      <c r="I4" s="3"/>
      <c r="J4" s="3"/>
      <c r="K4" s="3"/>
      <c r="L4" s="3"/>
      <c r="M4" s="3"/>
    </row>
    <row r="5" spans="2:13" ht="26.1" customHeight="1" x14ac:dyDescent="0.25">
      <c r="B5" s="328" t="s">
        <v>46</v>
      </c>
      <c r="C5" s="328"/>
      <c r="D5" s="328"/>
      <c r="E5" s="328"/>
      <c r="F5" s="3"/>
      <c r="G5" s="3"/>
      <c r="H5" s="3"/>
      <c r="I5" s="3"/>
      <c r="J5" s="3"/>
      <c r="K5" s="3"/>
      <c r="L5" s="3"/>
      <c r="M5" s="3"/>
    </row>
    <row r="6" spans="2:13" ht="47.1" customHeight="1" x14ac:dyDescent="0.25">
      <c r="B6" s="323" t="s">
        <v>33</v>
      </c>
      <c r="C6" s="324"/>
      <c r="D6" s="324"/>
      <c r="E6" s="325"/>
      <c r="F6" s="46"/>
      <c r="H6" s="3"/>
      <c r="M6" s="3"/>
    </row>
    <row r="7" spans="2:13" ht="50.1" customHeight="1" x14ac:dyDescent="0.25">
      <c r="B7" s="105" t="s">
        <v>6</v>
      </c>
      <c r="C7" s="106" t="s">
        <v>15</v>
      </c>
      <c r="D7" s="106" t="s">
        <v>13</v>
      </c>
      <c r="E7" s="107" t="s">
        <v>14</v>
      </c>
      <c r="H7" s="3"/>
      <c r="M7" s="3"/>
    </row>
    <row r="8" spans="2:13" ht="20.100000000000001" customHeight="1" x14ac:dyDescent="0.25">
      <c r="B8" s="15"/>
      <c r="C8" s="16"/>
      <c r="D8" s="34"/>
      <c r="E8" s="17"/>
      <c r="H8" s="3"/>
      <c r="M8" s="3"/>
    </row>
    <row r="9" spans="2:13" ht="20.100000000000001" customHeight="1" x14ac:dyDescent="0.25">
      <c r="B9" s="18"/>
      <c r="C9" s="12"/>
      <c r="D9" s="33"/>
      <c r="E9" s="19"/>
      <c r="H9" s="3"/>
      <c r="M9" s="3"/>
    </row>
    <row r="10" spans="2:13" ht="20.100000000000001" customHeight="1" x14ac:dyDescent="0.25">
      <c r="B10" s="18"/>
      <c r="C10" s="12"/>
      <c r="D10" s="33"/>
      <c r="E10" s="19"/>
      <c r="H10" s="3"/>
      <c r="M10" s="3"/>
    </row>
    <row r="11" spans="2:13" ht="20.100000000000001" customHeight="1" x14ac:dyDescent="0.25">
      <c r="B11" s="18"/>
      <c r="C11" s="12"/>
      <c r="D11" s="33"/>
      <c r="E11" s="19"/>
      <c r="H11" s="3"/>
      <c r="M11" s="3"/>
    </row>
    <row r="12" spans="2:13" ht="20.100000000000001" customHeight="1" x14ac:dyDescent="0.25">
      <c r="B12" s="18"/>
      <c r="C12" s="12"/>
      <c r="D12" s="33"/>
      <c r="E12" s="19"/>
      <c r="H12" s="3"/>
      <c r="M12" s="3"/>
    </row>
    <row r="13" spans="2:13" ht="20.100000000000001" customHeight="1" x14ac:dyDescent="0.25">
      <c r="B13" s="18"/>
      <c r="C13" s="12"/>
      <c r="D13" s="33"/>
      <c r="E13" s="19"/>
      <c r="H13" s="3"/>
      <c r="M13" s="3"/>
    </row>
    <row r="14" spans="2:13" ht="20.100000000000001" customHeight="1" x14ac:dyDescent="0.25">
      <c r="B14" s="18"/>
      <c r="C14" s="12"/>
      <c r="D14" s="33"/>
      <c r="E14" s="19"/>
      <c r="H14" s="3"/>
      <c r="M14" s="3"/>
    </row>
    <row r="15" spans="2:13" ht="20.100000000000001" customHeight="1" x14ac:dyDescent="0.25">
      <c r="B15" s="18"/>
      <c r="C15" s="12"/>
      <c r="D15" s="33"/>
      <c r="E15" s="19"/>
      <c r="H15" s="5"/>
    </row>
    <row r="16" spans="2:13" ht="20.100000000000001" customHeight="1" x14ac:dyDescent="0.25">
      <c r="B16" s="18"/>
      <c r="C16" s="12"/>
      <c r="D16" s="33"/>
      <c r="E16" s="19"/>
      <c r="H16" s="5"/>
    </row>
    <row r="17" spans="2:8" ht="20.100000000000001" customHeight="1" x14ac:dyDescent="0.25">
      <c r="B17" s="18"/>
      <c r="C17" s="12"/>
      <c r="D17" s="33"/>
      <c r="E17" s="19"/>
      <c r="H17" s="5"/>
    </row>
    <row r="18" spans="2:8" ht="20.100000000000001" customHeight="1" x14ac:dyDescent="0.25">
      <c r="B18" s="18"/>
      <c r="C18" s="12"/>
      <c r="D18" s="33"/>
      <c r="E18" s="19"/>
      <c r="H18" s="5"/>
    </row>
    <row r="19" spans="2:8" ht="20.100000000000001" customHeight="1" x14ac:dyDescent="0.25">
      <c r="B19" s="18"/>
      <c r="C19" s="12"/>
      <c r="D19" s="33"/>
      <c r="E19" s="19"/>
    </row>
    <row r="20" spans="2:8" ht="20.100000000000001" customHeight="1" x14ac:dyDescent="0.25">
      <c r="B20" s="18"/>
      <c r="C20" s="12"/>
      <c r="D20" s="33"/>
      <c r="E20" s="19"/>
    </row>
    <row r="21" spans="2:8" ht="20.100000000000001" customHeight="1" x14ac:dyDescent="0.25">
      <c r="B21" s="18"/>
      <c r="C21" s="12"/>
      <c r="D21" s="33"/>
      <c r="E21" s="19"/>
    </row>
    <row r="22" spans="2:8" ht="20.100000000000001" customHeight="1" x14ac:dyDescent="0.25">
      <c r="B22" s="18"/>
      <c r="C22" s="12"/>
      <c r="D22" s="33"/>
      <c r="E22" s="19"/>
    </row>
    <row r="23" spans="2:8" ht="20.100000000000001" customHeight="1" x14ac:dyDescent="0.25">
      <c r="B23" s="18"/>
      <c r="C23" s="12"/>
      <c r="D23" s="33"/>
      <c r="E23" s="19"/>
    </row>
    <row r="24" spans="2:8" ht="20.100000000000001" customHeight="1" x14ac:dyDescent="0.25">
      <c r="B24" s="18"/>
      <c r="C24" s="12"/>
      <c r="D24" s="33"/>
      <c r="E24" s="19"/>
    </row>
    <row r="25" spans="2:8" ht="20.100000000000001" customHeight="1" x14ac:dyDescent="0.25">
      <c r="B25" s="18"/>
      <c r="C25" s="12"/>
      <c r="D25" s="33"/>
      <c r="E25" s="19"/>
      <c r="H25" s="8"/>
    </row>
    <row r="26" spans="2:8" ht="20.100000000000001" customHeight="1" x14ac:dyDescent="0.25">
      <c r="B26" s="18"/>
      <c r="C26" s="12"/>
      <c r="D26" s="33"/>
      <c r="E26" s="19"/>
    </row>
    <row r="27" spans="2:8" ht="20.100000000000001" customHeight="1" x14ac:dyDescent="0.25">
      <c r="B27" s="18"/>
      <c r="C27" s="12"/>
      <c r="D27" s="33"/>
      <c r="E27" s="19"/>
      <c r="H27" s="5"/>
    </row>
    <row r="28" spans="2:8" ht="20.100000000000001" customHeight="1" x14ac:dyDescent="0.25">
      <c r="B28" s="18"/>
      <c r="C28" s="12"/>
      <c r="D28" s="33"/>
      <c r="E28" s="19"/>
      <c r="H28" s="7"/>
    </row>
    <row r="29" spans="2:8" ht="20.100000000000001" customHeight="1" x14ac:dyDescent="0.25">
      <c r="B29" s="18"/>
      <c r="C29" s="12"/>
      <c r="D29" s="33"/>
      <c r="E29" s="19"/>
      <c r="H29" s="4"/>
    </row>
    <row r="30" spans="2:8" ht="20.100000000000001" customHeight="1" x14ac:dyDescent="0.25">
      <c r="B30" s="18"/>
      <c r="C30" s="12"/>
      <c r="D30" s="33"/>
      <c r="E30" s="19"/>
      <c r="H30" s="11"/>
    </row>
    <row r="31" spans="2:8" ht="20.100000000000001" customHeight="1" x14ac:dyDescent="0.25">
      <c r="B31" s="18"/>
      <c r="C31" s="12"/>
      <c r="D31" s="33"/>
      <c r="E31" s="19"/>
      <c r="H31" s="6"/>
    </row>
    <row r="32" spans="2:8" ht="20.100000000000001" customHeight="1" x14ac:dyDescent="0.25">
      <c r="B32" s="18"/>
      <c r="C32" s="12"/>
      <c r="D32" s="33"/>
      <c r="E32" s="19"/>
      <c r="H32" s="7"/>
    </row>
    <row r="33" spans="2:8" ht="20.100000000000001" customHeight="1" x14ac:dyDescent="0.25">
      <c r="B33" s="18"/>
      <c r="C33" s="12"/>
      <c r="D33" s="33"/>
      <c r="E33" s="19"/>
      <c r="H33" s="6"/>
    </row>
    <row r="34" spans="2:8" ht="20.100000000000001" customHeight="1" x14ac:dyDescent="0.25">
      <c r="B34" s="18"/>
      <c r="C34" s="12"/>
      <c r="D34" s="33"/>
      <c r="E34" s="19"/>
      <c r="H34" s="6"/>
    </row>
    <row r="35" spans="2:8" ht="20.100000000000001" customHeight="1" x14ac:dyDescent="0.25">
      <c r="B35" s="18"/>
      <c r="C35" s="12"/>
      <c r="D35" s="33"/>
      <c r="E35" s="19"/>
    </row>
    <row r="36" spans="2:8" ht="20.100000000000001" customHeight="1" x14ac:dyDescent="0.25">
      <c r="B36" s="18"/>
      <c r="C36" s="12"/>
      <c r="D36" s="33"/>
      <c r="E36" s="19"/>
      <c r="H36" s="8"/>
    </row>
    <row r="37" spans="2:8" ht="20.100000000000001" customHeight="1" x14ac:dyDescent="0.25">
      <c r="B37" s="18"/>
      <c r="C37" s="12"/>
      <c r="D37" s="33"/>
      <c r="E37" s="19"/>
      <c r="H37" s="9"/>
    </row>
    <row r="38" spans="2:8" ht="20.100000000000001" customHeight="1" x14ac:dyDescent="0.25">
      <c r="B38" s="18"/>
      <c r="C38" s="12"/>
      <c r="D38" s="33"/>
      <c r="E38" s="19"/>
      <c r="H38" s="4"/>
    </row>
    <row r="39" spans="2:8" ht="20.100000000000001" customHeight="1" x14ac:dyDescent="0.25">
      <c r="B39" s="18"/>
      <c r="C39" s="12"/>
      <c r="D39" s="33"/>
      <c r="E39" s="19"/>
      <c r="H39" s="4"/>
    </row>
    <row r="40" spans="2:8" ht="20.100000000000001" customHeight="1" x14ac:dyDescent="0.25">
      <c r="B40" s="18"/>
      <c r="C40" s="12"/>
      <c r="D40" s="33"/>
      <c r="E40" s="19"/>
      <c r="H40" s="4"/>
    </row>
    <row r="41" spans="2:8" ht="20.100000000000001" customHeight="1" x14ac:dyDescent="0.25">
      <c r="B41" s="18"/>
      <c r="C41" s="12"/>
      <c r="D41" s="33"/>
      <c r="E41" s="19"/>
      <c r="H41" s="4"/>
    </row>
    <row r="42" spans="2:8" ht="20.100000000000001" customHeight="1" x14ac:dyDescent="0.25">
      <c r="B42" s="18"/>
      <c r="C42" s="12"/>
      <c r="D42" s="33"/>
      <c r="E42" s="19"/>
      <c r="H42" s="4"/>
    </row>
    <row r="43" spans="2:8" ht="20.100000000000001" customHeight="1" x14ac:dyDescent="0.25">
      <c r="B43" s="18"/>
      <c r="C43" s="12"/>
      <c r="D43" s="33"/>
      <c r="E43" s="19"/>
      <c r="H43" s="4"/>
    </row>
    <row r="44" spans="2:8" ht="20.100000000000001" customHeight="1" x14ac:dyDescent="0.25">
      <c r="B44" s="18"/>
      <c r="C44" s="12"/>
      <c r="D44" s="33"/>
      <c r="E44" s="19"/>
      <c r="H44" s="4"/>
    </row>
    <row r="45" spans="2:8" ht="20.100000000000001" customHeight="1" x14ac:dyDescent="0.25">
      <c r="B45" s="18"/>
      <c r="C45" s="12"/>
      <c r="D45" s="33"/>
      <c r="E45" s="19"/>
      <c r="H45" s="4"/>
    </row>
    <row r="46" spans="2:8" ht="20.100000000000001" customHeight="1" x14ac:dyDescent="0.25">
      <c r="B46" s="18"/>
      <c r="C46" s="12"/>
      <c r="D46" s="33"/>
      <c r="E46" s="19"/>
      <c r="H46" s="4"/>
    </row>
    <row r="47" spans="2:8" ht="20.100000000000001" customHeight="1" x14ac:dyDescent="0.25">
      <c r="B47" s="18"/>
      <c r="C47" s="12"/>
      <c r="D47" s="33"/>
      <c r="E47" s="19"/>
      <c r="H47" s="4"/>
    </row>
    <row r="48" spans="2:8" ht="20.100000000000001" customHeight="1" x14ac:dyDescent="0.25">
      <c r="B48" s="18"/>
      <c r="C48" s="12"/>
      <c r="D48" s="33"/>
      <c r="E48" s="19"/>
      <c r="H48" s="4"/>
    </row>
    <row r="49" spans="2:5" ht="20.100000000000001" customHeight="1" x14ac:dyDescent="0.25">
      <c r="B49" s="18"/>
      <c r="C49" s="12"/>
      <c r="D49" s="33"/>
      <c r="E49" s="19"/>
    </row>
    <row r="50" spans="2:5" ht="20.100000000000001" customHeight="1" x14ac:dyDescent="0.25">
      <c r="B50" s="18"/>
      <c r="C50" s="12"/>
      <c r="D50" s="33"/>
      <c r="E50" s="19"/>
    </row>
    <row r="51" spans="2:5" ht="20.100000000000001" customHeight="1" x14ac:dyDescent="0.25">
      <c r="B51" s="18"/>
      <c r="C51" s="12"/>
      <c r="D51" s="33"/>
      <c r="E51" s="19"/>
    </row>
    <row r="52" spans="2:5" ht="20.100000000000001" customHeight="1" x14ac:dyDescent="0.25">
      <c r="B52" s="20"/>
      <c r="C52" s="21"/>
      <c r="D52" s="45"/>
      <c r="E52" s="24"/>
    </row>
    <row r="55" spans="2:5" x14ac:dyDescent="0.25">
      <c r="B55" s="6"/>
      <c r="C55" s="5"/>
      <c r="D55" s="5"/>
      <c r="E55" s="5"/>
    </row>
    <row r="56" spans="2:5" x14ac:dyDescent="0.25">
      <c r="B56" s="10"/>
      <c r="C56" s="5"/>
      <c r="D56" s="5"/>
      <c r="E56" s="5"/>
    </row>
    <row r="57" spans="2:5" x14ac:dyDescent="0.25">
      <c r="B57" s="10"/>
      <c r="C57" s="5"/>
      <c r="D57" s="5"/>
      <c r="E57" s="5"/>
    </row>
    <row r="58" spans="2:5" x14ac:dyDescent="0.25">
      <c r="C58" s="5"/>
      <c r="D58" s="5"/>
      <c r="E58" s="5"/>
    </row>
    <row r="59" spans="2:5" x14ac:dyDescent="0.25">
      <c r="B59" s="10"/>
      <c r="C59" s="5"/>
      <c r="D59" s="5"/>
      <c r="E59" s="5"/>
    </row>
    <row r="60" spans="2:5" x14ac:dyDescent="0.25">
      <c r="B60" s="10"/>
    </row>
  </sheetData>
  <mergeCells count="4">
    <mergeCell ref="B6:E6"/>
    <mergeCell ref="B2:C2"/>
    <mergeCell ref="B3:C3"/>
    <mergeCell ref="B5:E5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C000"/>
  </sheetPr>
  <dimension ref="B1:AH55"/>
  <sheetViews>
    <sheetView zoomScale="87" zoomScaleNormal="87" workbookViewId="0">
      <selection activeCell="B7" sqref="B7"/>
    </sheetView>
  </sheetViews>
  <sheetFormatPr defaultColWidth="10.85546875" defaultRowHeight="16.5" x14ac:dyDescent="0.3"/>
  <cols>
    <col min="1" max="1" width="5.85546875" style="131" customWidth="1"/>
    <col min="2" max="2" width="24.85546875" style="131" customWidth="1"/>
    <col min="3" max="4" width="13.85546875" style="131" customWidth="1"/>
    <col min="5" max="5" width="17.85546875" style="131" customWidth="1"/>
    <col min="6" max="6" width="17.28515625" style="131" customWidth="1"/>
    <col min="7" max="11" width="14.85546875" style="131" customWidth="1"/>
    <col min="12" max="12" width="12.42578125" style="131" customWidth="1"/>
    <col min="13" max="15" width="14.140625" style="131" customWidth="1"/>
    <col min="16" max="23" width="17.140625" style="131" customWidth="1"/>
    <col min="24" max="24" width="17" style="131" customWidth="1"/>
    <col min="25" max="25" width="11.140625" style="131" customWidth="1"/>
    <col min="26" max="26" width="20.85546875" style="131" customWidth="1"/>
    <col min="27" max="28" width="13.85546875" style="131" customWidth="1"/>
    <col min="29" max="29" width="16.85546875" style="131" customWidth="1"/>
    <col min="30" max="31" width="18.7109375" style="131" customWidth="1"/>
    <col min="32" max="32" width="13.7109375" style="131" customWidth="1"/>
    <col min="33" max="34" width="19.85546875" style="131" customWidth="1"/>
    <col min="35" max="39" width="14.85546875" style="131" customWidth="1"/>
    <col min="40" max="47" width="17.140625" style="131" customWidth="1"/>
    <col min="48" max="16384" width="10.85546875" style="131"/>
  </cols>
  <sheetData>
    <row r="1" spans="2:34" ht="15.95" customHeight="1" x14ac:dyDescent="0.3"/>
    <row r="2" spans="2:34" ht="39.950000000000003" customHeight="1" x14ac:dyDescent="0.3">
      <c r="B2" s="339" t="s">
        <v>1</v>
      </c>
      <c r="C2" s="339"/>
      <c r="D2" s="339"/>
      <c r="E2" s="339"/>
      <c r="F2" s="276"/>
      <c r="H2" s="329" t="s">
        <v>2</v>
      </c>
      <c r="I2" s="329"/>
      <c r="J2" s="329"/>
      <c r="K2" s="329"/>
      <c r="L2" s="132"/>
      <c r="M2" s="330" t="s">
        <v>76</v>
      </c>
      <c r="N2" s="330"/>
      <c r="O2" s="330"/>
      <c r="P2" s="330"/>
      <c r="Z2" s="330" t="s">
        <v>26</v>
      </c>
      <c r="AA2" s="330"/>
      <c r="AB2" s="330"/>
      <c r="AC2" s="330"/>
    </row>
    <row r="3" spans="2:34" ht="24" customHeight="1" x14ac:dyDescent="0.3">
      <c r="B3" s="331" t="s">
        <v>77</v>
      </c>
      <c r="C3" s="332"/>
      <c r="D3" s="333"/>
      <c r="E3" s="1" t="e">
        <f>E4/J5</f>
        <v>#DIV/0!</v>
      </c>
      <c r="F3" s="66"/>
      <c r="H3" s="312" t="s">
        <v>10</v>
      </c>
      <c r="I3" s="313"/>
      <c r="J3" s="334">
        <f>SUM(Облигации[Затраты на покупку облигаций])</f>
        <v>0</v>
      </c>
      <c r="K3" s="334"/>
      <c r="M3" s="335" t="s">
        <v>78</v>
      </c>
      <c r="N3" s="336"/>
      <c r="O3" s="337"/>
      <c r="P3" s="133">
        <f>КУПОНЫ!E2</f>
        <v>0</v>
      </c>
      <c r="R3" s="315" t="s">
        <v>104</v>
      </c>
      <c r="S3" s="315"/>
      <c r="T3" s="1">
        <v>2.9999999999999997E-4</v>
      </c>
      <c r="Z3" s="338" t="s">
        <v>28</v>
      </c>
      <c r="AA3" s="338"/>
      <c r="AB3" s="338"/>
      <c r="AC3" s="43">
        <f>SUM(Акции_продажа4[Доход, ₽])</f>
        <v>0</v>
      </c>
    </row>
    <row r="4" spans="2:34" ht="23.1" customHeight="1" x14ac:dyDescent="0.3">
      <c r="B4" s="312" t="s">
        <v>79</v>
      </c>
      <c r="C4" s="313"/>
      <c r="D4" s="316"/>
      <c r="E4" s="134">
        <f>SUM(Облигации[Годовой доход купонов])+SUM(Покупка_новых_облигаций[Годовой доход купонов])</f>
        <v>0</v>
      </c>
      <c r="F4" s="65"/>
      <c r="H4" s="312" t="s">
        <v>80</v>
      </c>
      <c r="I4" s="313"/>
      <c r="J4" s="334">
        <f t="array" ref="J4">SUM(Облигации[НКД]+Облигации[Комиссия брокера])</f>
        <v>0</v>
      </c>
      <c r="K4" s="334"/>
      <c r="M4" s="335" t="s">
        <v>81</v>
      </c>
      <c r="N4" s="336"/>
      <c r="O4" s="337"/>
      <c r="P4" s="133">
        <f>SUM(Покупка_новых_облигаций[Комиссия брокера])</f>
        <v>0</v>
      </c>
      <c r="Z4" s="340" t="s">
        <v>29</v>
      </c>
      <c r="AA4" s="340"/>
      <c r="AB4" s="340"/>
      <c r="AC4" s="44" t="e">
        <f>AVERAGE(Акции_продажа4[Доходность, %])</f>
        <v>#DIV/0!</v>
      </c>
    </row>
    <row r="5" spans="2:34" ht="24" customHeight="1" x14ac:dyDescent="0.3">
      <c r="B5" s="312" t="s">
        <v>82</v>
      </c>
      <c r="C5" s="313"/>
      <c r="D5" s="316"/>
      <c r="E5" s="134">
        <f>SUM(Облигации[Купонный доход к погашению])+SUM(Покупка_новых_облигаций[Купонный доход к погашению])</f>
        <v>0</v>
      </c>
      <c r="F5" s="65"/>
      <c r="H5" s="312" t="s">
        <v>83</v>
      </c>
      <c r="I5" s="313"/>
      <c r="J5" s="334">
        <f>J3+J4</f>
        <v>0</v>
      </c>
      <c r="K5" s="334"/>
      <c r="M5" s="335" t="s">
        <v>84</v>
      </c>
      <c r="N5" s="336"/>
      <c r="O5" s="337"/>
      <c r="P5" s="135">
        <f>SUM(Покупка_новых_облигаций[Кол-во облигаций])</f>
        <v>0</v>
      </c>
      <c r="V5" s="344"/>
      <c r="W5" s="341"/>
    </row>
    <row r="6" spans="2:34" ht="23.1" customHeight="1" x14ac:dyDescent="0.3">
      <c r="B6" s="312" t="s">
        <v>85</v>
      </c>
      <c r="C6" s="313"/>
      <c r="D6" s="316"/>
      <c r="E6" s="134">
        <f>SUM(Облигации[Общий доход к погашению])+SUM(Покупка_новых_облигаций[Общий доход к погашению])</f>
        <v>0</v>
      </c>
      <c r="F6" s="65"/>
      <c r="M6" s="335" t="s">
        <v>86</v>
      </c>
      <c r="N6" s="336"/>
      <c r="O6" s="337"/>
      <c r="P6" s="135">
        <f>SUM(Облигации[Кол-во облигаций])+P5</f>
        <v>0</v>
      </c>
      <c r="V6" s="344"/>
      <c r="W6" s="341"/>
    </row>
    <row r="7" spans="2:34" ht="27" customHeight="1" x14ac:dyDescent="0.3"/>
    <row r="8" spans="2:34" ht="26.1" customHeight="1" x14ac:dyDescent="0.3">
      <c r="B8" s="342" t="s">
        <v>87</v>
      </c>
      <c r="C8" s="342"/>
      <c r="D8" s="342"/>
      <c r="E8" s="342"/>
      <c r="F8" s="342"/>
      <c r="G8" s="342"/>
      <c r="H8" s="342"/>
      <c r="I8" s="342"/>
      <c r="J8" s="342"/>
      <c r="K8" s="343" t="s">
        <v>88</v>
      </c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Z8" s="360" t="s">
        <v>89</v>
      </c>
      <c r="AA8" s="360"/>
      <c r="AB8" s="360"/>
      <c r="AC8" s="360"/>
      <c r="AD8" s="360"/>
      <c r="AE8" s="360"/>
      <c r="AF8" s="345" t="s">
        <v>90</v>
      </c>
      <c r="AG8" s="345"/>
      <c r="AH8" s="345"/>
    </row>
    <row r="9" spans="2:34" ht="45.95" customHeight="1" x14ac:dyDescent="0.3">
      <c r="B9" s="346" t="s">
        <v>91</v>
      </c>
      <c r="C9" s="347"/>
      <c r="D9" s="347"/>
      <c r="E9" s="347"/>
      <c r="F9" s="347"/>
      <c r="G9" s="347"/>
      <c r="H9" s="347"/>
      <c r="I9" s="347"/>
      <c r="J9" s="348"/>
      <c r="K9" s="349"/>
      <c r="L9" s="350"/>
      <c r="M9" s="351" t="s">
        <v>92</v>
      </c>
      <c r="N9" s="351"/>
      <c r="O9" s="352"/>
      <c r="P9" s="353" t="s">
        <v>17</v>
      </c>
      <c r="Q9" s="354"/>
      <c r="R9" s="354"/>
      <c r="S9" s="354"/>
      <c r="T9" s="354"/>
      <c r="U9" s="354"/>
      <c r="V9" s="354"/>
      <c r="W9" s="354"/>
      <c r="Z9" s="355" t="s">
        <v>93</v>
      </c>
      <c r="AA9" s="356"/>
      <c r="AB9" s="356"/>
      <c r="AC9" s="356"/>
      <c r="AD9" s="356"/>
      <c r="AE9" s="356"/>
      <c r="AF9" s="357" t="s">
        <v>17</v>
      </c>
      <c r="AG9" s="358"/>
      <c r="AH9" s="359"/>
    </row>
    <row r="10" spans="2:34" ht="90" customHeight="1" x14ac:dyDescent="0.3">
      <c r="B10" s="136" t="s">
        <v>94</v>
      </c>
      <c r="C10" s="137" t="s">
        <v>0</v>
      </c>
      <c r="D10" s="137" t="s">
        <v>95</v>
      </c>
      <c r="E10" s="137" t="s">
        <v>96</v>
      </c>
      <c r="F10" s="137" t="s">
        <v>97</v>
      </c>
      <c r="G10" s="137" t="s">
        <v>98</v>
      </c>
      <c r="H10" s="137" t="s">
        <v>99</v>
      </c>
      <c r="I10" s="137" t="s">
        <v>100</v>
      </c>
      <c r="J10" s="138" t="s">
        <v>101</v>
      </c>
      <c r="K10" s="139" t="s">
        <v>102</v>
      </c>
      <c r="L10" s="139" t="s">
        <v>103</v>
      </c>
      <c r="M10" s="140" t="s">
        <v>104</v>
      </c>
      <c r="N10" s="139" t="s">
        <v>105</v>
      </c>
      <c r="O10" s="141" t="s">
        <v>106</v>
      </c>
      <c r="P10" s="142" t="s">
        <v>107</v>
      </c>
      <c r="Q10" s="142" t="s">
        <v>108</v>
      </c>
      <c r="R10" s="143" t="s">
        <v>109</v>
      </c>
      <c r="S10" s="143" t="s">
        <v>110</v>
      </c>
      <c r="T10" s="143" t="s">
        <v>111</v>
      </c>
      <c r="U10" s="143" t="s">
        <v>112</v>
      </c>
      <c r="V10" s="142" t="s">
        <v>113</v>
      </c>
      <c r="W10" s="144" t="s">
        <v>114</v>
      </c>
      <c r="Z10" s="35" t="s">
        <v>94</v>
      </c>
      <c r="AA10" s="145" t="s">
        <v>0</v>
      </c>
      <c r="AB10" s="35" t="s">
        <v>20</v>
      </c>
      <c r="AC10" s="35" t="s">
        <v>115</v>
      </c>
      <c r="AD10" s="35" t="s">
        <v>21</v>
      </c>
      <c r="AE10" s="35" t="s">
        <v>22</v>
      </c>
      <c r="AF10" s="57" t="s">
        <v>25</v>
      </c>
      <c r="AG10" s="58" t="s">
        <v>27</v>
      </c>
      <c r="AH10" s="59" t="s">
        <v>24</v>
      </c>
    </row>
    <row r="11" spans="2:34" ht="20.100000000000001" customHeight="1" x14ac:dyDescent="0.3">
      <c r="B11" s="277"/>
      <c r="C11" s="146"/>
      <c r="D11" s="146"/>
      <c r="E11" s="147"/>
      <c r="F11" s="147"/>
      <c r="G11" s="148"/>
      <c r="H11" s="149"/>
      <c r="I11" s="150"/>
      <c r="J11" s="151"/>
      <c r="K11" s="152">
        <f>(Облигации[[#This Row],[Дата погашения/оферты]]-Облигации[[#This Row],[Дата покупки]])/365</f>
        <v>0</v>
      </c>
      <c r="L11" s="153" t="e">
        <f>Облигации[[#This Row],[Общие Затраты ]]/J$5</f>
        <v>#DIV/0!</v>
      </c>
      <c r="M11" s="154">
        <f>Облигации[[#This Row],[Затраты на покупку облигаций]]*T3</f>
        <v>0</v>
      </c>
      <c r="N11" s="155">
        <f>Облигации[[#This Row],[Цена облигации на момент покупки]]*Облигации[[#This Row],[Кол-во облигаций]]</f>
        <v>0</v>
      </c>
      <c r="O11" s="156">
        <f>F11*G11+(M11+J11)</f>
        <v>0</v>
      </c>
      <c r="P11" s="157" t="e">
        <f>R11/(F11*G11)</f>
        <v>#DIV/0!</v>
      </c>
      <c r="Q11" s="158" t="e">
        <f>P11*0.87</f>
        <v>#DIV/0!</v>
      </c>
      <c r="R11" s="159">
        <f>G11*H11*I11</f>
        <v>0</v>
      </c>
      <c r="S11" s="159">
        <f>R11*0.87</f>
        <v>0</v>
      </c>
      <c r="T11" s="159">
        <f t="shared" ref="T11" si="0">H11*I11*G11*K11</f>
        <v>0</v>
      </c>
      <c r="U11" s="159">
        <f>T11*0.87</f>
        <v>0</v>
      </c>
      <c r="V11" s="159">
        <f>(E11-F11)*G11+T11-M11</f>
        <v>0</v>
      </c>
      <c r="W11" s="160">
        <f>V11*0.87</f>
        <v>0</v>
      </c>
      <c r="Y11" s="161"/>
      <c r="Z11" s="162"/>
      <c r="AA11" s="146"/>
      <c r="AB11" s="29"/>
      <c r="AC11" s="30"/>
      <c r="AD11" s="163"/>
      <c r="AE11" s="164"/>
      <c r="AF11" s="55">
        <f>Акции_продажа4[[#This Row],[Дата продажи]]-Акции_продажа4[[#This Row],[Дата покупки]]</f>
        <v>0</v>
      </c>
      <c r="AG11" s="165">
        <f>(Акции_продажа4[[#This Row],[Стоимость продажи]]*Акции_продажа4[[#This Row],[Количество проданных облигаций]])-(Акции_продажа4[[#This Row],[Стоимость покуки]]*Акции_продажа4[[#This Row],[Количество проданных облигаций]])</f>
        <v>0</v>
      </c>
      <c r="AH11" s="53" t="e">
        <f>(Акции_продажа4[[#This Row],[Доход, ₽]]/Акции_продажа4[[#This Row],[Количество проданных облигаций]])/Акции_продажа4[[#This Row],[Стоимость покуки]]</f>
        <v>#DIV/0!</v>
      </c>
    </row>
    <row r="12" spans="2:34" ht="20.100000000000001" customHeight="1" x14ac:dyDescent="0.3">
      <c r="B12" s="166"/>
      <c r="C12" s="167"/>
      <c r="D12" s="167"/>
      <c r="E12" s="168"/>
      <c r="F12" s="168"/>
      <c r="G12" s="169"/>
      <c r="H12" s="170"/>
      <c r="I12" s="171"/>
      <c r="J12" s="172"/>
      <c r="K12" s="173"/>
      <c r="L12" s="174"/>
      <c r="M12" s="175"/>
      <c r="N12" s="176"/>
      <c r="O12" s="177"/>
      <c r="P12" s="178"/>
      <c r="Q12" s="179"/>
      <c r="R12" s="180"/>
      <c r="S12" s="180"/>
      <c r="T12" s="180"/>
      <c r="U12" s="180"/>
      <c r="V12" s="180"/>
      <c r="W12" s="181"/>
      <c r="Z12" s="36"/>
      <c r="AA12" s="36"/>
      <c r="AB12" s="37"/>
      <c r="AC12" s="30"/>
      <c r="AD12" s="14"/>
      <c r="AE12" s="51"/>
      <c r="AF12" s="56"/>
      <c r="AG12" s="14"/>
      <c r="AH12" s="25"/>
    </row>
    <row r="13" spans="2:34" ht="20.100000000000001" customHeight="1" x14ac:dyDescent="0.3">
      <c r="B13" s="166"/>
      <c r="C13" s="167"/>
      <c r="D13" s="167"/>
      <c r="E13" s="168"/>
      <c r="F13" s="168"/>
      <c r="G13" s="169"/>
      <c r="H13" s="170"/>
      <c r="I13" s="171"/>
      <c r="J13" s="172"/>
      <c r="K13" s="173"/>
      <c r="L13" s="174"/>
      <c r="M13" s="175"/>
      <c r="N13" s="176"/>
      <c r="O13" s="177"/>
      <c r="P13" s="178"/>
      <c r="Q13" s="179"/>
      <c r="R13" s="180"/>
      <c r="S13" s="180"/>
      <c r="T13" s="180"/>
      <c r="U13" s="180"/>
      <c r="V13" s="180"/>
      <c r="W13" s="181"/>
      <c r="Z13" s="36"/>
      <c r="AA13" s="36"/>
      <c r="AB13" s="37"/>
      <c r="AC13" s="30"/>
      <c r="AD13" s="14"/>
      <c r="AE13" s="51"/>
      <c r="AF13" s="56"/>
      <c r="AG13" s="14"/>
      <c r="AH13" s="25"/>
    </row>
    <row r="14" spans="2:34" ht="20.100000000000001" customHeight="1" x14ac:dyDescent="0.3">
      <c r="B14" s="166"/>
      <c r="C14" s="167"/>
      <c r="D14" s="167"/>
      <c r="E14" s="168"/>
      <c r="F14" s="168"/>
      <c r="G14" s="169"/>
      <c r="H14" s="170"/>
      <c r="I14" s="171"/>
      <c r="J14" s="172"/>
      <c r="K14" s="173"/>
      <c r="L14" s="174"/>
      <c r="M14" s="175"/>
      <c r="N14" s="176"/>
      <c r="O14" s="177"/>
      <c r="P14" s="178"/>
      <c r="Q14" s="179"/>
      <c r="R14" s="180"/>
      <c r="S14" s="180"/>
      <c r="T14" s="180"/>
      <c r="U14" s="180"/>
      <c r="V14" s="180"/>
      <c r="W14" s="181"/>
      <c r="Z14" s="36"/>
      <c r="AA14" s="36"/>
      <c r="AB14" s="37"/>
      <c r="AC14" s="13"/>
      <c r="AD14" s="14"/>
      <c r="AE14" s="51"/>
      <c r="AF14" s="56"/>
      <c r="AG14" s="14"/>
      <c r="AH14" s="25"/>
    </row>
    <row r="15" spans="2:34" ht="20.100000000000001" customHeight="1" x14ac:dyDescent="0.3">
      <c r="B15" s="166"/>
      <c r="C15" s="167"/>
      <c r="D15" s="167"/>
      <c r="E15" s="182"/>
      <c r="F15" s="182"/>
      <c r="G15" s="183"/>
      <c r="H15" s="184"/>
      <c r="I15" s="171"/>
      <c r="J15" s="172"/>
      <c r="K15" s="173"/>
      <c r="L15" s="174"/>
      <c r="M15" s="175"/>
      <c r="N15" s="176"/>
      <c r="O15" s="177"/>
      <c r="P15" s="178"/>
      <c r="Q15" s="179"/>
      <c r="R15" s="180"/>
      <c r="S15" s="180"/>
      <c r="T15" s="180"/>
      <c r="U15" s="180"/>
      <c r="V15" s="180"/>
      <c r="W15" s="181"/>
      <c r="Z15" s="36"/>
      <c r="AA15" s="36"/>
      <c r="AB15" s="37"/>
      <c r="AC15" s="13"/>
      <c r="AD15" s="14"/>
      <c r="AE15" s="51"/>
      <c r="AF15" s="56"/>
      <c r="AG15" s="14"/>
      <c r="AH15" s="25"/>
    </row>
    <row r="16" spans="2:34" ht="20.100000000000001" customHeight="1" x14ac:dyDescent="0.3">
      <c r="B16" s="166"/>
      <c r="C16" s="167"/>
      <c r="D16" s="167"/>
      <c r="E16" s="182"/>
      <c r="F16" s="168"/>
      <c r="G16" s="169"/>
      <c r="H16" s="170"/>
      <c r="I16" s="171"/>
      <c r="J16" s="185"/>
      <c r="K16" s="173"/>
      <c r="L16" s="174"/>
      <c r="M16" s="175"/>
      <c r="N16" s="176"/>
      <c r="O16" s="177"/>
      <c r="P16" s="178"/>
      <c r="Q16" s="179"/>
      <c r="R16" s="180"/>
      <c r="S16" s="180"/>
      <c r="T16" s="180"/>
      <c r="U16" s="180"/>
      <c r="V16" s="180"/>
      <c r="W16" s="181"/>
      <c r="Z16" s="36"/>
      <c r="AA16" s="36"/>
      <c r="AB16" s="37"/>
      <c r="AC16" s="13"/>
      <c r="AD16" s="14"/>
      <c r="AE16" s="51"/>
      <c r="AF16" s="56"/>
      <c r="AG16" s="14"/>
      <c r="AH16" s="25"/>
    </row>
    <row r="17" spans="2:34" ht="20.100000000000001" customHeight="1" x14ac:dyDescent="0.3">
      <c r="B17" s="166"/>
      <c r="C17" s="167"/>
      <c r="D17" s="167"/>
      <c r="E17" s="168"/>
      <c r="F17" s="168"/>
      <c r="G17" s="169"/>
      <c r="H17" s="170"/>
      <c r="I17" s="171"/>
      <c r="J17" s="185"/>
      <c r="K17" s="173"/>
      <c r="L17" s="174"/>
      <c r="M17" s="175"/>
      <c r="N17" s="176"/>
      <c r="O17" s="177"/>
      <c r="P17" s="178"/>
      <c r="Q17" s="179"/>
      <c r="R17" s="180"/>
      <c r="S17" s="180"/>
      <c r="T17" s="180"/>
      <c r="U17" s="180"/>
      <c r="V17" s="180"/>
      <c r="W17" s="181"/>
      <c r="Z17" s="36"/>
      <c r="AA17" s="36"/>
      <c r="AB17" s="37"/>
      <c r="AC17" s="13"/>
      <c r="AD17" s="14"/>
      <c r="AE17" s="51"/>
      <c r="AF17" s="56"/>
      <c r="AG17" s="14"/>
      <c r="AH17" s="25"/>
    </row>
    <row r="18" spans="2:34" ht="20.100000000000001" customHeight="1" x14ac:dyDescent="0.3">
      <c r="B18" s="166"/>
      <c r="C18" s="167"/>
      <c r="D18" s="167"/>
      <c r="E18" s="168"/>
      <c r="F18" s="168"/>
      <c r="G18" s="169"/>
      <c r="H18" s="170"/>
      <c r="I18" s="171"/>
      <c r="J18" s="185"/>
      <c r="K18" s="173"/>
      <c r="L18" s="174"/>
      <c r="M18" s="175"/>
      <c r="N18" s="176"/>
      <c r="O18" s="177"/>
      <c r="P18" s="178"/>
      <c r="Q18" s="179"/>
      <c r="R18" s="180"/>
      <c r="S18" s="180"/>
      <c r="T18" s="180"/>
      <c r="U18" s="180"/>
      <c r="V18" s="180"/>
      <c r="W18" s="181"/>
      <c r="Z18" s="36"/>
      <c r="AA18" s="36"/>
      <c r="AB18" s="37"/>
      <c r="AC18" s="13"/>
      <c r="AD18" s="14"/>
      <c r="AE18" s="51"/>
      <c r="AF18" s="56"/>
      <c r="AG18" s="14"/>
      <c r="AH18" s="25"/>
    </row>
    <row r="19" spans="2:34" ht="20.100000000000001" customHeight="1" x14ac:dyDescent="0.3">
      <c r="B19" s="186"/>
      <c r="C19" s="167"/>
      <c r="D19" s="187"/>
      <c r="E19" s="188"/>
      <c r="F19" s="168"/>
      <c r="G19" s="169"/>
      <c r="H19" s="170"/>
      <c r="I19" s="171"/>
      <c r="J19" s="172"/>
      <c r="K19" s="173"/>
      <c r="L19" s="174"/>
      <c r="M19" s="175"/>
      <c r="N19" s="176"/>
      <c r="O19" s="177"/>
      <c r="P19" s="178"/>
      <c r="Q19" s="179"/>
      <c r="R19" s="180"/>
      <c r="S19" s="180"/>
      <c r="T19" s="180"/>
      <c r="U19" s="180"/>
      <c r="V19" s="180"/>
      <c r="W19" s="181"/>
      <c r="Z19" s="36"/>
      <c r="AA19" s="36"/>
      <c r="AB19" s="37"/>
      <c r="AC19" s="13"/>
      <c r="AD19" s="14"/>
      <c r="AE19" s="51"/>
      <c r="AF19" s="56"/>
      <c r="AG19" s="14"/>
      <c r="AH19" s="25"/>
    </row>
    <row r="20" spans="2:34" ht="20.100000000000001" customHeight="1" x14ac:dyDescent="0.3">
      <c r="B20" s="186"/>
      <c r="C20" s="167"/>
      <c r="D20" s="187"/>
      <c r="E20" s="188"/>
      <c r="F20" s="168"/>
      <c r="G20" s="169"/>
      <c r="H20" s="170"/>
      <c r="I20" s="171"/>
      <c r="J20" s="172"/>
      <c r="K20" s="173"/>
      <c r="L20" s="174"/>
      <c r="M20" s="175"/>
      <c r="N20" s="176"/>
      <c r="O20" s="177"/>
      <c r="P20" s="178"/>
      <c r="Q20" s="179"/>
      <c r="R20" s="180"/>
      <c r="S20" s="180"/>
      <c r="T20" s="180"/>
      <c r="U20" s="180"/>
      <c r="V20" s="180"/>
      <c r="W20" s="181"/>
      <c r="Z20" s="36"/>
      <c r="AA20" s="36"/>
      <c r="AB20" s="37"/>
      <c r="AC20" s="13"/>
      <c r="AD20" s="14"/>
      <c r="AE20" s="51"/>
      <c r="AF20" s="56"/>
      <c r="AG20" s="14"/>
      <c r="AH20" s="25"/>
    </row>
    <row r="21" spans="2:34" ht="20.100000000000001" customHeight="1" x14ac:dyDescent="0.3">
      <c r="B21" s="186"/>
      <c r="C21" s="167"/>
      <c r="D21" s="187"/>
      <c r="E21" s="188"/>
      <c r="F21" s="168"/>
      <c r="G21" s="169"/>
      <c r="H21" s="170"/>
      <c r="I21" s="171"/>
      <c r="J21" s="172"/>
      <c r="K21" s="173"/>
      <c r="L21" s="174"/>
      <c r="M21" s="175"/>
      <c r="N21" s="176"/>
      <c r="O21" s="177"/>
      <c r="P21" s="178"/>
      <c r="Q21" s="179"/>
      <c r="R21" s="180"/>
      <c r="S21" s="180"/>
      <c r="T21" s="180"/>
      <c r="U21" s="180"/>
      <c r="V21" s="180"/>
      <c r="W21" s="181"/>
      <c r="Z21" s="36"/>
      <c r="AA21" s="36"/>
      <c r="AB21" s="37"/>
      <c r="AC21" s="13"/>
      <c r="AD21" s="14"/>
      <c r="AE21" s="51"/>
      <c r="AF21" s="56"/>
      <c r="AG21" s="14"/>
      <c r="AH21" s="25"/>
    </row>
    <row r="22" spans="2:34" ht="20.100000000000001" customHeight="1" x14ac:dyDescent="0.3">
      <c r="B22" s="186"/>
      <c r="C22" s="167"/>
      <c r="D22" s="187"/>
      <c r="E22" s="188"/>
      <c r="F22" s="168"/>
      <c r="G22" s="169"/>
      <c r="H22" s="170"/>
      <c r="I22" s="171"/>
      <c r="J22" s="172"/>
      <c r="K22" s="173"/>
      <c r="L22" s="174"/>
      <c r="M22" s="175"/>
      <c r="N22" s="176"/>
      <c r="O22" s="177"/>
      <c r="P22" s="178"/>
      <c r="Q22" s="179"/>
      <c r="R22" s="180"/>
      <c r="S22" s="180"/>
      <c r="T22" s="180"/>
      <c r="U22" s="180"/>
      <c r="V22" s="180"/>
      <c r="W22" s="181"/>
      <c r="Z22" s="36"/>
      <c r="AA22" s="36"/>
      <c r="AB22" s="37"/>
      <c r="AC22" s="13"/>
      <c r="AD22" s="14"/>
      <c r="AE22" s="51"/>
      <c r="AF22" s="56"/>
      <c r="AG22" s="14"/>
      <c r="AH22" s="25"/>
    </row>
    <row r="23" spans="2:34" ht="20.100000000000001" customHeight="1" x14ac:dyDescent="0.3">
      <c r="B23" s="186"/>
      <c r="C23" s="167"/>
      <c r="D23" s="187"/>
      <c r="E23" s="188"/>
      <c r="F23" s="168"/>
      <c r="G23" s="169"/>
      <c r="H23" s="170"/>
      <c r="I23" s="171"/>
      <c r="J23" s="172"/>
      <c r="K23" s="173"/>
      <c r="L23" s="174"/>
      <c r="M23" s="175"/>
      <c r="N23" s="176"/>
      <c r="O23" s="177"/>
      <c r="P23" s="178"/>
      <c r="Q23" s="179"/>
      <c r="R23" s="180"/>
      <c r="S23" s="180"/>
      <c r="T23" s="180"/>
      <c r="U23" s="180"/>
      <c r="V23" s="180"/>
      <c r="W23" s="181"/>
      <c r="Z23" s="36"/>
      <c r="AA23" s="36"/>
      <c r="AB23" s="37"/>
      <c r="AC23" s="13"/>
      <c r="AD23" s="14"/>
      <c r="AE23" s="51"/>
      <c r="AF23" s="56"/>
      <c r="AG23" s="14"/>
      <c r="AH23" s="25"/>
    </row>
    <row r="24" spans="2:34" ht="20.100000000000001" customHeight="1" x14ac:dyDescent="0.3">
      <c r="B24" s="186"/>
      <c r="C24" s="167"/>
      <c r="D24" s="187"/>
      <c r="E24" s="188"/>
      <c r="F24" s="168"/>
      <c r="G24" s="169"/>
      <c r="H24" s="170"/>
      <c r="I24" s="171"/>
      <c r="J24" s="172"/>
      <c r="K24" s="173"/>
      <c r="L24" s="174"/>
      <c r="M24" s="175"/>
      <c r="N24" s="176"/>
      <c r="O24" s="177"/>
      <c r="P24" s="178"/>
      <c r="Q24" s="179"/>
      <c r="R24" s="180"/>
      <c r="S24" s="180"/>
      <c r="T24" s="180"/>
      <c r="U24" s="180"/>
      <c r="V24" s="180"/>
      <c r="W24" s="181"/>
      <c r="Z24" s="36"/>
      <c r="AA24" s="36"/>
      <c r="AB24" s="37"/>
      <c r="AC24" s="13"/>
      <c r="AD24" s="14"/>
      <c r="AE24" s="51"/>
      <c r="AF24" s="56"/>
      <c r="AG24" s="14"/>
      <c r="AH24" s="25"/>
    </row>
    <row r="25" spans="2:34" ht="20.100000000000001" customHeight="1" x14ac:dyDescent="0.3">
      <c r="B25" s="186"/>
      <c r="C25" s="167"/>
      <c r="D25" s="187"/>
      <c r="E25" s="188"/>
      <c r="F25" s="168"/>
      <c r="G25" s="169"/>
      <c r="H25" s="170"/>
      <c r="I25" s="171"/>
      <c r="J25" s="172"/>
      <c r="K25" s="173"/>
      <c r="L25" s="174"/>
      <c r="M25" s="175"/>
      <c r="N25" s="176"/>
      <c r="O25" s="177"/>
      <c r="P25" s="178"/>
      <c r="Q25" s="179"/>
      <c r="R25" s="180"/>
      <c r="S25" s="180"/>
      <c r="T25" s="180"/>
      <c r="U25" s="180"/>
      <c r="V25" s="180"/>
      <c r="W25" s="181"/>
      <c r="Z25" s="36"/>
      <c r="AA25" s="36"/>
      <c r="AB25" s="37"/>
      <c r="AC25" s="13"/>
      <c r="AD25" s="14"/>
      <c r="AE25" s="51"/>
      <c r="AF25" s="56"/>
      <c r="AG25" s="14"/>
      <c r="AH25" s="25"/>
    </row>
    <row r="26" spans="2:34" ht="20.100000000000001" customHeight="1" x14ac:dyDescent="0.3">
      <c r="B26" s="186"/>
      <c r="C26" s="167"/>
      <c r="D26" s="187"/>
      <c r="E26" s="188"/>
      <c r="F26" s="168"/>
      <c r="G26" s="169"/>
      <c r="H26" s="170"/>
      <c r="I26" s="171"/>
      <c r="J26" s="172"/>
      <c r="K26" s="173"/>
      <c r="L26" s="174"/>
      <c r="M26" s="175"/>
      <c r="N26" s="176"/>
      <c r="O26" s="177"/>
      <c r="P26" s="178"/>
      <c r="Q26" s="179"/>
      <c r="R26" s="180"/>
      <c r="S26" s="180"/>
      <c r="T26" s="180"/>
      <c r="U26" s="180"/>
      <c r="V26" s="180"/>
      <c r="W26" s="181"/>
      <c r="Z26" s="36"/>
      <c r="AA26" s="36"/>
      <c r="AB26" s="37"/>
      <c r="AC26" s="13"/>
      <c r="AD26" s="14"/>
      <c r="AE26" s="51"/>
      <c r="AF26" s="56"/>
      <c r="AG26" s="14"/>
      <c r="AH26" s="25"/>
    </row>
    <row r="27" spans="2:34" ht="20.100000000000001" customHeight="1" x14ac:dyDescent="0.3">
      <c r="B27" s="186"/>
      <c r="C27" s="167"/>
      <c r="D27" s="187"/>
      <c r="E27" s="188"/>
      <c r="F27" s="168"/>
      <c r="G27" s="169"/>
      <c r="H27" s="170"/>
      <c r="I27" s="171"/>
      <c r="J27" s="172"/>
      <c r="K27" s="173"/>
      <c r="L27" s="174"/>
      <c r="M27" s="175"/>
      <c r="N27" s="176"/>
      <c r="O27" s="177"/>
      <c r="P27" s="178"/>
      <c r="Q27" s="179"/>
      <c r="R27" s="180"/>
      <c r="S27" s="180"/>
      <c r="T27" s="180"/>
      <c r="U27" s="180"/>
      <c r="V27" s="180"/>
      <c r="W27" s="181"/>
      <c r="Z27" s="36"/>
      <c r="AA27" s="36"/>
      <c r="AB27" s="37"/>
      <c r="AC27" s="13"/>
      <c r="AD27" s="14"/>
      <c r="AE27" s="51"/>
      <c r="AF27" s="56"/>
      <c r="AG27" s="14"/>
      <c r="AH27" s="25"/>
    </row>
    <row r="28" spans="2:34" ht="20.100000000000001" customHeight="1" x14ac:dyDescent="0.3">
      <c r="B28" s="186"/>
      <c r="C28" s="167"/>
      <c r="D28" s="187"/>
      <c r="E28" s="188"/>
      <c r="F28" s="168"/>
      <c r="G28" s="169"/>
      <c r="H28" s="170"/>
      <c r="I28" s="171"/>
      <c r="J28" s="172"/>
      <c r="K28" s="173"/>
      <c r="L28" s="174"/>
      <c r="M28" s="175"/>
      <c r="N28" s="176"/>
      <c r="O28" s="177"/>
      <c r="P28" s="178"/>
      <c r="Q28" s="179"/>
      <c r="R28" s="180"/>
      <c r="S28" s="180"/>
      <c r="T28" s="180"/>
      <c r="U28" s="180"/>
      <c r="V28" s="180"/>
      <c r="W28" s="181"/>
      <c r="Z28" s="36"/>
      <c r="AA28" s="36"/>
      <c r="AB28" s="37"/>
      <c r="AC28" s="13"/>
      <c r="AD28" s="14"/>
      <c r="AE28" s="51"/>
      <c r="AF28" s="56"/>
      <c r="AG28" s="14"/>
      <c r="AH28" s="25"/>
    </row>
    <row r="29" spans="2:34" ht="20.100000000000001" customHeight="1" x14ac:dyDescent="0.3">
      <c r="B29" s="186"/>
      <c r="C29" s="167"/>
      <c r="D29" s="187"/>
      <c r="E29" s="188"/>
      <c r="F29" s="168"/>
      <c r="G29" s="169"/>
      <c r="H29" s="170"/>
      <c r="I29" s="171"/>
      <c r="J29" s="172"/>
      <c r="K29" s="173"/>
      <c r="L29" s="174"/>
      <c r="M29" s="175"/>
      <c r="N29" s="176"/>
      <c r="O29" s="177"/>
      <c r="P29" s="178"/>
      <c r="Q29" s="179"/>
      <c r="R29" s="180"/>
      <c r="S29" s="180"/>
      <c r="T29" s="180"/>
      <c r="U29" s="180"/>
      <c r="V29" s="180"/>
      <c r="W29" s="181"/>
      <c r="Z29" s="36"/>
      <c r="AA29" s="36"/>
      <c r="AB29" s="37"/>
      <c r="AC29" s="13"/>
      <c r="AD29" s="14"/>
      <c r="AE29" s="51"/>
      <c r="AF29" s="56"/>
      <c r="AG29" s="14"/>
      <c r="AH29" s="25"/>
    </row>
    <row r="30" spans="2:34" ht="21" customHeight="1" x14ac:dyDescent="0.3">
      <c r="B30" s="186"/>
      <c r="C30" s="167"/>
      <c r="D30" s="187"/>
      <c r="E30" s="188"/>
      <c r="F30" s="168"/>
      <c r="G30" s="169"/>
      <c r="H30" s="170"/>
      <c r="I30" s="171"/>
      <c r="J30" s="172"/>
      <c r="K30" s="173"/>
      <c r="L30" s="174"/>
      <c r="M30" s="175"/>
      <c r="N30" s="176"/>
      <c r="O30" s="177"/>
      <c r="P30" s="178"/>
      <c r="Q30" s="179"/>
      <c r="R30" s="180"/>
      <c r="S30" s="180"/>
      <c r="T30" s="180"/>
      <c r="U30" s="180"/>
      <c r="V30" s="180"/>
      <c r="W30" s="181"/>
      <c r="Z30" s="38"/>
      <c r="AA30" s="38"/>
      <c r="AB30" s="37"/>
      <c r="AC30" s="13"/>
      <c r="AD30" s="14"/>
      <c r="AE30" s="51"/>
      <c r="AF30" s="56"/>
      <c r="AG30" s="14"/>
      <c r="AH30" s="25"/>
    </row>
    <row r="31" spans="2:34" ht="20.100000000000001" customHeight="1" x14ac:dyDescent="0.3">
      <c r="B31" s="189"/>
      <c r="C31" s="190"/>
      <c r="D31" s="190"/>
      <c r="E31" s="180"/>
      <c r="F31" s="180"/>
      <c r="G31" s="191"/>
      <c r="H31" s="192"/>
      <c r="I31" s="193"/>
      <c r="J31" s="194"/>
      <c r="K31" s="195"/>
      <c r="L31" s="196"/>
      <c r="M31" s="175"/>
      <c r="N31" s="176"/>
      <c r="O31" s="177"/>
      <c r="P31" s="178"/>
      <c r="Q31" s="179"/>
      <c r="R31" s="180"/>
      <c r="S31" s="180"/>
      <c r="T31" s="180"/>
      <c r="U31" s="180"/>
      <c r="V31" s="180"/>
      <c r="W31" s="181"/>
      <c r="Z31" s="36"/>
      <c r="AA31" s="36"/>
      <c r="AB31" s="37"/>
      <c r="AC31" s="13"/>
      <c r="AD31" s="14"/>
      <c r="AE31" s="51"/>
      <c r="AF31" s="56"/>
      <c r="AG31" s="14"/>
      <c r="AH31" s="25"/>
    </row>
    <row r="32" spans="2:34" ht="20.100000000000001" customHeight="1" x14ac:dyDescent="0.3">
      <c r="B32" s="189"/>
      <c r="C32" s="190"/>
      <c r="D32" s="190"/>
      <c r="E32" s="180"/>
      <c r="F32" s="180"/>
      <c r="G32" s="191"/>
      <c r="H32" s="192"/>
      <c r="I32" s="193"/>
      <c r="J32" s="194"/>
      <c r="K32" s="195"/>
      <c r="L32" s="196"/>
      <c r="M32" s="175"/>
      <c r="N32" s="176"/>
      <c r="O32" s="177"/>
      <c r="P32" s="178"/>
      <c r="Q32" s="179"/>
      <c r="R32" s="180"/>
      <c r="S32" s="180"/>
      <c r="T32" s="180"/>
      <c r="U32" s="180"/>
      <c r="V32" s="180"/>
      <c r="W32" s="181"/>
      <c r="Z32" s="36"/>
      <c r="AA32" s="36"/>
      <c r="AB32" s="37"/>
      <c r="AC32" s="13"/>
      <c r="AD32" s="14"/>
      <c r="AE32" s="51"/>
      <c r="AF32" s="56"/>
      <c r="AG32" s="14"/>
      <c r="AH32" s="25"/>
    </row>
    <row r="33" spans="2:34" ht="20.100000000000001" customHeight="1" x14ac:dyDescent="0.3">
      <c r="B33" s="197"/>
      <c r="C33" s="190"/>
      <c r="D33" s="190"/>
      <c r="E33" s="180"/>
      <c r="F33" s="180"/>
      <c r="G33" s="191"/>
      <c r="H33" s="192"/>
      <c r="I33" s="193"/>
      <c r="J33" s="194"/>
      <c r="K33" s="195"/>
      <c r="L33" s="196"/>
      <c r="M33" s="175"/>
      <c r="N33" s="176"/>
      <c r="O33" s="177"/>
      <c r="P33" s="178"/>
      <c r="Q33" s="179"/>
      <c r="R33" s="180"/>
      <c r="S33" s="180"/>
      <c r="T33" s="180"/>
      <c r="U33" s="180"/>
      <c r="V33" s="180"/>
      <c r="W33" s="181"/>
      <c r="Z33" s="36"/>
      <c r="AA33" s="36"/>
      <c r="AB33" s="37"/>
      <c r="AC33" s="13"/>
      <c r="AD33" s="14"/>
      <c r="AE33" s="51"/>
      <c r="AF33" s="56"/>
      <c r="AG33" s="14"/>
      <c r="AH33" s="25"/>
    </row>
    <row r="34" spans="2:34" ht="20.100000000000001" customHeight="1" x14ac:dyDescent="0.3">
      <c r="B34" s="189"/>
      <c r="C34" s="190"/>
      <c r="D34" s="190"/>
      <c r="E34" s="180"/>
      <c r="F34" s="180"/>
      <c r="G34" s="191"/>
      <c r="H34" s="192"/>
      <c r="I34" s="193"/>
      <c r="J34" s="194"/>
      <c r="K34" s="195"/>
      <c r="L34" s="196"/>
      <c r="M34" s="175"/>
      <c r="N34" s="176"/>
      <c r="O34" s="177"/>
      <c r="P34" s="178"/>
      <c r="Q34" s="179"/>
      <c r="R34" s="180"/>
      <c r="S34" s="180"/>
      <c r="T34" s="180"/>
      <c r="U34" s="180"/>
      <c r="V34" s="180"/>
      <c r="W34" s="181"/>
      <c r="Z34" s="36"/>
      <c r="AA34" s="36"/>
      <c r="AB34" s="37"/>
      <c r="AC34" s="13"/>
      <c r="AD34" s="14"/>
      <c r="AE34" s="51"/>
      <c r="AF34" s="56"/>
      <c r="AG34" s="14"/>
      <c r="AH34" s="25"/>
    </row>
    <row r="35" spans="2:34" ht="20.100000000000001" customHeight="1" x14ac:dyDescent="0.3">
      <c r="B35" s="189"/>
      <c r="C35" s="190"/>
      <c r="D35" s="190"/>
      <c r="E35" s="180"/>
      <c r="F35" s="180"/>
      <c r="G35" s="191"/>
      <c r="H35" s="192"/>
      <c r="I35" s="193"/>
      <c r="J35" s="194"/>
      <c r="K35" s="195"/>
      <c r="L35" s="196"/>
      <c r="M35" s="175"/>
      <c r="N35" s="176"/>
      <c r="O35" s="177"/>
      <c r="P35" s="178"/>
      <c r="Q35" s="179"/>
      <c r="R35" s="180"/>
      <c r="S35" s="180"/>
      <c r="T35" s="180"/>
      <c r="U35" s="180"/>
      <c r="V35" s="180"/>
      <c r="W35" s="181"/>
      <c r="Z35" s="36"/>
      <c r="AA35" s="36"/>
      <c r="AB35" s="37"/>
      <c r="AC35" s="13"/>
      <c r="AD35" s="14"/>
      <c r="AE35" s="51"/>
      <c r="AF35" s="56"/>
      <c r="AG35" s="14"/>
      <c r="AH35" s="25"/>
    </row>
    <row r="36" spans="2:34" ht="20.100000000000001" customHeight="1" x14ac:dyDescent="0.3">
      <c r="B36" s="189"/>
      <c r="C36" s="190"/>
      <c r="D36" s="190"/>
      <c r="E36" s="180"/>
      <c r="F36" s="180"/>
      <c r="G36" s="191"/>
      <c r="H36" s="192"/>
      <c r="I36" s="193"/>
      <c r="J36" s="194"/>
      <c r="K36" s="195"/>
      <c r="L36" s="196"/>
      <c r="M36" s="175"/>
      <c r="N36" s="176"/>
      <c r="O36" s="177"/>
      <c r="P36" s="178"/>
      <c r="Q36" s="179"/>
      <c r="R36" s="180"/>
      <c r="S36" s="180"/>
      <c r="T36" s="180"/>
      <c r="U36" s="180"/>
      <c r="V36" s="180"/>
      <c r="W36" s="181"/>
      <c r="Z36" s="36"/>
      <c r="AA36" s="36"/>
      <c r="AB36" s="37"/>
      <c r="AC36" s="13"/>
      <c r="AD36" s="14"/>
      <c r="AE36" s="51"/>
      <c r="AF36" s="56"/>
      <c r="AG36" s="14"/>
      <c r="AH36" s="25"/>
    </row>
    <row r="37" spans="2:34" ht="20.100000000000001" customHeight="1" x14ac:dyDescent="0.3">
      <c r="B37" s="189"/>
      <c r="C37" s="190"/>
      <c r="D37" s="190"/>
      <c r="E37" s="180"/>
      <c r="F37" s="180"/>
      <c r="G37" s="191"/>
      <c r="H37" s="192"/>
      <c r="I37" s="193"/>
      <c r="J37" s="194"/>
      <c r="K37" s="195"/>
      <c r="L37" s="196"/>
      <c r="M37" s="175"/>
      <c r="N37" s="176"/>
      <c r="O37" s="177"/>
      <c r="P37" s="178"/>
      <c r="Q37" s="179"/>
      <c r="R37" s="180"/>
      <c r="S37" s="180"/>
      <c r="T37" s="180"/>
      <c r="U37" s="180"/>
      <c r="V37" s="180"/>
      <c r="W37" s="181"/>
      <c r="Z37" s="36"/>
      <c r="AA37" s="36"/>
      <c r="AB37" s="37"/>
      <c r="AC37" s="13"/>
      <c r="AD37" s="14"/>
      <c r="AE37" s="51"/>
      <c r="AF37" s="56"/>
      <c r="AG37" s="14"/>
      <c r="AH37" s="25"/>
    </row>
    <row r="38" spans="2:34" ht="20.100000000000001" customHeight="1" x14ac:dyDescent="0.3">
      <c r="B38" s="189"/>
      <c r="C38" s="190"/>
      <c r="D38" s="190"/>
      <c r="E38" s="180"/>
      <c r="F38" s="180"/>
      <c r="G38" s="191"/>
      <c r="H38" s="192"/>
      <c r="I38" s="193"/>
      <c r="J38" s="194"/>
      <c r="K38" s="195"/>
      <c r="L38" s="196"/>
      <c r="M38" s="175"/>
      <c r="N38" s="176"/>
      <c r="O38" s="177"/>
      <c r="P38" s="178"/>
      <c r="Q38" s="179"/>
      <c r="R38" s="180"/>
      <c r="S38" s="180"/>
      <c r="T38" s="180"/>
      <c r="U38" s="180"/>
      <c r="V38" s="180"/>
      <c r="W38" s="181"/>
      <c r="Z38" s="36"/>
      <c r="AA38" s="36"/>
      <c r="AB38" s="37"/>
      <c r="AC38" s="13"/>
      <c r="AD38" s="14"/>
      <c r="AE38" s="51"/>
      <c r="AF38" s="56"/>
      <c r="AG38" s="14"/>
      <c r="AH38" s="25"/>
    </row>
    <row r="39" spans="2:34" ht="20.100000000000001" customHeight="1" x14ac:dyDescent="0.3">
      <c r="B39" s="189"/>
      <c r="C39" s="190"/>
      <c r="D39" s="190"/>
      <c r="E39" s="180"/>
      <c r="F39" s="180"/>
      <c r="G39" s="191"/>
      <c r="H39" s="192"/>
      <c r="I39" s="193"/>
      <c r="J39" s="194"/>
      <c r="K39" s="195"/>
      <c r="L39" s="196"/>
      <c r="M39" s="175"/>
      <c r="N39" s="176"/>
      <c r="O39" s="177"/>
      <c r="P39" s="178"/>
      <c r="Q39" s="179"/>
      <c r="R39" s="180"/>
      <c r="S39" s="180"/>
      <c r="T39" s="180"/>
      <c r="U39" s="180"/>
      <c r="V39" s="180"/>
      <c r="W39" s="181"/>
      <c r="Z39" s="36"/>
      <c r="AA39" s="36"/>
      <c r="AB39" s="37"/>
      <c r="AC39" s="13"/>
      <c r="AD39" s="14"/>
      <c r="AE39" s="51"/>
      <c r="AF39" s="56"/>
      <c r="AG39" s="14"/>
      <c r="AH39" s="25"/>
    </row>
    <row r="40" spans="2:34" ht="20.100000000000001" customHeight="1" x14ac:dyDescent="0.3">
      <c r="B40" s="189"/>
      <c r="C40" s="190"/>
      <c r="D40" s="190"/>
      <c r="E40" s="180"/>
      <c r="F40" s="180"/>
      <c r="G40" s="191"/>
      <c r="H40" s="192"/>
      <c r="I40" s="193"/>
      <c r="J40" s="194"/>
      <c r="K40" s="195"/>
      <c r="L40" s="196"/>
      <c r="M40" s="175"/>
      <c r="N40" s="176"/>
      <c r="O40" s="177"/>
      <c r="P40" s="178"/>
      <c r="Q40" s="179"/>
      <c r="R40" s="180"/>
      <c r="S40" s="180"/>
      <c r="T40" s="180"/>
      <c r="U40" s="180"/>
      <c r="V40" s="180"/>
      <c r="W40" s="181"/>
      <c r="Z40" s="36"/>
      <c r="AA40" s="36"/>
      <c r="AB40" s="37"/>
      <c r="AC40" s="13"/>
      <c r="AD40" s="14"/>
      <c r="AE40" s="51"/>
      <c r="AF40" s="56"/>
      <c r="AG40" s="14"/>
      <c r="AH40" s="25"/>
    </row>
    <row r="41" spans="2:34" ht="20.100000000000001" customHeight="1" x14ac:dyDescent="0.3">
      <c r="B41" s="189"/>
      <c r="C41" s="190"/>
      <c r="D41" s="190"/>
      <c r="E41" s="180"/>
      <c r="F41" s="180"/>
      <c r="G41" s="191"/>
      <c r="H41" s="192"/>
      <c r="I41" s="193"/>
      <c r="J41" s="194"/>
      <c r="K41" s="195"/>
      <c r="L41" s="196"/>
      <c r="M41" s="175"/>
      <c r="N41" s="176"/>
      <c r="O41" s="177"/>
      <c r="P41" s="178"/>
      <c r="Q41" s="179"/>
      <c r="R41" s="180"/>
      <c r="S41" s="180"/>
      <c r="T41" s="180"/>
      <c r="U41" s="180"/>
      <c r="V41" s="180"/>
      <c r="W41" s="181"/>
      <c r="Z41" s="36"/>
      <c r="AA41" s="36"/>
      <c r="AB41" s="37"/>
      <c r="AC41" s="13"/>
      <c r="AD41" s="14"/>
      <c r="AE41" s="51"/>
      <c r="AF41" s="56"/>
      <c r="AG41" s="14"/>
      <c r="AH41" s="25"/>
    </row>
    <row r="42" spans="2:34" ht="20.100000000000001" customHeight="1" x14ac:dyDescent="0.3">
      <c r="B42" s="189"/>
      <c r="C42" s="190"/>
      <c r="D42" s="190"/>
      <c r="E42" s="180"/>
      <c r="F42" s="180"/>
      <c r="G42" s="191"/>
      <c r="H42" s="192"/>
      <c r="I42" s="193"/>
      <c r="J42" s="194"/>
      <c r="K42" s="195"/>
      <c r="L42" s="196"/>
      <c r="M42" s="175"/>
      <c r="N42" s="176"/>
      <c r="O42" s="177"/>
      <c r="P42" s="178"/>
      <c r="Q42" s="179"/>
      <c r="R42" s="180"/>
      <c r="S42" s="180"/>
      <c r="T42" s="180"/>
      <c r="U42" s="180"/>
      <c r="V42" s="180"/>
      <c r="W42" s="181"/>
      <c r="Z42" s="36"/>
      <c r="AA42" s="36"/>
      <c r="AB42" s="37"/>
      <c r="AC42" s="13"/>
      <c r="AD42" s="14"/>
      <c r="AE42" s="51"/>
      <c r="AF42" s="56"/>
      <c r="AG42" s="14"/>
      <c r="AH42" s="25"/>
    </row>
    <row r="43" spans="2:34" ht="20.100000000000001" customHeight="1" x14ac:dyDescent="0.3">
      <c r="B43" s="189"/>
      <c r="C43" s="190"/>
      <c r="D43" s="190"/>
      <c r="E43" s="180"/>
      <c r="F43" s="180"/>
      <c r="G43" s="191"/>
      <c r="H43" s="192"/>
      <c r="I43" s="193"/>
      <c r="J43" s="194"/>
      <c r="K43" s="195"/>
      <c r="L43" s="196"/>
      <c r="M43" s="175"/>
      <c r="N43" s="176"/>
      <c r="O43" s="177"/>
      <c r="P43" s="178"/>
      <c r="Q43" s="179"/>
      <c r="R43" s="180"/>
      <c r="S43" s="180"/>
      <c r="T43" s="180"/>
      <c r="U43" s="180"/>
      <c r="V43" s="180"/>
      <c r="W43" s="181"/>
      <c r="Z43" s="36"/>
      <c r="AA43" s="36"/>
      <c r="AB43" s="37"/>
      <c r="AC43" s="13"/>
      <c r="AD43" s="14"/>
      <c r="AE43" s="51"/>
      <c r="AF43" s="56"/>
      <c r="AG43" s="14"/>
      <c r="AH43" s="25"/>
    </row>
    <row r="44" spans="2:34" ht="20.100000000000001" customHeight="1" x14ac:dyDescent="0.3">
      <c r="B44" s="189"/>
      <c r="C44" s="190"/>
      <c r="D44" s="190"/>
      <c r="E44" s="180"/>
      <c r="F44" s="180"/>
      <c r="G44" s="191"/>
      <c r="H44" s="192"/>
      <c r="I44" s="193"/>
      <c r="J44" s="194"/>
      <c r="K44" s="195"/>
      <c r="L44" s="196"/>
      <c r="M44" s="175"/>
      <c r="N44" s="176"/>
      <c r="O44" s="177"/>
      <c r="P44" s="178"/>
      <c r="Q44" s="179"/>
      <c r="R44" s="180"/>
      <c r="S44" s="180"/>
      <c r="T44" s="180"/>
      <c r="U44" s="180"/>
      <c r="V44" s="180"/>
      <c r="W44" s="181"/>
      <c r="Z44" s="36"/>
      <c r="AA44" s="36"/>
      <c r="AB44" s="37"/>
      <c r="AC44" s="13"/>
      <c r="AD44" s="14"/>
      <c r="AE44" s="51"/>
      <c r="AF44" s="56"/>
      <c r="AG44" s="14"/>
      <c r="AH44" s="25"/>
    </row>
    <row r="45" spans="2:34" ht="20.100000000000001" customHeight="1" x14ac:dyDescent="0.3">
      <c r="B45" s="189"/>
      <c r="C45" s="190"/>
      <c r="D45" s="190"/>
      <c r="E45" s="180"/>
      <c r="F45" s="180"/>
      <c r="G45" s="191"/>
      <c r="H45" s="192"/>
      <c r="I45" s="193"/>
      <c r="J45" s="194"/>
      <c r="K45" s="195"/>
      <c r="L45" s="196"/>
      <c r="M45" s="175"/>
      <c r="N45" s="176"/>
      <c r="O45" s="177"/>
      <c r="P45" s="178"/>
      <c r="Q45" s="179"/>
      <c r="R45" s="180"/>
      <c r="S45" s="180"/>
      <c r="T45" s="180"/>
      <c r="U45" s="180"/>
      <c r="V45" s="180"/>
      <c r="W45" s="181"/>
      <c r="Z45" s="36"/>
      <c r="AA45" s="36"/>
      <c r="AB45" s="37"/>
      <c r="AC45" s="13"/>
      <c r="AD45" s="14"/>
      <c r="AE45" s="51"/>
      <c r="AF45" s="56"/>
      <c r="AG45" s="14"/>
      <c r="AH45" s="25"/>
    </row>
    <row r="46" spans="2:34" ht="20.100000000000001" customHeight="1" x14ac:dyDescent="0.3">
      <c r="B46" s="189"/>
      <c r="C46" s="190"/>
      <c r="D46" s="190"/>
      <c r="E46" s="180"/>
      <c r="F46" s="180"/>
      <c r="G46" s="191"/>
      <c r="H46" s="192"/>
      <c r="I46" s="193"/>
      <c r="J46" s="194"/>
      <c r="K46" s="195"/>
      <c r="L46" s="196"/>
      <c r="M46" s="175"/>
      <c r="N46" s="176"/>
      <c r="O46" s="177"/>
      <c r="P46" s="178"/>
      <c r="Q46" s="179"/>
      <c r="R46" s="180"/>
      <c r="S46" s="180"/>
      <c r="T46" s="180"/>
      <c r="U46" s="180"/>
      <c r="V46" s="180"/>
      <c r="W46" s="181"/>
      <c r="Z46" s="36"/>
      <c r="AA46" s="36"/>
      <c r="AB46" s="37"/>
      <c r="AC46" s="13"/>
      <c r="AD46" s="14"/>
      <c r="AE46" s="51"/>
      <c r="AF46" s="56"/>
      <c r="AG46" s="14"/>
      <c r="AH46" s="25"/>
    </row>
    <row r="47" spans="2:34" ht="20.100000000000001" customHeight="1" x14ac:dyDescent="0.3">
      <c r="B47" s="189"/>
      <c r="C47" s="190"/>
      <c r="D47" s="190"/>
      <c r="E47" s="180"/>
      <c r="F47" s="180"/>
      <c r="G47" s="191"/>
      <c r="H47" s="192"/>
      <c r="I47" s="193"/>
      <c r="J47" s="194"/>
      <c r="K47" s="195"/>
      <c r="L47" s="196"/>
      <c r="M47" s="175"/>
      <c r="N47" s="176"/>
      <c r="O47" s="177"/>
      <c r="P47" s="178"/>
      <c r="Q47" s="179"/>
      <c r="R47" s="180"/>
      <c r="S47" s="180"/>
      <c r="T47" s="180"/>
      <c r="U47" s="180"/>
      <c r="V47" s="180"/>
      <c r="W47" s="181"/>
      <c r="Z47" s="36"/>
      <c r="AA47" s="36"/>
      <c r="AB47" s="37"/>
      <c r="AC47" s="13"/>
      <c r="AD47" s="14"/>
      <c r="AE47" s="51"/>
      <c r="AF47" s="56"/>
      <c r="AG47" s="14"/>
      <c r="AH47" s="25"/>
    </row>
    <row r="48" spans="2:34" ht="20.100000000000001" customHeight="1" x14ac:dyDescent="0.3">
      <c r="B48" s="189"/>
      <c r="C48" s="190"/>
      <c r="D48" s="190"/>
      <c r="E48" s="180"/>
      <c r="F48" s="180"/>
      <c r="G48" s="191"/>
      <c r="H48" s="192"/>
      <c r="I48" s="193"/>
      <c r="J48" s="194"/>
      <c r="K48" s="195"/>
      <c r="L48" s="196"/>
      <c r="M48" s="175"/>
      <c r="N48" s="176"/>
      <c r="O48" s="177"/>
      <c r="P48" s="178"/>
      <c r="Q48" s="179"/>
      <c r="R48" s="180"/>
      <c r="S48" s="180"/>
      <c r="T48" s="180"/>
      <c r="U48" s="180"/>
      <c r="V48" s="180"/>
      <c r="W48" s="181"/>
      <c r="Z48" s="39"/>
      <c r="AA48" s="39"/>
      <c r="AB48" s="40"/>
      <c r="AC48" s="42"/>
      <c r="AD48" s="41"/>
      <c r="AE48" s="52"/>
      <c r="AF48" s="56"/>
      <c r="AG48" s="14"/>
      <c r="AH48" s="25"/>
    </row>
    <row r="49" spans="2:34" ht="20.100000000000001" customHeight="1" x14ac:dyDescent="0.3">
      <c r="B49" s="189"/>
      <c r="C49" s="190"/>
      <c r="D49" s="190"/>
      <c r="E49" s="180"/>
      <c r="F49" s="180"/>
      <c r="G49" s="191"/>
      <c r="H49" s="192"/>
      <c r="I49" s="193"/>
      <c r="J49" s="194"/>
      <c r="K49" s="195"/>
      <c r="L49" s="196"/>
      <c r="M49" s="175"/>
      <c r="N49" s="176"/>
      <c r="O49" s="177"/>
      <c r="P49" s="178"/>
      <c r="Q49" s="179"/>
      <c r="R49" s="180"/>
      <c r="S49" s="180"/>
      <c r="T49" s="180"/>
      <c r="U49" s="180"/>
      <c r="V49" s="180"/>
      <c r="W49" s="181"/>
      <c r="Z49" s="36"/>
      <c r="AA49" s="36"/>
      <c r="AB49" s="37"/>
      <c r="AC49" s="13"/>
      <c r="AD49" s="14"/>
      <c r="AE49" s="51"/>
      <c r="AF49" s="56"/>
      <c r="AG49" s="14"/>
      <c r="AH49" s="25"/>
    </row>
    <row r="50" spans="2:34" ht="20.100000000000001" customHeight="1" x14ac:dyDescent="0.3">
      <c r="B50" s="198"/>
      <c r="C50" s="199"/>
      <c r="D50" s="199"/>
      <c r="E50" s="200"/>
      <c r="F50" s="200"/>
      <c r="G50" s="201"/>
      <c r="H50" s="202"/>
      <c r="I50" s="203"/>
      <c r="J50" s="204"/>
      <c r="K50" s="205"/>
      <c r="L50" s="206"/>
      <c r="M50" s="207"/>
      <c r="N50" s="208"/>
      <c r="O50" s="209"/>
      <c r="P50" s="210"/>
      <c r="Q50" s="211"/>
      <c r="R50" s="200"/>
      <c r="S50" s="200"/>
      <c r="T50" s="200"/>
      <c r="U50" s="200"/>
      <c r="V50" s="200"/>
      <c r="W50" s="212"/>
      <c r="Z50" s="39"/>
      <c r="AA50" s="39"/>
      <c r="AB50" s="40"/>
      <c r="AC50" s="42"/>
      <c r="AD50" s="41"/>
      <c r="AE50" s="52"/>
      <c r="AF50" s="26"/>
      <c r="AG50" s="23"/>
      <c r="AH50" s="27"/>
    </row>
    <row r="51" spans="2:34" ht="20.100000000000001" customHeight="1" x14ac:dyDescent="0.3"/>
    <row r="52" spans="2:34" ht="20.100000000000001" customHeight="1" x14ac:dyDescent="0.3"/>
    <row r="53" spans="2:34" ht="20.100000000000001" customHeight="1" x14ac:dyDescent="0.3"/>
    <row r="54" spans="2:34" ht="20.100000000000001" customHeight="1" x14ac:dyDescent="0.3"/>
    <row r="55" spans="2:34" ht="20.100000000000001" customHeight="1" x14ac:dyDescent="0.3"/>
  </sheetData>
  <mergeCells count="33">
    <mergeCell ref="AF8:AH8"/>
    <mergeCell ref="B9:J9"/>
    <mergeCell ref="K9:L9"/>
    <mergeCell ref="M9:O9"/>
    <mergeCell ref="P9:W9"/>
    <mergeCell ref="Z9:AE9"/>
    <mergeCell ref="AF9:AH9"/>
    <mergeCell ref="Z8:AE8"/>
    <mergeCell ref="W5:W6"/>
    <mergeCell ref="B6:D6"/>
    <mergeCell ref="M6:O6"/>
    <mergeCell ref="B8:J8"/>
    <mergeCell ref="K8:W8"/>
    <mergeCell ref="B5:D5"/>
    <mergeCell ref="H5:I5"/>
    <mergeCell ref="J5:K5"/>
    <mergeCell ref="M5:O5"/>
    <mergeCell ref="V5:V6"/>
    <mergeCell ref="B4:D4"/>
    <mergeCell ref="H4:I4"/>
    <mergeCell ref="J4:K4"/>
    <mergeCell ref="M4:O4"/>
    <mergeCell ref="Z4:AB4"/>
    <mergeCell ref="H2:K2"/>
    <mergeCell ref="M2:P2"/>
    <mergeCell ref="Z2:AC2"/>
    <mergeCell ref="B3:D3"/>
    <mergeCell ref="H3:I3"/>
    <mergeCell ref="J3:K3"/>
    <mergeCell ref="M3:O3"/>
    <mergeCell ref="Z3:AB3"/>
    <mergeCell ref="B2:E2"/>
    <mergeCell ref="R3:S3"/>
  </mergeCell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</sheetPr>
  <dimension ref="A1:AJ42"/>
  <sheetViews>
    <sheetView zoomScale="80" zoomScaleNormal="80" workbookViewId="0">
      <selection activeCell="B4" sqref="B4"/>
    </sheetView>
  </sheetViews>
  <sheetFormatPr defaultColWidth="10.85546875" defaultRowHeight="15" x14ac:dyDescent="0.25"/>
  <cols>
    <col min="1" max="1" width="5.85546875" style="213" customWidth="1"/>
    <col min="2" max="3" width="15.85546875" style="213" customWidth="1"/>
    <col min="4" max="14" width="18.28515625" style="213" customWidth="1"/>
    <col min="15" max="15" width="8" style="213" customWidth="1"/>
    <col min="16" max="16" width="22" style="213" customWidth="1"/>
    <col min="17" max="34" width="14.85546875" style="213" customWidth="1"/>
    <col min="35" max="16384" width="10.85546875" style="213"/>
  </cols>
  <sheetData>
    <row r="1" spans="1:36" ht="15" customHeight="1" x14ac:dyDescent="0.25"/>
    <row r="2" spans="1:36" ht="24" customHeight="1" x14ac:dyDescent="0.25">
      <c r="A2" s="214"/>
      <c r="B2" s="367" t="s">
        <v>116</v>
      </c>
      <c r="C2" s="367"/>
      <c r="D2" s="367"/>
      <c r="E2" s="215">
        <f>SUM(D8:N27)</f>
        <v>0</v>
      </c>
    </row>
    <row r="3" spans="1:36" ht="24" customHeight="1" x14ac:dyDescent="0.25">
      <c r="A3" s="214"/>
      <c r="B3" s="368" t="s">
        <v>117</v>
      </c>
      <c r="C3" s="368"/>
      <c r="D3" s="368"/>
      <c r="E3" s="216">
        <f t="array" ref="E3">SUM(Полученные_купоны[Сумма купонов в месяц]*0.13)</f>
        <v>0</v>
      </c>
    </row>
    <row r="4" spans="1:36" ht="26.1" customHeight="1" x14ac:dyDescent="0.3">
      <c r="A4" s="214"/>
      <c r="B4" s="9"/>
      <c r="C4" s="9"/>
      <c r="D4" s="7"/>
      <c r="E4" s="217"/>
    </row>
    <row r="5" spans="1:36" ht="24.95" customHeight="1" x14ac:dyDescent="0.25">
      <c r="B5" s="342" t="s">
        <v>87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P5" s="342" t="s">
        <v>87</v>
      </c>
      <c r="Q5" s="342"/>
      <c r="R5" s="342"/>
      <c r="S5" s="342"/>
      <c r="T5" s="342"/>
      <c r="U5" s="342"/>
      <c r="V5" s="342"/>
      <c r="W5" s="342"/>
      <c r="X5" s="342"/>
      <c r="Y5" s="343" t="s">
        <v>88</v>
      </c>
      <c r="Z5" s="343"/>
      <c r="AA5" s="343"/>
      <c r="AB5" s="343"/>
      <c r="AC5" s="343"/>
      <c r="AD5" s="343"/>
      <c r="AE5" s="343"/>
      <c r="AF5" s="343"/>
      <c r="AG5" s="343"/>
      <c r="AH5" s="343"/>
      <c r="AI5" s="3"/>
      <c r="AJ5" s="3"/>
    </row>
    <row r="6" spans="1:36" ht="51.95" customHeight="1" x14ac:dyDescent="0.25">
      <c r="B6" s="346" t="s">
        <v>118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8"/>
      <c r="P6" s="361" t="s">
        <v>119</v>
      </c>
      <c r="Q6" s="362"/>
      <c r="R6" s="362"/>
      <c r="S6" s="362"/>
      <c r="T6" s="362"/>
      <c r="U6" s="362"/>
      <c r="V6" s="362"/>
      <c r="W6" s="362"/>
      <c r="X6" s="363"/>
      <c r="Y6" s="364" t="s">
        <v>17</v>
      </c>
      <c r="Z6" s="365"/>
      <c r="AA6" s="365"/>
      <c r="AB6" s="365"/>
      <c r="AC6" s="365"/>
      <c r="AD6" s="365"/>
      <c r="AE6" s="365"/>
      <c r="AF6" s="365"/>
      <c r="AG6" s="365"/>
      <c r="AH6" s="366"/>
    </row>
    <row r="7" spans="1:36" ht="90" customHeight="1" x14ac:dyDescent="0.25">
      <c r="B7" s="218" t="s">
        <v>120</v>
      </c>
      <c r="C7" s="218" t="s">
        <v>121</v>
      </c>
      <c r="D7" s="218" t="s">
        <v>123</v>
      </c>
      <c r="E7" s="218" t="s">
        <v>124</v>
      </c>
      <c r="F7" s="218" t="s">
        <v>125</v>
      </c>
      <c r="G7" s="218" t="s">
        <v>126</v>
      </c>
      <c r="H7" s="218" t="s">
        <v>127</v>
      </c>
      <c r="I7" s="218" t="s">
        <v>128</v>
      </c>
      <c r="J7" s="218" t="s">
        <v>129</v>
      </c>
      <c r="K7" s="218" t="s">
        <v>130</v>
      </c>
      <c r="L7" s="218" t="s">
        <v>131</v>
      </c>
      <c r="M7" s="218" t="s">
        <v>132</v>
      </c>
      <c r="N7" s="218" t="s">
        <v>133</v>
      </c>
      <c r="P7" s="219" t="s">
        <v>94</v>
      </c>
      <c r="Q7" s="220" t="s">
        <v>0</v>
      </c>
      <c r="R7" s="220" t="s">
        <v>122</v>
      </c>
      <c r="S7" s="220" t="s">
        <v>96</v>
      </c>
      <c r="T7" s="220" t="s">
        <v>97</v>
      </c>
      <c r="U7" s="220" t="s">
        <v>98</v>
      </c>
      <c r="V7" s="220" t="s">
        <v>99</v>
      </c>
      <c r="W7" s="220" t="s">
        <v>100</v>
      </c>
      <c r="X7" s="221" t="s">
        <v>101</v>
      </c>
      <c r="Y7" s="222" t="s">
        <v>104</v>
      </c>
      <c r="Z7" s="223" t="s">
        <v>102</v>
      </c>
      <c r="AA7" s="224" t="s">
        <v>107</v>
      </c>
      <c r="AB7" s="224" t="s">
        <v>108</v>
      </c>
      <c r="AC7" s="222" t="s">
        <v>109</v>
      </c>
      <c r="AD7" s="222" t="s">
        <v>110</v>
      </c>
      <c r="AE7" s="222" t="s">
        <v>111</v>
      </c>
      <c r="AF7" s="222" t="s">
        <v>112</v>
      </c>
      <c r="AG7" s="224" t="s">
        <v>113</v>
      </c>
      <c r="AH7" s="225" t="s">
        <v>114</v>
      </c>
    </row>
    <row r="8" spans="1:36" ht="20.100000000000001" customHeight="1" x14ac:dyDescent="0.25">
      <c r="B8" s="226"/>
      <c r="C8" s="227"/>
      <c r="D8" s="228"/>
      <c r="E8" s="228"/>
      <c r="F8" s="228"/>
      <c r="G8" s="228"/>
      <c r="H8" s="228"/>
      <c r="I8" s="229"/>
      <c r="J8" s="229"/>
      <c r="K8" s="229"/>
      <c r="L8" s="229"/>
      <c r="M8" s="229"/>
      <c r="N8" s="230"/>
      <c r="P8" s="231"/>
      <c r="Q8" s="232"/>
      <c r="R8" s="232"/>
      <c r="S8" s="233"/>
      <c r="T8" s="159"/>
      <c r="U8" s="234"/>
      <c r="V8" s="228"/>
      <c r="W8" s="235"/>
      <c r="X8" s="236"/>
      <c r="Y8" s="237">
        <f>Покупка_новых_облигаций[[#This Row],[Цена облигации на момент покупки]]*Покупка_новых_облигаций[[#This Row],[Кол-во облигаций]]*ОБЛИГАЦИИ!T3</f>
        <v>0</v>
      </c>
      <c r="Z8" s="238">
        <f>(Покупка_новых_облигаций[[#This Row],[Дата погашения]]-Покупка_новых_облигаций[[#This Row],[Дата покупки]])/365</f>
        <v>0</v>
      </c>
      <c r="AA8" s="239" t="e">
        <f>Покупка_новых_облигаций[[#This Row],[Годовой доход купонов]]/(Покупка_новых_облигаций[[#This Row],[Цена облигации на момент покупки]]*Покупка_новых_облигаций[[#This Row],[Кол-во облигаций]])</f>
        <v>#DIV/0!</v>
      </c>
      <c r="AB8" s="239" t="e">
        <f>Покупка_новых_облигаций[[#This Row],[Текущая доходность купона, % годовых]]*0.87</f>
        <v>#DIV/0!</v>
      </c>
      <c r="AC8" s="240">
        <f>Покупка_новых_облигаций[[#This Row],[Кол-во облигаций]]*Покупка_новых_облигаций[[#This Row],[Купон, руб]]*Покупка_новых_облигаций[[#This Row],[Количество выплат в год]]</f>
        <v>0</v>
      </c>
      <c r="AD8" s="240">
        <f>Покупка_новых_облигаций[[#This Row],[Годовой доход купонов]]*0.87</f>
        <v>0</v>
      </c>
      <c r="AE8" s="240">
        <f>Покупка_новых_облигаций[[#This Row],[Кол-во облигаций]]*Покупка_новых_облигаций[[#This Row],[Лет до погашения]]*Покупка_новых_облигаций[[#This Row],[Купон, руб]]*Покупка_новых_облигаций[[#This Row],[Количество выплат в год]]</f>
        <v>0</v>
      </c>
      <c r="AF8" s="240">
        <f>Покупка_новых_облигаций[[#This Row],[Купонный доход к погашению]]*0.87</f>
        <v>0</v>
      </c>
      <c r="AG8" s="240">
        <f>(Покупка_новых_облигаций[[#This Row],[Номинал]]-Покупка_новых_облигаций[[#This Row],[Цена облигации на момент покупки]])*Покупка_новых_облигаций[[#This Row],[Кол-во облигаций]]+Покупка_новых_облигаций[[#This Row],[Купонный доход к погашению]]-Покупка_новых_облигаций[[#This Row],[Комиссия брокера]]</f>
        <v>0</v>
      </c>
      <c r="AH8" s="241">
        <f>Покупка_новых_облигаций[[#This Row],[Общий доход к погашению]]*0.87</f>
        <v>0</v>
      </c>
    </row>
    <row r="9" spans="1:36" ht="20.100000000000001" customHeight="1" x14ac:dyDescent="0.3">
      <c r="B9" s="242"/>
      <c r="C9" s="243"/>
      <c r="D9" s="192"/>
      <c r="E9" s="192"/>
      <c r="F9" s="192"/>
      <c r="G9" s="192"/>
      <c r="H9" s="192"/>
      <c r="I9" s="244"/>
      <c r="J9" s="244"/>
      <c r="K9" s="244"/>
      <c r="L9" s="244"/>
      <c r="M9" s="244"/>
      <c r="N9" s="245"/>
      <c r="P9" s="189"/>
      <c r="Q9" s="190"/>
      <c r="R9" s="190"/>
      <c r="S9" s="246"/>
      <c r="T9" s="180"/>
      <c r="U9" s="191"/>
      <c r="V9" s="192"/>
      <c r="W9" s="193"/>
      <c r="X9" s="247"/>
      <c r="Y9" s="248"/>
      <c r="Z9" s="249"/>
      <c r="AA9" s="250"/>
      <c r="AB9" s="251"/>
      <c r="AC9" s="252"/>
      <c r="AD9" s="252"/>
      <c r="AE9" s="252"/>
      <c r="AF9" s="252"/>
      <c r="AG9" s="252"/>
      <c r="AH9" s="253"/>
    </row>
    <row r="10" spans="1:36" ht="20.100000000000001" customHeight="1" x14ac:dyDescent="0.3">
      <c r="B10" s="242"/>
      <c r="C10" s="243"/>
      <c r="D10" s="192"/>
      <c r="E10" s="192"/>
      <c r="F10" s="192"/>
      <c r="G10" s="192"/>
      <c r="H10" s="192"/>
      <c r="I10" s="244"/>
      <c r="J10" s="244"/>
      <c r="K10" s="244"/>
      <c r="L10" s="244"/>
      <c r="M10" s="244"/>
      <c r="N10" s="245"/>
      <c r="P10" s="189"/>
      <c r="Q10" s="190"/>
      <c r="R10" s="190"/>
      <c r="S10" s="246"/>
      <c r="T10" s="180"/>
      <c r="U10" s="191"/>
      <c r="V10" s="192"/>
      <c r="W10" s="193"/>
      <c r="X10" s="247"/>
      <c r="Y10" s="248"/>
      <c r="Z10" s="249"/>
      <c r="AA10" s="250"/>
      <c r="AB10" s="251"/>
      <c r="AC10" s="252"/>
      <c r="AD10" s="252"/>
      <c r="AE10" s="252"/>
      <c r="AF10" s="252"/>
      <c r="AG10" s="252"/>
      <c r="AH10" s="253"/>
    </row>
    <row r="11" spans="1:36" ht="20.100000000000001" customHeight="1" x14ac:dyDescent="0.3">
      <c r="B11" s="242"/>
      <c r="C11" s="243"/>
      <c r="D11" s="192"/>
      <c r="E11" s="192"/>
      <c r="F11" s="192"/>
      <c r="G11" s="192"/>
      <c r="H11" s="192"/>
      <c r="I11" s="192"/>
      <c r="J11" s="244"/>
      <c r="K11" s="244"/>
      <c r="L11" s="244"/>
      <c r="M11" s="244"/>
      <c r="N11" s="245"/>
      <c r="P11" s="189"/>
      <c r="Q11" s="190"/>
      <c r="R11" s="190"/>
      <c r="S11" s="246"/>
      <c r="T11" s="180"/>
      <c r="U11" s="191"/>
      <c r="V11" s="192"/>
      <c r="W11" s="193"/>
      <c r="X11" s="247"/>
      <c r="Y11" s="248"/>
      <c r="Z11" s="249"/>
      <c r="AA11" s="250"/>
      <c r="AB11" s="251"/>
      <c r="AC11" s="252"/>
      <c r="AD11" s="252"/>
      <c r="AE11" s="252"/>
      <c r="AF11" s="252"/>
      <c r="AG11" s="252"/>
      <c r="AH11" s="253"/>
    </row>
    <row r="12" spans="1:36" ht="20.100000000000001" customHeight="1" x14ac:dyDescent="0.3">
      <c r="B12" s="242"/>
      <c r="C12" s="243"/>
      <c r="D12" s="192"/>
      <c r="E12" s="192"/>
      <c r="F12" s="192"/>
      <c r="G12" s="192"/>
      <c r="H12" s="192"/>
      <c r="I12" s="192"/>
      <c r="J12" s="244"/>
      <c r="K12" s="244"/>
      <c r="L12" s="244"/>
      <c r="M12" s="244"/>
      <c r="N12" s="245"/>
      <c r="P12" s="189"/>
      <c r="Q12" s="190"/>
      <c r="R12" s="190"/>
      <c r="S12" s="246"/>
      <c r="T12" s="180"/>
      <c r="U12" s="191"/>
      <c r="V12" s="192"/>
      <c r="W12" s="193"/>
      <c r="X12" s="247"/>
      <c r="Y12" s="248"/>
      <c r="Z12" s="249"/>
      <c r="AA12" s="250"/>
      <c r="AB12" s="251"/>
      <c r="AC12" s="252"/>
      <c r="AD12" s="252"/>
      <c r="AE12" s="252"/>
      <c r="AF12" s="252"/>
      <c r="AG12" s="252"/>
      <c r="AH12" s="253"/>
    </row>
    <row r="13" spans="1:36" ht="20.100000000000001" customHeight="1" x14ac:dyDescent="0.3">
      <c r="B13" s="242"/>
      <c r="C13" s="243"/>
      <c r="D13" s="192"/>
      <c r="E13" s="192"/>
      <c r="F13" s="192"/>
      <c r="G13" s="192"/>
      <c r="H13" s="192"/>
      <c r="I13" s="244"/>
      <c r="J13" s="244"/>
      <c r="K13" s="244"/>
      <c r="L13" s="244"/>
      <c r="M13" s="244"/>
      <c r="N13" s="245"/>
      <c r="P13" s="189"/>
      <c r="Q13" s="190"/>
      <c r="R13" s="190"/>
      <c r="S13" s="246"/>
      <c r="T13" s="180"/>
      <c r="U13" s="191"/>
      <c r="V13" s="192"/>
      <c r="W13" s="193"/>
      <c r="X13" s="247"/>
      <c r="Y13" s="248"/>
      <c r="Z13" s="249"/>
      <c r="AA13" s="250"/>
      <c r="AB13" s="251"/>
      <c r="AC13" s="252"/>
      <c r="AD13" s="252"/>
      <c r="AE13" s="252"/>
      <c r="AF13" s="252"/>
      <c r="AG13" s="252"/>
      <c r="AH13" s="253"/>
    </row>
    <row r="14" spans="1:36" ht="20.100000000000001" customHeight="1" x14ac:dyDescent="0.3">
      <c r="B14" s="242"/>
      <c r="C14" s="243"/>
      <c r="D14" s="192"/>
      <c r="E14" s="192"/>
      <c r="F14" s="192"/>
      <c r="G14" s="192"/>
      <c r="H14" s="192"/>
      <c r="I14" s="244"/>
      <c r="J14" s="244"/>
      <c r="K14" s="244"/>
      <c r="L14" s="244"/>
      <c r="M14" s="244"/>
      <c r="N14" s="245"/>
      <c r="P14" s="189"/>
      <c r="Q14" s="190"/>
      <c r="R14" s="190"/>
      <c r="S14" s="246"/>
      <c r="T14" s="180"/>
      <c r="U14" s="191"/>
      <c r="V14" s="192"/>
      <c r="W14" s="193"/>
      <c r="X14" s="247"/>
      <c r="Y14" s="248"/>
      <c r="Z14" s="249"/>
      <c r="AA14" s="250"/>
      <c r="AB14" s="251"/>
      <c r="AC14" s="252"/>
      <c r="AD14" s="252"/>
      <c r="AE14" s="252"/>
      <c r="AF14" s="252"/>
      <c r="AG14" s="252"/>
      <c r="AH14" s="253"/>
    </row>
    <row r="15" spans="1:36" ht="20.100000000000001" customHeight="1" x14ac:dyDescent="0.3">
      <c r="B15" s="242"/>
      <c r="C15" s="243"/>
      <c r="D15" s="192"/>
      <c r="E15" s="192"/>
      <c r="F15" s="192"/>
      <c r="G15" s="192"/>
      <c r="H15" s="192"/>
      <c r="I15" s="244"/>
      <c r="J15" s="244"/>
      <c r="K15" s="244"/>
      <c r="L15" s="244"/>
      <c r="M15" s="244"/>
      <c r="N15" s="245"/>
      <c r="P15" s="189"/>
      <c r="Q15" s="190"/>
      <c r="R15" s="190"/>
      <c r="S15" s="246"/>
      <c r="T15" s="180"/>
      <c r="U15" s="191"/>
      <c r="V15" s="192"/>
      <c r="W15" s="193"/>
      <c r="X15" s="247"/>
      <c r="Y15" s="248"/>
      <c r="Z15" s="249"/>
      <c r="AA15" s="250"/>
      <c r="AB15" s="251"/>
      <c r="AC15" s="252"/>
      <c r="AD15" s="252"/>
      <c r="AE15" s="252"/>
      <c r="AF15" s="252"/>
      <c r="AG15" s="252"/>
      <c r="AH15" s="253"/>
    </row>
    <row r="16" spans="1:36" ht="20.100000000000001" customHeight="1" x14ac:dyDescent="0.3">
      <c r="B16" s="242"/>
      <c r="C16" s="243"/>
      <c r="D16" s="192"/>
      <c r="E16" s="192"/>
      <c r="F16" s="192"/>
      <c r="G16" s="192"/>
      <c r="H16" s="192"/>
      <c r="I16" s="244"/>
      <c r="J16" s="244"/>
      <c r="K16" s="244"/>
      <c r="L16" s="244"/>
      <c r="M16" s="244"/>
      <c r="N16" s="245"/>
      <c r="P16" s="189"/>
      <c r="Q16" s="190"/>
      <c r="R16" s="190"/>
      <c r="S16" s="246"/>
      <c r="T16" s="180"/>
      <c r="U16" s="191"/>
      <c r="V16" s="192"/>
      <c r="W16" s="193"/>
      <c r="X16" s="247"/>
      <c r="Y16" s="248"/>
      <c r="Z16" s="249"/>
      <c r="AA16" s="250"/>
      <c r="AB16" s="251"/>
      <c r="AC16" s="252"/>
      <c r="AD16" s="252"/>
      <c r="AE16" s="252"/>
      <c r="AF16" s="252"/>
      <c r="AG16" s="252"/>
      <c r="AH16" s="253"/>
    </row>
    <row r="17" spans="2:34" ht="20.100000000000001" customHeight="1" x14ac:dyDescent="0.3">
      <c r="B17" s="242"/>
      <c r="C17" s="243"/>
      <c r="D17" s="192"/>
      <c r="E17" s="192"/>
      <c r="F17" s="192"/>
      <c r="G17" s="192"/>
      <c r="H17" s="192"/>
      <c r="I17" s="244"/>
      <c r="J17" s="244"/>
      <c r="K17" s="244"/>
      <c r="L17" s="244"/>
      <c r="M17" s="244"/>
      <c r="N17" s="245"/>
      <c r="P17" s="189"/>
      <c r="Q17" s="190"/>
      <c r="R17" s="190"/>
      <c r="S17" s="246"/>
      <c r="T17" s="180"/>
      <c r="U17" s="191"/>
      <c r="V17" s="192"/>
      <c r="W17" s="193"/>
      <c r="X17" s="247"/>
      <c r="Y17" s="248"/>
      <c r="Z17" s="249"/>
      <c r="AA17" s="250"/>
      <c r="AB17" s="251"/>
      <c r="AC17" s="252"/>
      <c r="AD17" s="252"/>
      <c r="AE17" s="252"/>
      <c r="AF17" s="252"/>
      <c r="AG17" s="252"/>
      <c r="AH17" s="253"/>
    </row>
    <row r="18" spans="2:34" ht="20.100000000000001" customHeight="1" x14ac:dyDescent="0.3">
      <c r="B18" s="242"/>
      <c r="C18" s="243"/>
      <c r="D18" s="192"/>
      <c r="E18" s="192"/>
      <c r="F18" s="192"/>
      <c r="G18" s="192"/>
      <c r="H18" s="192"/>
      <c r="I18" s="244"/>
      <c r="J18" s="244"/>
      <c r="K18" s="244"/>
      <c r="L18" s="244"/>
      <c r="M18" s="244"/>
      <c r="N18" s="245"/>
      <c r="P18" s="189"/>
      <c r="Q18" s="190"/>
      <c r="R18" s="190"/>
      <c r="S18" s="246"/>
      <c r="T18" s="180"/>
      <c r="U18" s="191"/>
      <c r="V18" s="192"/>
      <c r="W18" s="193"/>
      <c r="X18" s="247"/>
      <c r="Y18" s="248"/>
      <c r="Z18" s="249"/>
      <c r="AA18" s="250"/>
      <c r="AB18" s="251"/>
      <c r="AC18" s="252"/>
      <c r="AD18" s="252"/>
      <c r="AE18" s="252"/>
      <c r="AF18" s="252"/>
      <c r="AG18" s="252"/>
      <c r="AH18" s="253"/>
    </row>
    <row r="19" spans="2:34" ht="20.100000000000001" customHeight="1" x14ac:dyDescent="0.3">
      <c r="B19" s="242"/>
      <c r="C19" s="243"/>
      <c r="D19" s="192"/>
      <c r="E19" s="192"/>
      <c r="F19" s="192"/>
      <c r="G19" s="192"/>
      <c r="H19" s="192"/>
      <c r="I19" s="244"/>
      <c r="J19" s="244"/>
      <c r="K19" s="244"/>
      <c r="L19" s="244"/>
      <c r="M19" s="244"/>
      <c r="N19" s="245"/>
      <c r="P19" s="189"/>
      <c r="Q19" s="190"/>
      <c r="R19" s="190"/>
      <c r="S19" s="246"/>
      <c r="T19" s="180"/>
      <c r="U19" s="191"/>
      <c r="V19" s="192"/>
      <c r="W19" s="193"/>
      <c r="X19" s="247"/>
      <c r="Y19" s="248"/>
      <c r="Z19" s="249"/>
      <c r="AA19" s="250"/>
      <c r="AB19" s="251"/>
      <c r="AC19" s="252"/>
      <c r="AD19" s="252"/>
      <c r="AE19" s="252"/>
      <c r="AF19" s="252"/>
      <c r="AG19" s="252"/>
      <c r="AH19" s="253"/>
    </row>
    <row r="20" spans="2:34" ht="20.100000000000001" customHeight="1" x14ac:dyDescent="0.3">
      <c r="B20" s="242"/>
      <c r="C20" s="243"/>
      <c r="D20" s="192"/>
      <c r="E20" s="192"/>
      <c r="F20" s="192"/>
      <c r="G20" s="192"/>
      <c r="H20" s="192"/>
      <c r="I20" s="244"/>
      <c r="J20" s="244"/>
      <c r="K20" s="244"/>
      <c r="L20" s="244"/>
      <c r="M20" s="244"/>
      <c r="N20" s="245"/>
      <c r="P20" s="189"/>
      <c r="Q20" s="190"/>
      <c r="R20" s="190"/>
      <c r="S20" s="246"/>
      <c r="T20" s="180"/>
      <c r="U20" s="191"/>
      <c r="V20" s="192"/>
      <c r="W20" s="193"/>
      <c r="X20" s="247"/>
      <c r="Y20" s="248"/>
      <c r="Z20" s="249"/>
      <c r="AA20" s="250"/>
      <c r="AB20" s="251"/>
      <c r="AC20" s="252"/>
      <c r="AD20" s="252"/>
      <c r="AE20" s="252"/>
      <c r="AF20" s="252"/>
      <c r="AG20" s="252"/>
      <c r="AH20" s="253"/>
    </row>
    <row r="21" spans="2:34" ht="20.100000000000001" customHeight="1" x14ac:dyDescent="0.3">
      <c r="B21" s="242"/>
      <c r="C21" s="243"/>
      <c r="D21" s="192"/>
      <c r="E21" s="192"/>
      <c r="F21" s="192"/>
      <c r="G21" s="192"/>
      <c r="H21" s="192"/>
      <c r="I21" s="244"/>
      <c r="J21" s="244"/>
      <c r="K21" s="244"/>
      <c r="L21" s="244"/>
      <c r="M21" s="244"/>
      <c r="N21" s="245"/>
      <c r="P21" s="189"/>
      <c r="Q21" s="190"/>
      <c r="R21" s="190"/>
      <c r="S21" s="246"/>
      <c r="T21" s="180"/>
      <c r="U21" s="191"/>
      <c r="V21" s="192"/>
      <c r="W21" s="193"/>
      <c r="X21" s="247"/>
      <c r="Y21" s="248"/>
      <c r="Z21" s="249"/>
      <c r="AA21" s="250"/>
      <c r="AB21" s="251"/>
      <c r="AC21" s="252"/>
      <c r="AD21" s="252"/>
      <c r="AE21" s="252"/>
      <c r="AF21" s="252"/>
      <c r="AG21" s="252"/>
      <c r="AH21" s="253"/>
    </row>
    <row r="22" spans="2:34" ht="20.100000000000001" customHeight="1" x14ac:dyDescent="0.3">
      <c r="B22" s="242"/>
      <c r="C22" s="243"/>
      <c r="D22" s="192"/>
      <c r="E22" s="192"/>
      <c r="F22" s="192"/>
      <c r="G22" s="192"/>
      <c r="H22" s="192"/>
      <c r="I22" s="244"/>
      <c r="J22" s="244"/>
      <c r="K22" s="244"/>
      <c r="L22" s="244"/>
      <c r="M22" s="244"/>
      <c r="N22" s="245"/>
      <c r="P22" s="254"/>
      <c r="Q22" s="255"/>
      <c r="R22" s="255"/>
      <c r="S22" s="255"/>
      <c r="T22" s="180"/>
      <c r="U22" s="255"/>
      <c r="V22" s="255"/>
      <c r="W22" s="255"/>
      <c r="X22" s="256"/>
      <c r="Y22" s="248"/>
      <c r="Z22" s="257"/>
      <c r="AA22" s="250"/>
      <c r="AB22" s="251"/>
      <c r="AC22" s="252"/>
      <c r="AD22" s="252"/>
      <c r="AE22" s="252"/>
      <c r="AF22" s="252"/>
      <c r="AG22" s="252"/>
      <c r="AH22" s="253"/>
    </row>
    <row r="23" spans="2:34" ht="20.100000000000001" customHeight="1" x14ac:dyDescent="0.3">
      <c r="B23" s="242"/>
      <c r="C23" s="243"/>
      <c r="D23" s="192"/>
      <c r="E23" s="192"/>
      <c r="F23" s="192"/>
      <c r="G23" s="192"/>
      <c r="H23" s="192"/>
      <c r="I23" s="244"/>
      <c r="J23" s="244"/>
      <c r="K23" s="244"/>
      <c r="L23" s="244"/>
      <c r="M23" s="244"/>
      <c r="N23" s="245"/>
      <c r="P23" s="254"/>
      <c r="Q23" s="255"/>
      <c r="R23" s="255"/>
      <c r="S23" s="255"/>
      <c r="T23" s="180"/>
      <c r="U23" s="255"/>
      <c r="V23" s="255"/>
      <c r="W23" s="255"/>
      <c r="X23" s="256"/>
      <c r="Y23" s="248"/>
      <c r="Z23" s="257"/>
      <c r="AA23" s="250"/>
      <c r="AB23" s="251"/>
      <c r="AC23" s="252"/>
      <c r="AD23" s="252"/>
      <c r="AE23" s="252"/>
      <c r="AF23" s="252"/>
      <c r="AG23" s="252"/>
      <c r="AH23" s="253"/>
    </row>
    <row r="24" spans="2:34" ht="20.100000000000001" customHeight="1" x14ac:dyDescent="0.3">
      <c r="B24" s="242"/>
      <c r="C24" s="243"/>
      <c r="D24" s="192"/>
      <c r="E24" s="192"/>
      <c r="F24" s="192"/>
      <c r="G24" s="192"/>
      <c r="H24" s="192"/>
      <c r="I24" s="244"/>
      <c r="J24" s="244"/>
      <c r="K24" s="244"/>
      <c r="L24" s="244"/>
      <c r="M24" s="244"/>
      <c r="N24" s="245"/>
      <c r="P24" s="254"/>
      <c r="Q24" s="255"/>
      <c r="R24" s="255"/>
      <c r="S24" s="255"/>
      <c r="T24" s="180"/>
      <c r="U24" s="255"/>
      <c r="V24" s="255"/>
      <c r="W24" s="255"/>
      <c r="X24" s="256"/>
      <c r="Y24" s="248"/>
      <c r="Z24" s="257"/>
      <c r="AA24" s="250"/>
      <c r="AB24" s="251"/>
      <c r="AC24" s="252"/>
      <c r="AD24" s="252"/>
      <c r="AE24" s="252"/>
      <c r="AF24" s="252"/>
      <c r="AG24" s="252"/>
      <c r="AH24" s="253"/>
    </row>
    <row r="25" spans="2:34" ht="20.100000000000001" customHeight="1" x14ac:dyDescent="0.3">
      <c r="B25" s="242"/>
      <c r="C25" s="243"/>
      <c r="D25" s="192"/>
      <c r="E25" s="192"/>
      <c r="F25" s="192"/>
      <c r="G25" s="192"/>
      <c r="H25" s="192"/>
      <c r="I25" s="244"/>
      <c r="J25" s="244"/>
      <c r="K25" s="244"/>
      <c r="L25" s="244"/>
      <c r="M25" s="244"/>
      <c r="N25" s="245"/>
      <c r="P25" s="254"/>
      <c r="Q25" s="255"/>
      <c r="R25" s="255"/>
      <c r="S25" s="255"/>
      <c r="T25" s="180"/>
      <c r="U25" s="255"/>
      <c r="V25" s="255"/>
      <c r="W25" s="255"/>
      <c r="X25" s="256"/>
      <c r="Y25" s="248"/>
      <c r="Z25" s="257"/>
      <c r="AA25" s="250"/>
      <c r="AB25" s="251"/>
      <c r="AC25" s="252"/>
      <c r="AD25" s="252"/>
      <c r="AE25" s="252"/>
      <c r="AF25" s="252"/>
      <c r="AG25" s="252"/>
      <c r="AH25" s="253"/>
    </row>
    <row r="26" spans="2:34" ht="20.100000000000001" customHeight="1" x14ac:dyDescent="0.3">
      <c r="B26" s="242"/>
      <c r="C26" s="243"/>
      <c r="D26" s="192"/>
      <c r="E26" s="192"/>
      <c r="F26" s="192"/>
      <c r="G26" s="192"/>
      <c r="H26" s="192"/>
      <c r="I26" s="244"/>
      <c r="J26" s="244"/>
      <c r="K26" s="244"/>
      <c r="L26" s="244"/>
      <c r="M26" s="244"/>
      <c r="N26" s="245"/>
      <c r="P26" s="254"/>
      <c r="Q26" s="255"/>
      <c r="R26" s="255"/>
      <c r="S26" s="255"/>
      <c r="T26" s="180"/>
      <c r="U26" s="255"/>
      <c r="V26" s="255"/>
      <c r="W26" s="255"/>
      <c r="X26" s="256"/>
      <c r="Y26" s="248"/>
      <c r="Z26" s="257"/>
      <c r="AA26" s="250"/>
      <c r="AB26" s="251"/>
      <c r="AC26" s="252"/>
      <c r="AD26" s="252"/>
      <c r="AE26" s="252"/>
      <c r="AF26" s="252"/>
      <c r="AG26" s="252"/>
      <c r="AH26" s="253"/>
    </row>
    <row r="27" spans="2:34" ht="20.100000000000001" customHeight="1" x14ac:dyDescent="0.3">
      <c r="B27" s="258"/>
      <c r="C27" s="259"/>
      <c r="D27" s="260"/>
      <c r="E27" s="260"/>
      <c r="F27" s="260"/>
      <c r="G27" s="260"/>
      <c r="H27" s="260"/>
      <c r="I27" s="261"/>
      <c r="J27" s="261"/>
      <c r="K27" s="261"/>
      <c r="L27" s="261"/>
      <c r="M27" s="261"/>
      <c r="N27" s="262"/>
      <c r="P27" s="263"/>
      <c r="Q27" s="264"/>
      <c r="R27" s="264"/>
      <c r="S27" s="264"/>
      <c r="T27" s="265"/>
      <c r="U27" s="264"/>
      <c r="V27" s="264"/>
      <c r="W27" s="264"/>
      <c r="X27" s="266"/>
      <c r="Y27" s="267"/>
      <c r="Z27" s="268"/>
      <c r="AA27" s="269"/>
      <c r="AB27" s="270"/>
      <c r="AC27" s="271"/>
      <c r="AD27" s="271"/>
      <c r="AE27" s="271"/>
      <c r="AF27" s="271"/>
      <c r="AG27" s="271"/>
      <c r="AH27" s="272"/>
    </row>
    <row r="28" spans="2:34" ht="21" customHeight="1" x14ac:dyDescent="0.25"/>
    <row r="29" spans="2:34" ht="21" customHeight="1" x14ac:dyDescent="0.25"/>
    <row r="30" spans="2:34" ht="21" customHeight="1" x14ac:dyDescent="0.25">
      <c r="B30" s="273"/>
      <c r="C30" s="273"/>
      <c r="E30" s="273"/>
      <c r="G30" s="273"/>
    </row>
    <row r="31" spans="2:34" ht="21" customHeight="1" x14ac:dyDescent="0.25">
      <c r="B31" s="274"/>
      <c r="F31" s="161"/>
    </row>
    <row r="32" spans="2:34" ht="21" customHeight="1" x14ac:dyDescent="0.25">
      <c r="B32" s="161"/>
      <c r="C32" s="161"/>
      <c r="D32" s="161"/>
      <c r="E32" s="161"/>
      <c r="F32" s="161"/>
      <c r="G32" s="161"/>
    </row>
    <row r="33" spans="2:6" ht="21" customHeight="1" x14ac:dyDescent="0.25">
      <c r="B33" s="161"/>
      <c r="F33" s="161"/>
    </row>
    <row r="34" spans="2:6" ht="21" customHeight="1" x14ac:dyDescent="0.25">
      <c r="B34" s="161"/>
      <c r="F34" s="161"/>
    </row>
    <row r="35" spans="2:6" ht="21" customHeight="1" x14ac:dyDescent="0.25">
      <c r="B35" s="161"/>
      <c r="F35" s="161"/>
    </row>
    <row r="36" spans="2:6" ht="21" customHeight="1" x14ac:dyDescent="0.25">
      <c r="B36" s="275"/>
    </row>
    <row r="37" spans="2:6" ht="21" customHeight="1" x14ac:dyDescent="0.25">
      <c r="B37" s="274"/>
    </row>
    <row r="38" spans="2:6" x14ac:dyDescent="0.25">
      <c r="B38" s="274"/>
    </row>
    <row r="39" spans="2:6" x14ac:dyDescent="0.25">
      <c r="B39" s="274"/>
    </row>
    <row r="40" spans="2:6" x14ac:dyDescent="0.25">
      <c r="B40" s="274"/>
    </row>
    <row r="41" spans="2:6" x14ac:dyDescent="0.25">
      <c r="B41" s="274"/>
    </row>
    <row r="42" spans="2:6" x14ac:dyDescent="0.25">
      <c r="B42" s="274"/>
    </row>
  </sheetData>
  <mergeCells count="8">
    <mergeCell ref="B6:N6"/>
    <mergeCell ref="P6:X6"/>
    <mergeCell ref="Y6:AH6"/>
    <mergeCell ref="B2:D2"/>
    <mergeCell ref="B3:D3"/>
    <mergeCell ref="B5:N5"/>
    <mergeCell ref="P5:X5"/>
    <mergeCell ref="Y5:AH5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1:O28"/>
  <sheetViews>
    <sheetView showGridLines="0" workbookViewId="0">
      <selection activeCell="A14" sqref="A14"/>
    </sheetView>
  </sheetViews>
  <sheetFormatPr defaultRowHeight="18.75" x14ac:dyDescent="0.25"/>
  <cols>
    <col min="1" max="1" width="42.5703125" style="99" customWidth="1"/>
    <col min="2" max="2" width="15.7109375" style="96" customWidth="1"/>
    <col min="3" max="3" width="15.7109375" style="97" customWidth="1"/>
    <col min="4" max="4" width="15.7109375" style="289" customWidth="1"/>
    <col min="5" max="6" width="16.7109375" style="96" customWidth="1"/>
    <col min="7" max="8" width="15.7109375" style="96" customWidth="1"/>
    <col min="9" max="9" width="16.7109375" style="96" customWidth="1"/>
    <col min="10" max="10" width="95.5703125" style="129" customWidth="1"/>
    <col min="11" max="15" width="10.28515625" style="94" customWidth="1"/>
    <col min="16" max="16384" width="9.140625" style="99"/>
  </cols>
  <sheetData>
    <row r="1" spans="1:15" s="60" customFormat="1" ht="63" x14ac:dyDescent="0.25">
      <c r="A1" s="92" t="s">
        <v>34</v>
      </c>
      <c r="B1" s="92" t="s">
        <v>66</v>
      </c>
      <c r="C1" s="93" t="s">
        <v>65</v>
      </c>
      <c r="D1" s="92" t="s">
        <v>35</v>
      </c>
      <c r="E1" s="92" t="s">
        <v>67</v>
      </c>
      <c r="F1" s="92" t="s">
        <v>41</v>
      </c>
      <c r="G1" s="92" t="s">
        <v>42</v>
      </c>
      <c r="H1" s="92" t="s">
        <v>43</v>
      </c>
      <c r="I1" s="92" t="s">
        <v>36</v>
      </c>
      <c r="J1" s="92" t="s">
        <v>37</v>
      </c>
      <c r="K1" s="94"/>
      <c r="L1" s="94"/>
      <c r="M1" s="94"/>
      <c r="N1" s="94"/>
      <c r="O1" s="94"/>
    </row>
    <row r="2" spans="1:15" x14ac:dyDescent="0.25">
      <c r="A2" s="95" t="s">
        <v>38</v>
      </c>
      <c r="B2" s="101">
        <v>57.5</v>
      </c>
      <c r="C2" s="102">
        <v>54.52</v>
      </c>
      <c r="D2" s="289">
        <v>100</v>
      </c>
      <c r="E2" s="101">
        <f>B2*D2</f>
        <v>5750</v>
      </c>
      <c r="F2" s="101">
        <f>C2*D2</f>
        <v>5452</v>
      </c>
      <c r="G2" s="98">
        <v>45581</v>
      </c>
      <c r="H2" s="98">
        <v>45589</v>
      </c>
      <c r="I2" s="104">
        <f>F2-E2</f>
        <v>-298</v>
      </c>
    </row>
    <row r="3" spans="1:15" ht="54" customHeight="1" x14ac:dyDescent="0.25">
      <c r="A3" s="95" t="s">
        <v>39</v>
      </c>
      <c r="B3" s="103">
        <v>0</v>
      </c>
      <c r="C3" s="102">
        <v>255.3</v>
      </c>
      <c r="D3" s="289">
        <v>3</v>
      </c>
      <c r="E3" s="101">
        <f t="shared" ref="E3:E28" si="0">B3*D3</f>
        <v>0</v>
      </c>
      <c r="F3" s="101">
        <f t="shared" ref="F3:F28" si="1">C3*D3</f>
        <v>765.90000000000009</v>
      </c>
      <c r="G3" s="98">
        <v>45581</v>
      </c>
      <c r="H3" s="98">
        <v>45579</v>
      </c>
      <c r="I3" s="104">
        <f t="shared" ref="I3:I28" si="2">F3-E3</f>
        <v>765.90000000000009</v>
      </c>
      <c r="J3" s="129" t="s">
        <v>40</v>
      </c>
    </row>
    <row r="4" spans="1:15" x14ac:dyDescent="0.25">
      <c r="A4" s="95" t="s">
        <v>51</v>
      </c>
      <c r="B4" s="101">
        <v>489</v>
      </c>
      <c r="C4" s="102">
        <v>466.3</v>
      </c>
      <c r="D4" s="289">
        <v>3</v>
      </c>
      <c r="E4" s="101">
        <f t="shared" si="0"/>
        <v>1467</v>
      </c>
      <c r="F4" s="101">
        <f t="shared" si="1"/>
        <v>1398.9</v>
      </c>
      <c r="G4" s="98">
        <v>45586</v>
      </c>
      <c r="H4" s="98">
        <v>45589</v>
      </c>
      <c r="I4" s="104">
        <f t="shared" si="2"/>
        <v>-68.099999999999909</v>
      </c>
    </row>
    <row r="5" spans="1:15" ht="81" customHeight="1" x14ac:dyDescent="0.25">
      <c r="A5" s="95" t="s">
        <v>62</v>
      </c>
      <c r="B5" s="101">
        <v>14.0375</v>
      </c>
      <c r="C5" s="102">
        <v>14.1745</v>
      </c>
      <c r="D5" s="289">
        <v>756</v>
      </c>
      <c r="E5" s="101">
        <f t="shared" si="0"/>
        <v>10612.35</v>
      </c>
      <c r="F5" s="101">
        <f t="shared" si="1"/>
        <v>10715.922</v>
      </c>
      <c r="G5" s="98">
        <v>45589</v>
      </c>
      <c r="H5" s="98">
        <v>45611</v>
      </c>
      <c r="I5" s="104">
        <f t="shared" si="2"/>
        <v>103.57200000000012</v>
      </c>
      <c r="J5" s="129" t="s">
        <v>75</v>
      </c>
    </row>
    <row r="6" spans="1:15" x14ac:dyDescent="0.25">
      <c r="A6" s="95" t="s">
        <v>73</v>
      </c>
      <c r="B6" s="127">
        <v>1270</v>
      </c>
      <c r="C6" s="102">
        <v>1280</v>
      </c>
      <c r="D6" s="290">
        <v>10</v>
      </c>
      <c r="E6" s="101">
        <f t="shared" si="0"/>
        <v>12700</v>
      </c>
      <c r="F6" s="101">
        <f t="shared" si="1"/>
        <v>12800</v>
      </c>
      <c r="G6" s="100">
        <v>45603</v>
      </c>
      <c r="H6" s="100">
        <v>45603</v>
      </c>
      <c r="I6" s="104">
        <f t="shared" si="2"/>
        <v>100</v>
      </c>
      <c r="J6" s="130" t="s">
        <v>74</v>
      </c>
    </row>
    <row r="7" spans="1:15" x14ac:dyDescent="0.25">
      <c r="A7" s="95" t="s">
        <v>137</v>
      </c>
      <c r="B7" s="127">
        <v>1220</v>
      </c>
      <c r="C7" s="102">
        <v>1213</v>
      </c>
      <c r="D7" s="290">
        <v>5</v>
      </c>
      <c r="E7" s="101">
        <f t="shared" si="0"/>
        <v>6100</v>
      </c>
      <c r="F7" s="101">
        <f t="shared" si="1"/>
        <v>6065</v>
      </c>
      <c r="G7" s="100">
        <v>45615</v>
      </c>
      <c r="H7" s="100">
        <v>45615</v>
      </c>
      <c r="I7" s="104">
        <f t="shared" si="2"/>
        <v>-35</v>
      </c>
      <c r="J7" s="130"/>
    </row>
    <row r="8" spans="1:15" x14ac:dyDescent="0.25">
      <c r="A8" s="95" t="s">
        <v>137</v>
      </c>
      <c r="B8" s="127">
        <v>1205</v>
      </c>
      <c r="C8" s="102">
        <v>1213.5</v>
      </c>
      <c r="D8" s="290">
        <v>31</v>
      </c>
      <c r="E8" s="101">
        <f t="shared" si="0"/>
        <v>37355</v>
      </c>
      <c r="F8" s="101">
        <f t="shared" si="1"/>
        <v>37618.5</v>
      </c>
      <c r="G8" s="100">
        <v>45615</v>
      </c>
      <c r="H8" s="100">
        <v>45615</v>
      </c>
      <c r="I8" s="104">
        <f t="shared" si="2"/>
        <v>263.5</v>
      </c>
      <c r="J8" s="130" t="s">
        <v>138</v>
      </c>
    </row>
    <row r="9" spans="1:15" x14ac:dyDescent="0.25">
      <c r="A9" s="95" t="s">
        <v>144</v>
      </c>
      <c r="B9" s="127">
        <v>2581.7199999999998</v>
      </c>
      <c r="C9" s="102">
        <v>2395</v>
      </c>
      <c r="D9" s="290">
        <v>5</v>
      </c>
      <c r="E9" s="101">
        <f t="shared" si="0"/>
        <v>12908.599999999999</v>
      </c>
      <c r="F9" s="101">
        <f t="shared" si="1"/>
        <v>11975</v>
      </c>
      <c r="G9" s="100">
        <v>45618</v>
      </c>
      <c r="H9" s="100">
        <v>45625</v>
      </c>
      <c r="I9" s="104">
        <f t="shared" si="2"/>
        <v>-933.59999999999854</v>
      </c>
      <c r="J9" s="130"/>
    </row>
    <row r="10" spans="1:15" ht="37.5" x14ac:dyDescent="0.25">
      <c r="A10" s="292" t="s">
        <v>147</v>
      </c>
      <c r="B10" s="127">
        <v>15.79</v>
      </c>
      <c r="C10" s="102">
        <v>15.339</v>
      </c>
      <c r="D10" s="290">
        <v>820</v>
      </c>
      <c r="E10" s="101">
        <f t="shared" si="0"/>
        <v>12947.8</v>
      </c>
      <c r="F10" s="101">
        <f t="shared" si="1"/>
        <v>12577.98</v>
      </c>
      <c r="G10" s="100">
        <v>45621</v>
      </c>
      <c r="H10" s="100">
        <v>45630</v>
      </c>
      <c r="I10" s="104">
        <f t="shared" si="2"/>
        <v>-369.81999999999971</v>
      </c>
      <c r="J10" s="130" t="s">
        <v>152</v>
      </c>
    </row>
    <row r="11" spans="1:15" x14ac:dyDescent="0.25">
      <c r="A11" s="95" t="s">
        <v>150</v>
      </c>
      <c r="B11" s="127">
        <v>84</v>
      </c>
      <c r="C11" s="102">
        <v>86.67</v>
      </c>
      <c r="D11" s="290">
        <v>200</v>
      </c>
      <c r="E11" s="101">
        <f t="shared" si="0"/>
        <v>16800</v>
      </c>
      <c r="F11" s="101">
        <f t="shared" si="1"/>
        <v>17334</v>
      </c>
      <c r="G11" s="100">
        <v>45625</v>
      </c>
      <c r="H11" s="100">
        <v>45625</v>
      </c>
      <c r="I11" s="104">
        <f t="shared" si="2"/>
        <v>534</v>
      </c>
      <c r="J11" s="130" t="s">
        <v>151</v>
      </c>
    </row>
    <row r="12" spans="1:15" ht="37.5" x14ac:dyDescent="0.25">
      <c r="A12" s="95" t="s">
        <v>154</v>
      </c>
      <c r="B12" s="127">
        <v>112.99</v>
      </c>
      <c r="C12" s="102">
        <v>110</v>
      </c>
      <c r="D12" s="290">
        <v>100</v>
      </c>
      <c r="E12" s="101">
        <f t="shared" si="0"/>
        <v>11299</v>
      </c>
      <c r="F12" s="101">
        <f t="shared" si="1"/>
        <v>11000</v>
      </c>
      <c r="G12" s="100">
        <v>45630</v>
      </c>
      <c r="H12" s="100">
        <v>45630</v>
      </c>
      <c r="I12" s="104">
        <f t="shared" si="2"/>
        <v>-299</v>
      </c>
      <c r="J12" s="130" t="s">
        <v>155</v>
      </c>
    </row>
    <row r="13" spans="1:15" x14ac:dyDescent="0.25">
      <c r="B13" s="127"/>
      <c r="C13" s="102"/>
      <c r="D13" s="290"/>
      <c r="E13" s="101">
        <f t="shared" si="0"/>
        <v>0</v>
      </c>
      <c r="F13" s="101">
        <f t="shared" si="1"/>
        <v>0</v>
      </c>
      <c r="G13" s="100"/>
      <c r="H13" s="100"/>
      <c r="I13" s="104">
        <f t="shared" si="2"/>
        <v>0</v>
      </c>
      <c r="J13" s="130"/>
    </row>
    <row r="14" spans="1:15" x14ac:dyDescent="0.25">
      <c r="B14" s="127"/>
      <c r="C14" s="102"/>
      <c r="D14" s="290"/>
      <c r="E14" s="101">
        <f t="shared" si="0"/>
        <v>0</v>
      </c>
      <c r="F14" s="101">
        <f t="shared" si="1"/>
        <v>0</v>
      </c>
      <c r="G14" s="100"/>
      <c r="H14" s="100"/>
      <c r="I14" s="104">
        <f t="shared" si="2"/>
        <v>0</v>
      </c>
      <c r="J14" s="130"/>
    </row>
    <row r="15" spans="1:15" x14ac:dyDescent="0.25">
      <c r="B15" s="127"/>
      <c r="C15" s="102"/>
      <c r="D15" s="290"/>
      <c r="E15" s="101">
        <f t="shared" si="0"/>
        <v>0</v>
      </c>
      <c r="F15" s="101">
        <f t="shared" si="1"/>
        <v>0</v>
      </c>
      <c r="G15" s="100"/>
      <c r="H15" s="100"/>
      <c r="I15" s="104">
        <f t="shared" si="2"/>
        <v>0</v>
      </c>
      <c r="J15" s="130"/>
    </row>
    <row r="16" spans="1:15" x14ac:dyDescent="0.25">
      <c r="B16" s="127"/>
      <c r="C16" s="102"/>
      <c r="D16" s="290"/>
      <c r="E16" s="101">
        <f t="shared" si="0"/>
        <v>0</v>
      </c>
      <c r="F16" s="101">
        <f t="shared" si="1"/>
        <v>0</v>
      </c>
      <c r="G16" s="100"/>
      <c r="H16" s="100"/>
      <c r="I16" s="104">
        <f t="shared" si="2"/>
        <v>0</v>
      </c>
      <c r="J16" s="130"/>
    </row>
    <row r="17" spans="2:10" x14ac:dyDescent="0.25">
      <c r="B17" s="127"/>
      <c r="C17" s="102"/>
      <c r="D17" s="290"/>
      <c r="E17" s="101">
        <f t="shared" si="0"/>
        <v>0</v>
      </c>
      <c r="F17" s="101">
        <f t="shared" si="1"/>
        <v>0</v>
      </c>
      <c r="G17" s="100"/>
      <c r="H17" s="100"/>
      <c r="I17" s="104">
        <f t="shared" si="2"/>
        <v>0</v>
      </c>
      <c r="J17" s="130"/>
    </row>
    <row r="18" spans="2:10" x14ac:dyDescent="0.25">
      <c r="B18" s="127"/>
      <c r="C18" s="102"/>
      <c r="D18" s="290"/>
      <c r="E18" s="101">
        <f t="shared" si="0"/>
        <v>0</v>
      </c>
      <c r="F18" s="101">
        <f t="shared" si="1"/>
        <v>0</v>
      </c>
      <c r="G18" s="100"/>
      <c r="H18" s="100"/>
      <c r="I18" s="104">
        <f t="shared" si="2"/>
        <v>0</v>
      </c>
      <c r="J18" s="130"/>
    </row>
    <row r="19" spans="2:10" x14ac:dyDescent="0.25">
      <c r="B19" s="127"/>
      <c r="C19" s="102"/>
      <c r="D19" s="290"/>
      <c r="E19" s="101">
        <f t="shared" si="0"/>
        <v>0</v>
      </c>
      <c r="F19" s="101">
        <f t="shared" si="1"/>
        <v>0</v>
      </c>
      <c r="G19" s="100"/>
      <c r="H19" s="100"/>
      <c r="I19" s="104">
        <f t="shared" si="2"/>
        <v>0</v>
      </c>
      <c r="J19" s="130"/>
    </row>
    <row r="20" spans="2:10" x14ac:dyDescent="0.25">
      <c r="B20" s="127"/>
      <c r="C20" s="102"/>
      <c r="D20" s="290"/>
      <c r="E20" s="101">
        <f t="shared" si="0"/>
        <v>0</v>
      </c>
      <c r="F20" s="101">
        <f t="shared" si="1"/>
        <v>0</v>
      </c>
      <c r="G20" s="100"/>
      <c r="H20" s="100"/>
      <c r="I20" s="104">
        <f t="shared" si="2"/>
        <v>0</v>
      </c>
      <c r="J20" s="130"/>
    </row>
    <row r="21" spans="2:10" x14ac:dyDescent="0.25">
      <c r="B21" s="127"/>
      <c r="C21" s="102"/>
      <c r="D21" s="290"/>
      <c r="E21" s="101">
        <f t="shared" si="0"/>
        <v>0</v>
      </c>
      <c r="F21" s="101">
        <f t="shared" si="1"/>
        <v>0</v>
      </c>
      <c r="G21" s="100"/>
      <c r="H21" s="100"/>
      <c r="I21" s="104">
        <f t="shared" si="2"/>
        <v>0</v>
      </c>
      <c r="J21" s="130"/>
    </row>
    <row r="22" spans="2:10" x14ac:dyDescent="0.25">
      <c r="B22" s="127"/>
      <c r="C22" s="102"/>
      <c r="D22" s="290"/>
      <c r="E22" s="101">
        <f t="shared" si="0"/>
        <v>0</v>
      </c>
      <c r="F22" s="101">
        <f t="shared" si="1"/>
        <v>0</v>
      </c>
      <c r="G22" s="100"/>
      <c r="H22" s="100"/>
      <c r="I22" s="104">
        <f t="shared" si="2"/>
        <v>0</v>
      </c>
      <c r="J22" s="130"/>
    </row>
    <row r="23" spans="2:10" x14ac:dyDescent="0.25">
      <c r="B23" s="127"/>
      <c r="C23" s="102"/>
      <c r="D23" s="290"/>
      <c r="E23" s="101">
        <f t="shared" si="0"/>
        <v>0</v>
      </c>
      <c r="F23" s="101">
        <f t="shared" si="1"/>
        <v>0</v>
      </c>
      <c r="G23" s="100"/>
      <c r="H23" s="100"/>
      <c r="I23" s="104">
        <f t="shared" si="2"/>
        <v>0</v>
      </c>
      <c r="J23" s="130"/>
    </row>
    <row r="24" spans="2:10" x14ac:dyDescent="0.25">
      <c r="B24" s="127"/>
      <c r="C24" s="102"/>
      <c r="D24" s="290"/>
      <c r="E24" s="101">
        <f t="shared" si="0"/>
        <v>0</v>
      </c>
      <c r="F24" s="101">
        <f t="shared" si="1"/>
        <v>0</v>
      </c>
      <c r="G24" s="100"/>
      <c r="H24" s="100"/>
      <c r="I24" s="104">
        <f t="shared" si="2"/>
        <v>0</v>
      </c>
      <c r="J24" s="130"/>
    </row>
    <row r="25" spans="2:10" x14ac:dyDescent="0.25">
      <c r="B25" s="127"/>
      <c r="C25" s="102"/>
      <c r="D25" s="290"/>
      <c r="E25" s="101">
        <f t="shared" si="0"/>
        <v>0</v>
      </c>
      <c r="F25" s="101">
        <f t="shared" si="1"/>
        <v>0</v>
      </c>
      <c r="G25" s="100"/>
      <c r="H25" s="100"/>
      <c r="I25" s="104">
        <f t="shared" si="2"/>
        <v>0</v>
      </c>
      <c r="J25" s="130"/>
    </row>
    <row r="26" spans="2:10" x14ac:dyDescent="0.25">
      <c r="B26" s="127"/>
      <c r="C26" s="102"/>
      <c r="D26" s="290"/>
      <c r="E26" s="101">
        <f t="shared" si="0"/>
        <v>0</v>
      </c>
      <c r="F26" s="101">
        <f t="shared" si="1"/>
        <v>0</v>
      </c>
      <c r="G26" s="100"/>
      <c r="H26" s="100"/>
      <c r="I26" s="104">
        <f t="shared" si="2"/>
        <v>0</v>
      </c>
      <c r="J26" s="130"/>
    </row>
    <row r="27" spans="2:10" x14ac:dyDescent="0.25">
      <c r="B27" s="127"/>
      <c r="C27" s="102"/>
      <c r="D27" s="290"/>
      <c r="E27" s="101">
        <f t="shared" si="0"/>
        <v>0</v>
      </c>
      <c r="F27" s="101">
        <f t="shared" si="1"/>
        <v>0</v>
      </c>
      <c r="G27" s="100"/>
      <c r="H27" s="100"/>
      <c r="I27" s="104">
        <f t="shared" si="2"/>
        <v>0</v>
      </c>
      <c r="J27" s="130"/>
    </row>
    <row r="28" spans="2:10" x14ac:dyDescent="0.25">
      <c r="B28" s="127"/>
      <c r="C28" s="102"/>
      <c r="D28" s="290"/>
      <c r="E28" s="101">
        <f t="shared" si="0"/>
        <v>0</v>
      </c>
      <c r="F28" s="101">
        <f t="shared" si="1"/>
        <v>0</v>
      </c>
      <c r="G28" s="100"/>
      <c r="H28" s="100"/>
      <c r="I28" s="104">
        <f t="shared" si="2"/>
        <v>0</v>
      </c>
      <c r="J28" s="130"/>
    </row>
  </sheetData>
  <pageMargins left="0.7" right="0.7" top="0.75" bottom="0.75" header="0.3" footer="0.3"/>
  <pageSetup paperSize="285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ГРАФИКИ</vt:lpstr>
      <vt:lpstr>ДИАГРАММА</vt:lpstr>
      <vt:lpstr>АКЦИИ</vt:lpstr>
      <vt:lpstr>ДИВИДЕНДЫ</vt:lpstr>
      <vt:lpstr>ОБЛИГАЦИИ</vt:lpstr>
      <vt:lpstr>КУПОНЫ</vt:lpstr>
      <vt:lpstr>БЛОКНОТ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Dmitriy</cp:lastModifiedBy>
  <dcterms:created xsi:type="dcterms:W3CDTF">2006-09-16T00:00:00Z</dcterms:created>
  <dcterms:modified xsi:type="dcterms:W3CDTF">2024-12-05T08:49:43Z</dcterms:modified>
</cp:coreProperties>
</file>