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drawings/drawing2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13_ncr:1_{3D8FB238-1783-4515-AB97-F474EF38F6D1}" xr6:coauthVersionLast="47" xr6:coauthVersionMax="47" xr10:uidLastSave="{00000000-0000-0000-0000-000000000000}"/>
  <bookViews>
    <workbookView xWindow="31140" yWindow="120" windowWidth="27285" windowHeight="13680" xr2:uid="{00000000-000D-0000-FFFF-FFFF00000000}"/>
  </bookViews>
  <sheets>
    <sheet name="Как выбрать" sheetId="2" r:id="rId1"/>
    <sheet name="Лист1" sheetId="1" r:id="rId2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2" l="1"/>
  <c r="L9" i="2"/>
  <c r="K9" i="2"/>
  <c r="J9" i="2"/>
  <c r="I9" i="2"/>
  <c r="H9" i="2"/>
  <c r="L8" i="2"/>
  <c r="K8" i="2"/>
  <c r="J8" i="2"/>
  <c r="I8" i="2"/>
  <c r="H23" i="2" s="1"/>
  <c r="H8" i="2"/>
  <c r="L7" i="2"/>
  <c r="K7" i="2"/>
  <c r="J7" i="2"/>
  <c r="I7" i="2"/>
  <c r="H7" i="2"/>
  <c r="L6" i="2"/>
  <c r="K6" i="2"/>
  <c r="J6" i="2"/>
  <c r="I6" i="2"/>
  <c r="H6" i="2"/>
  <c r="J23" i="2" l="1"/>
  <c r="H6" i="1"/>
  <c r="G23" i="2"/>
  <c r="L10" i="2"/>
  <c r="K10" i="2"/>
  <c r="J10" i="2"/>
  <c r="I10" i="2"/>
  <c r="H10" i="2"/>
  <c r="G13" i="1" l="1"/>
  <c r="L10" i="1" l="1"/>
  <c r="K10" i="1"/>
  <c r="J10" i="1"/>
  <c r="I10" i="1"/>
  <c r="H10" i="1"/>
  <c r="L9" i="1"/>
  <c r="K9" i="1"/>
  <c r="J9" i="1"/>
  <c r="I9" i="1"/>
  <c r="H9" i="1"/>
  <c r="L8" i="1"/>
  <c r="K8" i="1"/>
  <c r="J8" i="1"/>
  <c r="I8" i="1"/>
  <c r="H8" i="1"/>
  <c r="L7" i="1"/>
  <c r="K7" i="1"/>
  <c r="J7" i="1"/>
  <c r="I7" i="1"/>
  <c r="H7" i="1"/>
  <c r="L6" i="1"/>
  <c r="K6" i="1"/>
  <c r="J6" i="1"/>
  <c r="I6" i="1"/>
  <c r="H13" i="1" l="1"/>
</calcChain>
</file>

<file path=xl/sharedStrings.xml><?xml version="1.0" encoding="utf-8"?>
<sst xmlns="http://schemas.openxmlformats.org/spreadsheetml/2006/main" count="34" uniqueCount="17">
  <si>
    <t>RIP-изоляция</t>
  </si>
  <si>
    <t>герметичный</t>
  </si>
  <si>
    <t>негерметичный</t>
  </si>
  <si>
    <t>твердая изоляция</t>
  </si>
  <si>
    <t>С3 (герметич, негерметич)</t>
  </si>
  <si>
    <t>Пример:</t>
  </si>
  <si>
    <t>???????</t>
  </si>
  <si>
    <t>(возможно не использовать таблицу???)</t>
  </si>
  <si>
    <t>330</t>
  </si>
  <si>
    <t>ЧИСЛА при подстановке НЕ работают</t>
  </si>
  <si>
    <t>числа надо вручную вписывать</t>
  </si>
  <si>
    <t>ТЕКСТ по ссылке при подстановке работает</t>
  </si>
  <si>
    <t>Как выбрать число из таблицы одной формулой, но чтобы при другом выборе из выпадающего списка число изменялось???</t>
  </si>
  <si>
    <t>750</t>
  </si>
  <si>
    <t>500</t>
  </si>
  <si>
    <t>110</t>
  </si>
  <si>
    <t>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</si>
</sst>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64" fontId="0" fillId="0" borderId="2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0" fillId="2" borderId="0" xfId="0" applyFill="1"/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5.emf"/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590550</xdr:colOff>
          <xdr:row>4</xdr:row>
          <xdr:rowOff>142875</xdr:rowOff>
        </xdr:from>
        <xdr:to>
          <xdr:col>1</xdr:col>
          <xdr:colOff>2505075</xdr:colOff>
          <xdr:row>6</xdr:row>
          <xdr:rowOff>38100</xdr:rowOff>
        </xdr:to>
        <xdr:sp macro="" textlink="">
          <xdr:nvSpPr>
            <xdr:cNvPr id="2049" name="ComboBox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600075</xdr:colOff>
          <xdr:row>7</xdr:row>
          <xdr:rowOff>9525</xdr:rowOff>
        </xdr:from>
        <xdr:to>
          <xdr:col>1</xdr:col>
          <xdr:colOff>2514600</xdr:colOff>
          <xdr:row>8</xdr:row>
          <xdr:rowOff>114300</xdr:rowOff>
        </xdr:to>
        <xdr:sp macro="" textlink="">
          <xdr:nvSpPr>
            <xdr:cNvPr id="2050" name="ComboBox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</xdr:row>
          <xdr:rowOff>209550</xdr:rowOff>
        </xdr:from>
        <xdr:to>
          <xdr:col>4</xdr:col>
          <xdr:colOff>19050</xdr:colOff>
          <xdr:row>8</xdr:row>
          <xdr:rowOff>28575</xdr:rowOff>
        </xdr:to>
        <xdr:sp macro="" textlink="">
          <xdr:nvSpPr>
            <xdr:cNvPr id="2051" name="CheckBox1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1781175</xdr:colOff>
      <xdr:row>10</xdr:row>
      <xdr:rowOff>76201</xdr:rowOff>
    </xdr:from>
    <xdr:to>
      <xdr:col>12</xdr:col>
      <xdr:colOff>28575</xdr:colOff>
      <xdr:row>18</xdr:row>
      <xdr:rowOff>47625</xdr:rowOff>
    </xdr:to>
    <xdr:sp macro="" textlink="">
      <xdr:nvSpPr>
        <xdr:cNvPr id="5" name="Стрелка вверх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886825" y="2171701"/>
          <a:ext cx="3781425" cy="1495424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590550</xdr:colOff>
          <xdr:row>4</xdr:row>
          <xdr:rowOff>142875</xdr:rowOff>
        </xdr:from>
        <xdr:to>
          <xdr:col>1</xdr:col>
          <xdr:colOff>2505075</xdr:colOff>
          <xdr:row>6</xdr:row>
          <xdr:rowOff>38100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600075</xdr:colOff>
          <xdr:row>7</xdr:row>
          <xdr:rowOff>9525</xdr:rowOff>
        </xdr:from>
        <xdr:to>
          <xdr:col>1</xdr:col>
          <xdr:colOff>2514600</xdr:colOff>
          <xdr:row>8</xdr:row>
          <xdr:rowOff>114300</xdr:rowOff>
        </xdr:to>
        <xdr:sp macro="" textlink="">
          <xdr:nvSpPr>
            <xdr:cNvPr id="1027" name="ComboBox2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</xdr:row>
          <xdr:rowOff>209550</xdr:rowOff>
        </xdr:from>
        <xdr:to>
          <xdr:col>4</xdr:col>
          <xdr:colOff>19050</xdr:colOff>
          <xdr:row>8</xdr:row>
          <xdr:rowOff>28575</xdr:rowOff>
        </xdr:to>
        <xdr:sp macro="" textlink="">
          <xdr:nvSpPr>
            <xdr:cNvPr id="1034" name="CheckBox1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6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5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5.xml"/><Relationship Id="rId5" Type="http://schemas.openxmlformats.org/officeDocument/2006/relationships/image" Target="../media/image4.emf"/><Relationship Id="rId4" Type="http://schemas.openxmlformats.org/officeDocument/2006/relationships/control" Target="../activeX/activeX4.xml"/><Relationship Id="rId9" Type="http://schemas.openxmlformats.org/officeDocument/2006/relationships/image" Target="../media/image6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2:P28"/>
  <sheetViews>
    <sheetView tabSelected="1" workbookViewId="0">
      <selection activeCell="C8" sqref="C8"/>
    </sheetView>
  </sheetViews>
  <sheetFormatPr defaultRowHeight="15" x14ac:dyDescent="0.25"/>
  <cols>
    <col min="2" max="2" width="40" customWidth="1"/>
    <col min="3" max="3" width="20.85546875" customWidth="1"/>
    <col min="4" max="4" width="16.140625" customWidth="1"/>
    <col min="5" max="5" width="11.28515625" customWidth="1"/>
    <col min="7" max="7" width="27.85546875" customWidth="1"/>
    <col min="8" max="8" width="15.85546875" customWidth="1"/>
    <col min="9" max="9" width="11.85546875" customWidth="1"/>
  </cols>
  <sheetData>
    <row r="2" spans="1:12" x14ac:dyDescent="0.25">
      <c r="B2" s="18"/>
    </row>
    <row r="3" spans="1:12" x14ac:dyDescent="0.25">
      <c r="B3" s="18"/>
    </row>
    <row r="5" spans="1:12" x14ac:dyDescent="0.25">
      <c r="C5" s="2"/>
      <c r="D5" s="2"/>
      <c r="E5" s="2"/>
      <c r="G5" s="7"/>
      <c r="H5" s="24" t="s">
        <v>15</v>
      </c>
      <c r="I5" s="24" t="s">
        <v>16</v>
      </c>
      <c r="J5" s="24" t="s">
        <v>8</v>
      </c>
      <c r="K5" s="24" t="s">
        <v>14</v>
      </c>
      <c r="L5" s="24" t="s">
        <v>13</v>
      </c>
    </row>
    <row r="6" spans="1:12" ht="18" customHeight="1" x14ac:dyDescent="0.25">
      <c r="C6" s="2" t="s">
        <v>3</v>
      </c>
      <c r="D6" s="6"/>
      <c r="E6" s="6"/>
      <c r="G6" s="4" t="s">
        <v>1</v>
      </c>
      <c r="H6" s="5" t="str">
        <f>IF(AND($C$6="герметичный",$C$8="110"),"1,0","-")</f>
        <v>-</v>
      </c>
      <c r="I6" s="5" t="str">
        <f>IF(AND($C$6="герметичный",$C$8="220"),"2,0","-")</f>
        <v>-</v>
      </c>
      <c r="J6" s="5" t="str">
        <f>IF(AND($C$6="герметичный",$C$8="330"),"3,0","-")</f>
        <v>-</v>
      </c>
      <c r="K6" s="5" t="str">
        <f>IF(AND($C$6="герметичный",$C$8="500"),"4,0","-")</f>
        <v>-</v>
      </c>
      <c r="L6" s="5" t="str">
        <f>IF(AND($C$6="герметичный",$C$8="750"),"5,0","-")</f>
        <v>-</v>
      </c>
    </row>
    <row r="7" spans="1:12" ht="18" customHeight="1" x14ac:dyDescent="0.25">
      <c r="C7" s="6"/>
      <c r="D7" s="6"/>
      <c r="E7" s="6"/>
      <c r="G7" s="4" t="s">
        <v>2</v>
      </c>
      <c r="H7" s="5" t="str">
        <f>IF(AND($C$6="негерметичный",$C$8="110"),"6,0","-")</f>
        <v>-</v>
      </c>
      <c r="I7" s="5" t="str">
        <f>IF(AND($C$6="негерметичный",$C$8="220"),"7,0","-")</f>
        <v>-</v>
      </c>
      <c r="J7" s="5" t="str">
        <f>IF(AND($C$6="негерметичный",$C$8="330"),"8,0","-")</f>
        <v>-</v>
      </c>
      <c r="K7" s="5" t="str">
        <f>IF(AND($C$6="негерметичный",$C$8="500"),"9,0","-")</f>
        <v>-</v>
      </c>
      <c r="L7" s="5" t="str">
        <f>IF(AND($C$6="негерметичный",$C$8="750"),"10,0","-")</f>
        <v>-</v>
      </c>
    </row>
    <row r="8" spans="1:12" ht="18" customHeight="1" x14ac:dyDescent="0.25">
      <c r="C8" s="12" t="s">
        <v>14</v>
      </c>
      <c r="D8" s="6"/>
      <c r="E8" s="2" t="b">
        <v>0</v>
      </c>
      <c r="G8" s="4" t="s">
        <v>3</v>
      </c>
      <c r="H8" s="5" t="str">
        <f>IF(AND($C$6="твердая изоляция",$C$8="110"),"11,0","-")</f>
        <v>-</v>
      </c>
      <c r="I8" s="5" t="str">
        <f>IF(AND($C$6="твердая изоляция",$C$8="220"),"12,0","-")</f>
        <v>-</v>
      </c>
      <c r="J8" s="5" t="str">
        <f>IF(AND($C$6="твердая изоляция",$C$8="330"),"13,0","-")</f>
        <v>-</v>
      </c>
      <c r="K8" s="5" t="str">
        <f>IF(AND($C$6="твердая изоляция",$C$8="500"),"14,0","-")</f>
        <v>14,0</v>
      </c>
      <c r="L8" s="5" t="str">
        <f>IF(AND($C$6="твердая изоляция",$C$8="750"),"15,0","-")</f>
        <v>-</v>
      </c>
    </row>
    <row r="9" spans="1:12" ht="18" customHeight="1" x14ac:dyDescent="0.25">
      <c r="C9" s="6"/>
      <c r="D9" s="6"/>
      <c r="E9" s="6"/>
      <c r="G9" s="4" t="s">
        <v>0</v>
      </c>
      <c r="H9" s="8" t="str">
        <f>IF(AND($C$6="RIP-изоляция",$C$8="110"),"16,0","-")</f>
        <v>-</v>
      </c>
      <c r="I9" s="8" t="str">
        <f>IF(AND($C$6="RIP-изоляция",$C$8="220"),"17,0","-")</f>
        <v>-</v>
      </c>
      <c r="J9" s="8" t="str">
        <f>IF(AND($C$6="RIP-изоляция",$C$8="330"),"18,0","-")</f>
        <v>-</v>
      </c>
      <c r="K9" s="8" t="str">
        <f>IF(AND($C$6="RIP-изоляция",$C$8="500"),"19,0","-")</f>
        <v>-</v>
      </c>
      <c r="L9" s="8" t="str">
        <f>IF(AND($C$6="RIP-изоляция",$C$8="750"),"20,0","-")</f>
        <v>-</v>
      </c>
    </row>
    <row r="10" spans="1:12" ht="18" customHeight="1" x14ac:dyDescent="0.25">
      <c r="C10" s="6"/>
      <c r="D10" s="6"/>
      <c r="E10" s="6"/>
      <c r="G10" s="4" t="s">
        <v>4</v>
      </c>
      <c r="H10" s="8" t="str">
        <f>IF(AND($C$6="герметичный",$C$8="110",$E$8=FALSE),"3,0",IF(AND($C$6="негерметичный",$C$8="110",$E$8=FALSE),"3,0","-"))</f>
        <v>-</v>
      </c>
      <c r="I10" s="8" t="str">
        <f>IF(AND($C$6="герметичный",$C$8="220",$E$8=FALSE),"2,0",IF(AND($C$6="негерметичный",$C$8="220",$E$8=FALSE),"2,0","-"))</f>
        <v>-</v>
      </c>
      <c r="J10" s="8" t="str">
        <f>IF(AND($C$6="герметичный",$C$8="330",$E$8=FALSE),"1,5",IF(AND($C$6="негерметичный",$C$8="330",$E$8=FALSE),"1,5","-"))</f>
        <v>-</v>
      </c>
      <c r="K10" s="8" t="str">
        <f>IF(AND($C$6="герметичный",$C$8="500",$E$8=FALSE),"1,5",IF(AND($C$6="негерметичный",$C$8="500",$E$8=FALSE),"1,5","-"))</f>
        <v>-</v>
      </c>
      <c r="L10" s="8" t="str">
        <f>IF(AND($C$6="герметичный",$C$8="750",$E$8=FALSE),"1,5",IF(AND($C$6="негерметичный",$C$8="750",$E$8=FALSE),"1,5","-"))</f>
        <v>-</v>
      </c>
    </row>
    <row r="13" spans="1:12" x14ac:dyDescent="0.25">
      <c r="A13" s="13">
        <v>110</v>
      </c>
      <c r="B13" s="1" t="s">
        <v>1</v>
      </c>
    </row>
    <row r="14" spans="1:12" x14ac:dyDescent="0.25">
      <c r="A14" s="13">
        <v>220</v>
      </c>
      <c r="B14" s="1" t="s">
        <v>2</v>
      </c>
    </row>
    <row r="15" spans="1:12" x14ac:dyDescent="0.25">
      <c r="A15" s="13">
        <v>330</v>
      </c>
      <c r="B15" s="1" t="s">
        <v>3</v>
      </c>
    </row>
    <row r="16" spans="1:12" x14ac:dyDescent="0.25">
      <c r="A16" s="13">
        <v>500</v>
      </c>
      <c r="B16" s="1" t="s">
        <v>0</v>
      </c>
      <c r="D16" s="18"/>
      <c r="E16" s="18"/>
      <c r="F16" s="18"/>
    </row>
    <row r="17" spans="1:16" x14ac:dyDescent="0.25">
      <c r="A17" s="13">
        <v>750</v>
      </c>
      <c r="B17" s="15"/>
      <c r="D17" s="18"/>
      <c r="E17" s="18"/>
      <c r="F17" s="18"/>
    </row>
    <row r="18" spans="1:16" x14ac:dyDescent="0.25">
      <c r="C18" s="10"/>
      <c r="H18" s="6"/>
    </row>
    <row r="19" spans="1:16" x14ac:dyDescent="0.25">
      <c r="C19" s="10"/>
    </row>
    <row r="20" spans="1:16" x14ac:dyDescent="0.25">
      <c r="G20" s="9" t="s">
        <v>12</v>
      </c>
      <c r="H20" s="9"/>
      <c r="I20" s="9"/>
      <c r="J20" s="9"/>
      <c r="K20" s="9"/>
      <c r="L20" s="9"/>
      <c r="M20" s="9"/>
      <c r="N20" s="9"/>
      <c r="O20" s="9"/>
      <c r="P20" s="9"/>
    </row>
    <row r="21" spans="1:16" x14ac:dyDescent="0.25">
      <c r="N21" t="s">
        <v>7</v>
      </c>
    </row>
    <row r="22" spans="1:16" x14ac:dyDescent="0.25">
      <c r="G22" t="s">
        <v>5</v>
      </c>
    </row>
    <row r="23" spans="1:16" x14ac:dyDescent="0.25">
      <c r="C23" s="16" t="s">
        <v>11</v>
      </c>
      <c r="G23" s="11" t="str">
        <f>C6</f>
        <v>твердая изоляция</v>
      </c>
      <c r="H23" s="19" t="str">
        <f>INDEX(H6:L10,MATCH(G23,G6:G10,0),MATCH(G24,H5:L5,0))</f>
        <v>14,0</v>
      </c>
      <c r="J23" s="20" t="str">
        <f>INDEX(H6:L10,MATCH(C6,G6:G10,0),MATCH(C8,H5:L5,0))</f>
        <v>14,0</v>
      </c>
      <c r="K23" s="17" t="s">
        <v>6</v>
      </c>
    </row>
    <row r="24" spans="1:16" x14ac:dyDescent="0.25">
      <c r="C24" t="s">
        <v>9</v>
      </c>
      <c r="G24" s="14" t="str">
        <f>C8</f>
        <v>500</v>
      </c>
      <c r="H24" s="19"/>
      <c r="J24" s="21"/>
      <c r="K24" s="17"/>
    </row>
    <row r="25" spans="1:16" x14ac:dyDescent="0.25">
      <c r="C25" t="s">
        <v>10</v>
      </c>
    </row>
    <row r="26" spans="1:16" x14ac:dyDescent="0.25">
      <c r="C26" s="2"/>
      <c r="D26" s="10"/>
    </row>
    <row r="27" spans="1:16" x14ac:dyDescent="0.25">
      <c r="H27" s="2"/>
    </row>
    <row r="28" spans="1:16" x14ac:dyDescent="0.25">
      <c r="D28" s="10"/>
    </row>
  </sheetData>
  <mergeCells count="6">
    <mergeCell ref="K23:K24"/>
    <mergeCell ref="B2:B3"/>
    <mergeCell ref="D16:F16"/>
    <mergeCell ref="D17:F17"/>
    <mergeCell ref="H23:H24"/>
    <mergeCell ref="J23:J24"/>
  </mergeCells>
  <pageMargins left="0.7" right="0.7" top="0.75" bottom="0.75" header="0.3" footer="0.3"/>
  <pageSetup paperSize="9" orientation="portrait" horizontalDpi="200" verticalDpi="200" r:id="rId1"/>
  <drawing r:id="rId2"/>
  <legacyDrawing r:id="rId3"/>
  <controls>
    <mc:AlternateContent xmlns:mc="http://schemas.openxmlformats.org/markup-compatibility/2006">
      <mc:Choice Requires="x14">
        <control shapeId="2051" r:id="rId4" name="CheckBox1">
          <controlPr defaultSize="0" autoLine="0" linkedCell="E8" r:id="rId5">
            <anchor moveWithCells="1">
              <from>
                <xdr:col>3</xdr:col>
                <xdr:colOff>47625</xdr:colOff>
                <xdr:row>6</xdr:row>
                <xdr:rowOff>209550</xdr:rowOff>
              </from>
              <to>
                <xdr:col>4</xdr:col>
                <xdr:colOff>19050</xdr:colOff>
                <xdr:row>8</xdr:row>
                <xdr:rowOff>28575</xdr:rowOff>
              </to>
            </anchor>
          </controlPr>
        </control>
      </mc:Choice>
      <mc:Fallback>
        <control shapeId="2051" r:id="rId4" name="CheckBox1"/>
      </mc:Fallback>
    </mc:AlternateContent>
    <mc:AlternateContent xmlns:mc="http://schemas.openxmlformats.org/markup-compatibility/2006">
      <mc:Choice Requires="x14">
        <control shapeId="2050" r:id="rId6" name="ComboBox2">
          <controlPr defaultSize="0" autoLine="0" linkedCell="C8" listFillRange="A13:A17" r:id="rId7">
            <anchor moveWithCells="1">
              <from>
                <xdr:col>0</xdr:col>
                <xdr:colOff>600075</xdr:colOff>
                <xdr:row>7</xdr:row>
                <xdr:rowOff>9525</xdr:rowOff>
              </from>
              <to>
                <xdr:col>1</xdr:col>
                <xdr:colOff>2514600</xdr:colOff>
                <xdr:row>8</xdr:row>
                <xdr:rowOff>114300</xdr:rowOff>
              </to>
            </anchor>
          </controlPr>
        </control>
      </mc:Choice>
      <mc:Fallback>
        <control shapeId="2050" r:id="rId6" name="ComboBox2"/>
      </mc:Fallback>
    </mc:AlternateContent>
    <mc:AlternateContent xmlns:mc="http://schemas.openxmlformats.org/markup-compatibility/2006">
      <mc:Choice Requires="x14">
        <control shapeId="2049" r:id="rId8" name="ComboBox1">
          <controlPr defaultSize="0" autoLine="0" linkedCell="C6" listFillRange="B13:B17" r:id="rId9">
            <anchor moveWithCells="1">
              <from>
                <xdr:col>0</xdr:col>
                <xdr:colOff>590550</xdr:colOff>
                <xdr:row>4</xdr:row>
                <xdr:rowOff>142875</xdr:rowOff>
              </from>
              <to>
                <xdr:col>1</xdr:col>
                <xdr:colOff>2505075</xdr:colOff>
                <xdr:row>6</xdr:row>
                <xdr:rowOff>38100</xdr:rowOff>
              </to>
            </anchor>
          </controlPr>
        </control>
      </mc:Choice>
      <mc:Fallback>
        <control shapeId="2049" r:id="rId8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/>
  <dimension ref="A2:L25"/>
  <sheetViews>
    <sheetView workbookViewId="0">
      <selection activeCell="D15" sqref="D15"/>
    </sheetView>
  </sheetViews>
  <sheetFormatPr defaultRowHeight="15" x14ac:dyDescent="0.25"/>
  <cols>
    <col min="2" max="2" width="40" customWidth="1"/>
    <col min="3" max="3" width="20.85546875" customWidth="1"/>
    <col min="4" max="4" width="16.140625" customWidth="1"/>
    <col min="5" max="5" width="11.28515625" customWidth="1"/>
    <col min="7" max="7" width="27.85546875" customWidth="1"/>
    <col min="8" max="8" width="15.85546875" customWidth="1"/>
    <col min="9" max="9" width="11.85546875" customWidth="1"/>
  </cols>
  <sheetData>
    <row r="2" spans="1:12" x14ac:dyDescent="0.25">
      <c r="B2" s="18"/>
    </row>
    <row r="3" spans="1:12" x14ac:dyDescent="0.25">
      <c r="B3" s="18"/>
    </row>
    <row r="5" spans="1:12" x14ac:dyDescent="0.25">
      <c r="C5" s="2"/>
      <c r="D5" s="2"/>
      <c r="E5" s="2"/>
      <c r="G5" s="7"/>
      <c r="H5" s="3">
        <v>110</v>
      </c>
      <c r="I5" s="3">
        <v>220</v>
      </c>
      <c r="J5" s="3">
        <v>330</v>
      </c>
      <c r="K5" s="3">
        <v>500</v>
      </c>
      <c r="L5" s="3">
        <v>750</v>
      </c>
    </row>
    <row r="6" spans="1:12" ht="18" customHeight="1" x14ac:dyDescent="0.25">
      <c r="C6" s="2" t="s">
        <v>1</v>
      </c>
      <c r="D6" s="6"/>
      <c r="E6" s="6"/>
      <c r="G6" s="4" t="s">
        <v>1</v>
      </c>
      <c r="H6" s="5" t="str">
        <f>IF(AND($C$6="герметичный",$C$8="110"),"1,5","-")</f>
        <v>-</v>
      </c>
      <c r="I6" s="5" t="str">
        <f>IF(AND($C$6="герметичный",$C$8="220"),"1,2","-")</f>
        <v>-</v>
      </c>
      <c r="J6" s="5" t="str">
        <f>IF(AND($C$6="герметичный",$C$8="330"),"1,0","-")</f>
        <v>1,0</v>
      </c>
      <c r="K6" s="5" t="str">
        <f>IF(AND($C$6="герметичный",$C$8="500"),"1,0","-")</f>
        <v>-</v>
      </c>
      <c r="L6" s="5" t="str">
        <f>IF(AND($C$6="герметичный",$C$8="750"),"1,0","-")</f>
        <v>-</v>
      </c>
    </row>
    <row r="7" spans="1:12" ht="18" customHeight="1" x14ac:dyDescent="0.25">
      <c r="C7" s="6"/>
      <c r="D7" s="6"/>
      <c r="E7" s="6"/>
      <c r="G7" s="4" t="s">
        <v>2</v>
      </c>
      <c r="H7" s="5" t="str">
        <f>IF(AND($C$6="негерметичный",$C$8="110"),"1,5","-")</f>
        <v>-</v>
      </c>
      <c r="I7" s="5" t="str">
        <f>IF(AND($C$6="негерметичный",$C$8="220"),"1,2","-")</f>
        <v>-</v>
      </c>
      <c r="J7" s="5" t="str">
        <f>IF(AND($C$6="негерметичный",$C$8="330"),"1,0","-")</f>
        <v>-</v>
      </c>
      <c r="K7" s="5" t="str">
        <f>IF(AND($C$6="негерметичный",$C$8="500"),"1,0","-")</f>
        <v>-</v>
      </c>
      <c r="L7" s="5" t="str">
        <f>IF(AND($C$6="негерметичный",$C$8="750"),"1,0","-")</f>
        <v>-</v>
      </c>
    </row>
    <row r="8" spans="1:12" ht="18" customHeight="1" x14ac:dyDescent="0.25">
      <c r="C8" s="2" t="s">
        <v>8</v>
      </c>
      <c r="D8" s="6"/>
      <c r="E8" s="2" t="b">
        <v>0</v>
      </c>
      <c r="G8" s="4" t="s">
        <v>3</v>
      </c>
      <c r="H8" s="5" t="str">
        <f>IF(AND($C$6="твердая изоляция",$C$8="110"),"1,5","-")</f>
        <v>-</v>
      </c>
      <c r="I8" s="5" t="str">
        <f>IF(AND($C$6="твердая изоляция",$C$8="220"),"1,5","-")</f>
        <v>-</v>
      </c>
      <c r="J8" s="5" t="str">
        <f>IF(AND($C$6="твердая изоляция",$C$8="330"),"1,5","-")</f>
        <v>-</v>
      </c>
      <c r="K8" s="5" t="str">
        <f>IF(AND($C$6="твердая изоляция",$C$8="500"),"1,5","-")</f>
        <v>-</v>
      </c>
      <c r="L8" s="5" t="str">
        <f>IF(AND($C$6="твердая изоляция",$C$8="750"),"1,5","-")</f>
        <v>-</v>
      </c>
    </row>
    <row r="9" spans="1:12" ht="18" customHeight="1" x14ac:dyDescent="0.25">
      <c r="C9" s="6"/>
      <c r="D9" s="6"/>
      <c r="E9" s="6"/>
      <c r="G9" s="4" t="s">
        <v>0</v>
      </c>
      <c r="H9" s="8" t="str">
        <f>IF(AND($C$6="RIP-изоляция",$C$8="110"),"1,2","-")</f>
        <v>-</v>
      </c>
      <c r="I9" s="8" t="str">
        <f>IF(AND($C$6="RIP-изоляция",$C$8="220"),"1,2","-")</f>
        <v>-</v>
      </c>
      <c r="J9" s="8" t="str">
        <f>IF(AND($C$6="RIP-изоляция",$C$8="330"),"1,2","-")</f>
        <v>-</v>
      </c>
      <c r="K9" s="8" t="str">
        <f>IF(AND($C$6="RIP-изоляция",$C$8="500"),"1,2","-")</f>
        <v>-</v>
      </c>
      <c r="L9" s="8" t="str">
        <f>IF(AND($C$6="RIP-изоляция",$C$8="750"),"1,2","-")</f>
        <v>-</v>
      </c>
    </row>
    <row r="10" spans="1:12" ht="18" customHeight="1" x14ac:dyDescent="0.25">
      <c r="C10" s="6"/>
      <c r="D10" s="6"/>
      <c r="E10" s="6"/>
      <c r="G10" s="4" t="s">
        <v>4</v>
      </c>
      <c r="H10" s="8" t="str">
        <f>IF(AND($C$6="герметичный",$C$8="110",$E$8=FALSE),"3,0",IF(AND($C$6="негерметичный",$C$8="110",$E$8=FALSE),"3,0","-"))</f>
        <v>-</v>
      </c>
      <c r="I10" s="8" t="str">
        <f>IF(AND($C$6="герметичный",$C$8="220",$E$8=FALSE),"2,0",IF(AND($C$6="негерметичный",$C$8="220",$E$8=FALSE),"2,0","-"))</f>
        <v>-</v>
      </c>
      <c r="J10" s="8" t="str">
        <f>IF(AND($C$6="герметичный",$C$8="330",$E$8=FALSE),"1,5",IF(AND($C$6="негерметичный",$C$8="330",$E$8=FALSE),"1,5","-"))</f>
        <v>1,5</v>
      </c>
      <c r="K10" s="8" t="str">
        <f>IF(AND($C$6="герметичный",$C$8="500",$E$8=FALSE),"1,5",IF(AND($C$6="негерметичный",$C$8="500",$E$8=FALSE),"1,5","-"))</f>
        <v>-</v>
      </c>
      <c r="L10" s="8" t="str">
        <f>IF(AND($C$6="герметичный",$C$8="750",$E$8=FALSE),"1,5",IF(AND($C$6="негерметичный",$C$8="750",$E$8=FALSE),"1,5","-"))</f>
        <v>-</v>
      </c>
    </row>
    <row r="13" spans="1:12" x14ac:dyDescent="0.25">
      <c r="A13">
        <v>110</v>
      </c>
      <c r="B13" s="1" t="s">
        <v>1</v>
      </c>
      <c r="G13" s="11" t="str">
        <f>C6</f>
        <v>герметичный</v>
      </c>
      <c r="H13" s="19" t="str">
        <f>INDEX(H6:L10,MATCH(G13,G6:G10,0),MATCH(G14,H5:L5,0))</f>
        <v>1,0</v>
      </c>
    </row>
    <row r="14" spans="1:12" x14ac:dyDescent="0.25">
      <c r="A14">
        <v>220</v>
      </c>
      <c r="B14" s="1" t="s">
        <v>2</v>
      </c>
      <c r="G14" s="11">
        <v>330</v>
      </c>
      <c r="H14" s="19"/>
    </row>
    <row r="15" spans="1:12" x14ac:dyDescent="0.25">
      <c r="A15">
        <v>330</v>
      </c>
      <c r="B15" s="1" t="s">
        <v>3</v>
      </c>
    </row>
    <row r="16" spans="1:12" x14ac:dyDescent="0.25">
      <c r="A16">
        <v>500</v>
      </c>
      <c r="B16" s="1" t="s">
        <v>0</v>
      </c>
    </row>
    <row r="17" spans="1:11" x14ac:dyDescent="0.25">
      <c r="A17">
        <v>750</v>
      </c>
      <c r="B17" s="1"/>
    </row>
    <row r="18" spans="1:11" x14ac:dyDescent="0.25">
      <c r="C18" s="10"/>
      <c r="H18" s="6"/>
    </row>
    <row r="20" spans="1:11" x14ac:dyDescent="0.25">
      <c r="C20" s="2"/>
      <c r="D20" s="2"/>
      <c r="J20" s="22"/>
      <c r="K20" s="17"/>
    </row>
    <row r="21" spans="1:11" x14ac:dyDescent="0.25">
      <c r="J21" s="23"/>
      <c r="K21" s="17"/>
    </row>
    <row r="23" spans="1:11" x14ac:dyDescent="0.25">
      <c r="C23" s="2"/>
      <c r="D23" s="10"/>
    </row>
    <row r="24" spans="1:11" x14ac:dyDescent="0.25">
      <c r="H24" s="2"/>
    </row>
    <row r="25" spans="1:11" x14ac:dyDescent="0.25">
      <c r="D25" s="10"/>
    </row>
  </sheetData>
  <mergeCells count="4">
    <mergeCell ref="K20:K21"/>
    <mergeCell ref="B2:B3"/>
    <mergeCell ref="H13:H14"/>
    <mergeCell ref="J20:J21"/>
  </mergeCells>
  <pageMargins left="0.7" right="0.7" top="0.75" bottom="0.75" header="0.3" footer="0.3"/>
  <pageSetup paperSize="9" orientation="portrait" horizontalDpi="200" verticalDpi="200" r:id="rId1"/>
  <drawing r:id="rId2"/>
  <legacyDrawing r:id="rId3"/>
  <controls>
    <mc:AlternateContent xmlns:mc="http://schemas.openxmlformats.org/markup-compatibility/2006">
      <mc:Choice Requires="x14">
        <control shapeId="1034" r:id="rId4" name="CheckBox1">
          <controlPr defaultSize="0" autoLine="0" linkedCell="E8" r:id="rId5">
            <anchor moveWithCells="1">
              <from>
                <xdr:col>3</xdr:col>
                <xdr:colOff>47625</xdr:colOff>
                <xdr:row>6</xdr:row>
                <xdr:rowOff>209550</xdr:rowOff>
              </from>
              <to>
                <xdr:col>4</xdr:col>
                <xdr:colOff>19050</xdr:colOff>
                <xdr:row>8</xdr:row>
                <xdr:rowOff>28575</xdr:rowOff>
              </to>
            </anchor>
          </controlPr>
        </control>
      </mc:Choice>
      <mc:Fallback>
        <control shapeId="1034" r:id="rId4" name="CheckBox1"/>
      </mc:Fallback>
    </mc:AlternateContent>
    <mc:AlternateContent xmlns:mc="http://schemas.openxmlformats.org/markup-compatibility/2006">
      <mc:Choice Requires="x14">
        <control shapeId="1027" r:id="rId6" name="ComboBox2">
          <controlPr defaultSize="0" autoLine="0" linkedCell="C8" listFillRange="A13:A17" r:id="rId7">
            <anchor moveWithCells="1">
              <from>
                <xdr:col>0</xdr:col>
                <xdr:colOff>600075</xdr:colOff>
                <xdr:row>7</xdr:row>
                <xdr:rowOff>9525</xdr:rowOff>
              </from>
              <to>
                <xdr:col>1</xdr:col>
                <xdr:colOff>2514600</xdr:colOff>
                <xdr:row>8</xdr:row>
                <xdr:rowOff>114300</xdr:rowOff>
              </to>
            </anchor>
          </controlPr>
        </control>
      </mc:Choice>
      <mc:Fallback>
        <control shapeId="1027" r:id="rId6" name="ComboBox2"/>
      </mc:Fallback>
    </mc:AlternateContent>
    <mc:AlternateContent xmlns:mc="http://schemas.openxmlformats.org/markup-compatibility/2006">
      <mc:Choice Requires="x14">
        <control shapeId="1026" r:id="rId8" name="ComboBox1">
          <controlPr defaultSize="0" autoLine="0" linkedCell="C6" listFillRange="B13:B17" r:id="rId9">
            <anchor moveWithCells="1">
              <from>
                <xdr:col>0</xdr:col>
                <xdr:colOff>590550</xdr:colOff>
                <xdr:row>4</xdr:row>
                <xdr:rowOff>142875</xdr:rowOff>
              </from>
              <to>
                <xdr:col>1</xdr:col>
                <xdr:colOff>2505075</xdr:colOff>
                <xdr:row>6</xdr:row>
                <xdr:rowOff>38100</xdr:rowOff>
              </to>
            </anchor>
          </controlPr>
        </control>
      </mc:Choice>
      <mc:Fallback>
        <control shapeId="1026" r:id="rId8" name="Combo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Как выбрать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2024-06-18T19:55:08Z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2024-06-18T19:55:06Z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2f4fa34c-4c6a-488d-8d17-923c1a71e37c</vt:lpwstr>
  </property>
  <property fmtid="{D5CDD505-2E9C-101B-9397-08002B2CF9AE}" pid="7" name="MSIP_Label_defa4170-0d19-0005-0004-bc88714345d2_ActionId">
    <vt:lpwstr>8686ce58-cf8e-478d-bc6d-5d203af8d37d</vt:lpwstr>
  </property>
  <property fmtid="{D5CDD505-2E9C-101B-9397-08002B2CF9AE}" pid="8" name="MSIP_Label_defa4170-0d19-0005-0004-bc88714345d2_ContentBits">
    <vt:lpwstr>0</vt:lpwstr>
  </property>
</Properties>
</file>