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6010" windowHeight="11115" tabRatio="874"/>
  </bookViews>
  <sheets>
    <sheet name="Реестр" sheetId="1" r:id="rId1"/>
    <sheet name="талон" sheetId="4" r:id="rId2"/>
  </sheets>
  <definedNames>
    <definedName name="_xlnm._FilterDatabase" localSheetId="0" hidden="1">Реестр!$A$1:$AP$11</definedName>
    <definedName name="_xlnm.Print_Area" localSheetId="0">Реестр!$A$1:$V$1</definedName>
    <definedName name="_xlnm.Print_Area" localSheetId="1">талон!$A$1:$J$29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AD4" i="1"/>
  <c r="AD5" i="1"/>
  <c r="AD6" i="1"/>
  <c r="AD7" i="1"/>
  <c r="AD8" i="1"/>
  <c r="AD3" i="1"/>
  <c r="AX3" i="1" l="1"/>
  <c r="D11" i="4" l="1"/>
  <c r="I20" i="4"/>
  <c r="I25" i="4"/>
  <c r="I24" i="4"/>
  <c r="I23" i="4"/>
  <c r="I22" i="4"/>
  <c r="I21" i="4"/>
  <c r="B9" i="4" l="1"/>
  <c r="B17" i="4"/>
  <c r="I19" i="4"/>
  <c r="I18" i="4"/>
  <c r="I17" i="4"/>
  <c r="I16" i="4"/>
  <c r="J15" i="4"/>
  <c r="I15" i="4"/>
  <c r="J14" i="4"/>
  <c r="I14" i="4"/>
  <c r="J13" i="4"/>
  <c r="I13" i="4"/>
  <c r="J10" i="4"/>
  <c r="I10" i="4"/>
  <c r="D10" i="4"/>
  <c r="J7" i="4"/>
  <c r="I7" i="4"/>
  <c r="D7" i="4"/>
  <c r="J4" i="4"/>
  <c r="I4" i="4"/>
  <c r="D4" i="4"/>
  <c r="B7" i="4" l="1"/>
  <c r="B10" i="4"/>
  <c r="B11" i="4"/>
  <c r="B12" i="4"/>
  <c r="B13" i="4"/>
  <c r="B14" i="4"/>
  <c r="B15" i="4"/>
</calcChain>
</file>

<file path=xl/sharedStrings.xml><?xml version="1.0" encoding="utf-8"?>
<sst xmlns="http://schemas.openxmlformats.org/spreadsheetml/2006/main" count="221" uniqueCount="102">
  <si>
    <t>Должность</t>
  </si>
  <si>
    <t>ФИО</t>
  </si>
  <si>
    <t>№ п/п</t>
  </si>
  <si>
    <t>-</t>
  </si>
  <si>
    <t>ОТ</t>
  </si>
  <si>
    <t>(подпись)</t>
  </si>
  <si>
    <t>№ талона</t>
  </si>
  <si>
    <t>ООО "РусГазБурение"</t>
  </si>
  <si>
    <t>(Наименование Общества)</t>
  </si>
  <si>
    <r>
      <t>УДОСТОВЕРЕНИЕ-ДОПУСК №</t>
    </r>
    <r>
      <rPr>
        <b/>
        <sz val="14"/>
        <color theme="1"/>
        <rFont val="Franklin Gothic Book"/>
        <family val="2"/>
        <charset val="204"/>
      </rPr>
      <t xml:space="preserve"> </t>
    </r>
  </si>
  <si>
    <t>для выполнения работ на объекте Заказчика</t>
  </si>
  <si>
    <t>Объект производства работ</t>
  </si>
  <si>
    <t>Работодатель:</t>
  </si>
  <si>
    <t>ФИО работника:</t>
  </si>
  <si>
    <t>Объект производства работ:</t>
  </si>
  <si>
    <t>Работодатель</t>
  </si>
  <si>
    <t>Должность:</t>
  </si>
  <si>
    <t>Квалификационное удстоверение:</t>
  </si>
  <si>
    <t>Квалификационное удостоверение</t>
  </si>
  <si>
    <t>Специальность:</t>
  </si>
  <si>
    <t>Стаж работы по специальности:</t>
  </si>
  <si>
    <t>Стаж работы по специальности</t>
  </si>
  <si>
    <t>Вводный инструктаж по Положению ООО "РГБ" № П.ПЭБ-046</t>
  </si>
  <si>
    <t>Пройден:</t>
  </si>
  <si>
    <t>Дата вводного инструктажа</t>
  </si>
  <si>
    <t>МП</t>
  </si>
  <si>
    <t>(ФИО)</t>
  </si>
  <si>
    <t>Действителен до:</t>
  </si>
  <si>
    <t>Вид производимых работ</t>
  </si>
  <si>
    <t>Огневые работы</t>
  </si>
  <si>
    <t>Работы повышенной опасности</t>
  </si>
  <si>
    <t>Газоопасные работы</t>
  </si>
  <si>
    <t>Перевозка работников</t>
  </si>
  <si>
    <t>ГПМ</t>
  </si>
  <si>
    <t>Электромонтажные работы</t>
  </si>
  <si>
    <t>Буровые растворы</t>
  </si>
  <si>
    <t>Срок</t>
  </si>
  <si>
    <t>Аттестация, 
проверка знаний</t>
  </si>
  <si>
    <r>
      <rPr>
        <b/>
        <sz val="10"/>
        <color theme="1"/>
        <rFont val="Franklin Gothic Book"/>
        <family val="2"/>
        <charset val="204"/>
      </rPr>
      <t>Срок окончания</t>
    </r>
    <r>
      <rPr>
        <sz val="10"/>
        <color theme="1"/>
        <rFont val="Franklin Gothic Book"/>
        <family val="2"/>
        <charset val="204"/>
      </rPr>
      <t xml:space="preserve"> аттестации, проверки знаний, осмотра</t>
    </r>
  </si>
  <si>
    <t>Промышленная безопасность</t>
  </si>
  <si>
    <t>Работы на высоте</t>
  </si>
  <si>
    <t>Электробезопасность</t>
  </si>
  <si>
    <t>Гр.</t>
  </si>
  <si>
    <t>Охрана труда</t>
  </si>
  <si>
    <t>Пожарная безопасность (противопожарный инструктаж)</t>
  </si>
  <si>
    <t>Оказание первой помощи</t>
  </si>
  <si>
    <t>Медицинский осмотр</t>
  </si>
  <si>
    <t>Защитное вождение</t>
  </si>
  <si>
    <t>Экологическая безопасность</t>
  </si>
  <si>
    <t>Огневые 
работы</t>
  </si>
  <si>
    <t>Работы 
повышенной опасности</t>
  </si>
  <si>
    <t>Газоопасные
работы</t>
  </si>
  <si>
    <t>Перевозка 
работников</t>
  </si>
  <si>
    <t>Транспортные 
услуги</t>
  </si>
  <si>
    <t>КРС/
Испытание/
Освоение</t>
  </si>
  <si>
    <t>Другие (указать 
вид работ)</t>
  </si>
  <si>
    <t>Область аттестации</t>
  </si>
  <si>
    <t>Группа</t>
  </si>
  <si>
    <t>Пожарная безопасность</t>
  </si>
  <si>
    <t>Медосмотр</t>
  </si>
  <si>
    <t>ЗЗВ</t>
  </si>
  <si>
    <t>Экология</t>
  </si>
  <si>
    <t>допуск</t>
  </si>
  <si>
    <t>I</t>
  </si>
  <si>
    <t>ДОПУСК</t>
  </si>
  <si>
    <t>Техлист</t>
  </si>
  <si>
    <t>НЕ ДОПУСК</t>
  </si>
  <si>
    <t>КРС/Испытание/
Освоение</t>
  </si>
  <si>
    <r>
      <t xml:space="preserve">В случае, если срок окончания аттестации в одной из областей аттестации вышел – удостоверение </t>
    </r>
    <r>
      <rPr>
        <b/>
        <sz val="11"/>
        <color rgb="FFFF0000"/>
        <rFont val="Calibri"/>
        <family val="2"/>
        <charset val="204"/>
        <scheme val="minor"/>
      </rPr>
      <t>НЕ ДЕЙСТВИТЕЛЬНО</t>
    </r>
    <r>
      <rPr>
        <b/>
        <sz val="11"/>
        <color theme="1"/>
        <rFont val="Calibri"/>
        <family val="2"/>
        <charset val="204"/>
        <scheme val="minor"/>
      </rPr>
      <t>.</t>
    </r>
  </si>
  <si>
    <t>Ямбургское ГКМ</t>
  </si>
  <si>
    <t>Матюха Роман Вячеславович</t>
  </si>
  <si>
    <t>ООО "НПК "ПРОМСЕРВИС"</t>
  </si>
  <si>
    <t>Специалист по ПОиРС</t>
  </si>
  <si>
    <t>10</t>
  </si>
  <si>
    <t>А.1, Б.2.2, Б.8.3, Б.9.3</t>
  </si>
  <si>
    <t>Бованенковское НГКМ</t>
  </si>
  <si>
    <t>Сивенков Сергей Викторович</t>
  </si>
  <si>
    <t>ООО "Универсал"</t>
  </si>
  <si>
    <t>Стропальщик</t>
  </si>
  <si>
    <t>ПО 70-21-04</t>
  </si>
  <si>
    <t>II</t>
  </si>
  <si>
    <t>Козлов Евгений Валерьевич</t>
  </si>
  <si>
    <t>№ 197</t>
  </si>
  <si>
    <t>2</t>
  </si>
  <si>
    <t>Долгов Андрей Владимирович</t>
  </si>
  <si>
    <t>№ 075</t>
  </si>
  <si>
    <t>Поджидаев Евгений Николаевич</t>
  </si>
  <si>
    <t>ООО "СеверАвтоАльянс"</t>
  </si>
  <si>
    <t>Машинист ППУ</t>
  </si>
  <si>
    <t>99 15 689308</t>
  </si>
  <si>
    <t>36</t>
  </si>
  <si>
    <t>Головкин Александр Александрович</t>
  </si>
  <si>
    <t>Водитель по перевозке опасного груза</t>
  </si>
  <si>
    <t>99 33 104384</t>
  </si>
  <si>
    <t>27</t>
  </si>
  <si>
    <t>Щербинина А.В.</t>
  </si>
  <si>
    <t>Карта водителя</t>
  </si>
  <si>
    <t>Свидетельство ДОПОГ</t>
  </si>
  <si>
    <t>20-часовая программа по БДД</t>
  </si>
  <si>
    <t>Водительское удостоверение</t>
  </si>
  <si>
    <t>Действительно до</t>
  </si>
  <si>
    <t>СЛУЖЕБНЫЙ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</si>
</sst>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0">
    <font>
      <sz val="11"/>
      <color theme="1"/>
      <name val="Albany AMT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b/>
      <sz val="14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  <font>
      <sz val="8"/>
      <name val="Albany AMT"/>
      <charset val="204"/>
    </font>
    <font>
      <sz val="9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0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Franklin Gothic Book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164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28" fillId="0" borderId="0"/>
  </cellStyleXfs>
  <cellXfs count="150">
    <xf numFmtId="164" fontId="0" fillId="0" borderId="0" xfId="0"/>
    <xf numFmtId="0" fontId="3" fillId="0" borderId="0" xfId="3"/>
    <xf numFmtId="0" fontId="9" fillId="0" borderId="1" xfId="3" applyFont="1" applyBorder="1" applyAlignment="1">
      <alignment vertical="center" wrapText="1"/>
    </xf>
    <xf numFmtId="1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3" applyAlignment="1">
      <alignment horizontal="center"/>
    </xf>
    <xf numFmtId="0" fontId="11" fillId="0" borderId="0" xfId="3" applyFont="1" applyAlignment="1">
      <alignment vertical="center" wrapText="1"/>
    </xf>
    <xf numFmtId="0" fontId="3" fillId="0" borderId="11" xfId="3" applyBorder="1"/>
    <xf numFmtId="0" fontId="9" fillId="0" borderId="0" xfId="3" applyFont="1" applyAlignment="1">
      <alignment horizontal="center" vertical="center"/>
    </xf>
    <xf numFmtId="0" fontId="1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0" xfId="0" applyNumberFormat="1" applyFont="1" applyFill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16" fillId="3" borderId="0" xfId="0" applyNumberFormat="1" applyFont="1" applyFill="1" applyAlignment="1">
      <alignment horizontal="center" vertical="center" wrapText="1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3" borderId="0" xfId="0" applyNumberFormat="1" applyFont="1" applyFill="1" applyAlignment="1">
      <alignment horizontal="center" vertical="center" wrapText="1"/>
    </xf>
    <xf numFmtId="1" fontId="1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13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14" fontId="19" fillId="2" borderId="7" xfId="0" applyNumberFormat="1" applyFont="1" applyFill="1" applyBorder="1" applyAlignment="1">
      <alignment horizontal="center" vertical="center" wrapText="1"/>
    </xf>
    <xf numFmtId="0" fontId="19" fillId="5" borderId="7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21" fillId="0" borderId="11" xfId="3" applyFont="1" applyBorder="1" applyAlignment="1">
      <alignment horizontal="center"/>
    </xf>
    <xf numFmtId="14" fontId="7" fillId="0" borderId="0" xfId="3" applyNumberFormat="1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/>
    </xf>
    <xf numFmtId="14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right" vertical="center" wrapText="1"/>
    </xf>
    <xf numFmtId="0" fontId="3" fillId="0" borderId="8" xfId="3" applyBorder="1"/>
    <xf numFmtId="0" fontId="9" fillId="0" borderId="15" xfId="3" applyFont="1" applyBorder="1" applyAlignment="1">
      <alignment vertical="center" wrapText="1"/>
    </xf>
    <xf numFmtId="0" fontId="9" fillId="0" borderId="19" xfId="3" applyFont="1" applyBorder="1" applyAlignment="1">
      <alignment vertical="center" wrapText="1"/>
    </xf>
    <xf numFmtId="0" fontId="11" fillId="0" borderId="19" xfId="3" applyFont="1" applyBorder="1" applyAlignment="1">
      <alignment vertical="center" wrapText="1"/>
    </xf>
    <xf numFmtId="0" fontId="7" fillId="0" borderId="19" xfId="3" applyFont="1" applyBorder="1" applyAlignment="1" applyProtection="1">
      <alignment horizontal="center" vertical="center" wrapText="1"/>
      <protection locked="0"/>
    </xf>
    <xf numFmtId="0" fontId="9" fillId="0" borderId="19" xfId="3" applyFont="1" applyBorder="1" applyAlignment="1">
      <alignment vertical="center"/>
    </xf>
    <xf numFmtId="0" fontId="3" fillId="0" borderId="19" xfId="3" applyBorder="1"/>
    <xf numFmtId="0" fontId="3" fillId="0" borderId="18" xfId="3" applyBorder="1"/>
    <xf numFmtId="0" fontId="3" fillId="0" borderId="16" xfId="3" applyBorder="1"/>
    <xf numFmtId="0" fontId="3" fillId="0" borderId="16" xfId="3" applyBorder="1" applyAlignment="1">
      <alignment horizontal="center"/>
    </xf>
    <xf numFmtId="0" fontId="9" fillId="0" borderId="9" xfId="3" applyFont="1" applyBorder="1" applyAlignment="1">
      <alignment horizontal="center" vertical="center"/>
    </xf>
    <xf numFmtId="0" fontId="3" fillId="0" borderId="10" xfId="3" applyBorder="1" applyAlignment="1">
      <alignment horizontal="center"/>
    </xf>
    <xf numFmtId="0" fontId="3" fillId="0" borderId="15" xfId="3" applyBorder="1"/>
    <xf numFmtId="0" fontId="6" fillId="0" borderId="17" xfId="3" applyFont="1" applyBorder="1" applyAlignment="1">
      <alignment vertical="center" wrapText="1"/>
    </xf>
    <xf numFmtId="0" fontId="6" fillId="0" borderId="12" xfId="3" applyFont="1" applyBorder="1" applyAlignment="1">
      <alignment vertical="center" wrapText="1"/>
    </xf>
    <xf numFmtId="0" fontId="22" fillId="0" borderId="14" xfId="3" applyFont="1" applyBorder="1" applyAlignment="1" applyProtection="1">
      <alignment horizontal="left" vertical="center"/>
      <protection locked="0"/>
    </xf>
    <xf numFmtId="0" fontId="9" fillId="0" borderId="19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14" fontId="15" fillId="0" borderId="1" xfId="3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>
      <alignment horizontal="left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14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14" fontId="17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25" fillId="3" borderId="2" xfId="2" applyNumberFormat="1" applyFont="1" applyFill="1" applyBorder="1" applyAlignment="1" applyProtection="1">
      <alignment horizontal="center" vertical="center" wrapText="1"/>
      <protection locked="0"/>
    </xf>
    <xf numFmtId="164" fontId="27" fillId="0" borderId="1" xfId="0" applyFont="1" applyFill="1" applyBorder="1" applyAlignment="1">
      <alignment horizontal="center" vertical="center" wrapText="1"/>
    </xf>
    <xf numFmtId="164" fontId="1" fillId="0" borderId="1" xfId="0" applyFont="1" applyBorder="1" applyAlignment="1">
      <alignment horizontal="center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16" xfId="3" applyFont="1" applyBorder="1" applyAlignment="1">
      <alignment horizontal="left" vertical="center" wrapText="1"/>
    </xf>
    <xf numFmtId="49" fontId="7" fillId="0" borderId="9" xfId="3" applyNumberFormat="1" applyFont="1" applyBorder="1" applyAlignment="1">
      <alignment horizontal="left" vertical="center" wrapText="1"/>
    </xf>
    <xf numFmtId="49" fontId="7" fillId="0" borderId="16" xfId="3" applyNumberFormat="1" applyFont="1" applyBorder="1" applyAlignment="1">
      <alignment horizontal="left" vertical="center" wrapText="1"/>
    </xf>
    <xf numFmtId="14" fontId="7" fillId="0" borderId="9" xfId="3" applyNumberFormat="1" applyFont="1" applyBorder="1" applyAlignment="1">
      <alignment horizontal="left" vertical="center" wrapText="1"/>
    </xf>
    <xf numFmtId="14" fontId="7" fillId="0" borderId="16" xfId="3" applyNumberFormat="1" applyFont="1" applyBorder="1" applyAlignment="1">
      <alignment horizontal="left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 wrapText="1"/>
    </xf>
    <xf numFmtId="14" fontId="7" fillId="0" borderId="0" xfId="3" applyNumberFormat="1" applyFont="1" applyBorder="1" applyAlignment="1">
      <alignment horizontal="left" vertical="center"/>
    </xf>
    <xf numFmtId="14" fontId="7" fillId="0" borderId="14" xfId="3" applyNumberFormat="1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21" fillId="0" borderId="15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14" fontId="12" fillId="0" borderId="9" xfId="3" applyNumberFormat="1" applyFont="1" applyBorder="1" applyAlignment="1" applyProtection="1">
      <alignment horizontal="center" vertical="center"/>
      <protection locked="0"/>
    </xf>
    <xf numFmtId="14" fontId="12" fillId="0" borderId="16" xfId="3" applyNumberFormat="1" applyFont="1" applyBorder="1" applyAlignment="1" applyProtection="1">
      <alignment horizontal="center" vertical="center"/>
      <protection locked="0"/>
    </xf>
    <xf numFmtId="14" fontId="12" fillId="0" borderId="10" xfId="3" applyNumberFormat="1" applyFont="1" applyBorder="1" applyAlignment="1" applyProtection="1">
      <alignment horizontal="center" vertical="center"/>
      <protection locked="0"/>
    </xf>
    <xf numFmtId="0" fontId="12" fillId="0" borderId="15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12" xfId="3" applyFont="1" applyBorder="1" applyAlignment="1">
      <alignment horizontal="center" vertical="center" wrapText="1"/>
    </xf>
    <xf numFmtId="0" fontId="21" fillId="0" borderId="18" xfId="3" applyFont="1" applyBorder="1" applyAlignment="1">
      <alignment horizontal="center" vertical="center" wrapText="1"/>
    </xf>
    <xf numFmtId="0" fontId="21" fillId="0" borderId="11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4" fontId="29" fillId="0" borderId="0" xfId="3" applyNumberFormat="1" applyFont="1" applyBorder="1" applyAlignment="1">
      <alignment horizontal="center" vertical="center"/>
    </xf>
    <xf numFmtId="14" fontId="29" fillId="0" borderId="14" xfId="3" applyNumberFormat="1" applyFont="1" applyBorder="1" applyAlignment="1">
      <alignment horizontal="center" vertical="center"/>
    </xf>
    <xf numFmtId="14" fontId="9" fillId="0" borderId="9" xfId="3" applyNumberFormat="1" applyFont="1" applyBorder="1" applyAlignment="1">
      <alignment horizontal="center" vertical="center" wrapText="1"/>
    </xf>
    <xf numFmtId="14" fontId="9" fillId="0" borderId="10" xfId="3" applyNumberFormat="1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wrapText="1"/>
    </xf>
    <xf numFmtId="14" fontId="9" fillId="0" borderId="9" xfId="3" applyNumberFormat="1" applyFont="1" applyBorder="1" applyAlignment="1" applyProtection="1">
      <alignment horizontal="center"/>
      <protection locked="0"/>
    </xf>
    <xf numFmtId="14" fontId="9" fillId="0" borderId="10" xfId="3" applyNumberFormat="1" applyFont="1" applyBorder="1" applyAlignment="1" applyProtection="1">
      <alignment horizontal="center"/>
      <protection locked="0"/>
    </xf>
    <xf numFmtId="0" fontId="9" fillId="0" borderId="9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14" fontId="19" fillId="6" borderId="7" xfId="0" applyNumberFormat="1" applyFont="1" applyFill="1" applyBorder="1" applyAlignment="1">
      <alignment horizontal="center" vertical="center" wrapText="1"/>
    </xf>
    <xf numFmtId="1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7" fillId="6" borderId="2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2" xfId="1"/>
    <cellStyle name="Обычный 2 2" xfId="4"/>
    <cellStyle name="Обычный 2 2 2" xfId="7"/>
    <cellStyle name="Обычный 3" xfId="3"/>
    <cellStyle name="Обычный 3 2" xfId="5"/>
    <cellStyle name="Обычный 4" xfId="6"/>
    <cellStyle name="Обычный_Лист1" xfId="2"/>
  </cellStyles>
  <dxfs count="3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59753"/>
      <color rgb="FFD24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1680882</xdr:colOff>
      <xdr:row>0</xdr:row>
      <xdr:rowOff>112058</xdr:rowOff>
    </xdr:from>
    <xdr:to>
      <xdr:col>2</xdr:col>
      <xdr:colOff>1311089</xdr:colOff>
      <xdr:row>0</xdr:row>
      <xdr:rowOff>459441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63" b="42950"/>
        <a:stretch/>
      </xdr:blipFill>
      <xdr:spPr bwMode="auto">
        <a:xfrm>
          <a:off x="1680882" y="112058"/>
          <a:ext cx="2980766" cy="3473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47625</xdr:rowOff>
        </xdr:from>
        <xdr:to>
          <xdr:col>0</xdr:col>
          <xdr:colOff>1628775</xdr:colOff>
          <xdr:row>0</xdr:row>
          <xdr:rowOff>428625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4"/>
  <sheetViews>
    <sheetView tabSelected="1" zoomScale="55" zoomScaleNormal="55" zoomScaleSheetLayoutView="55" workbookViewId="0">
      <pane xSplit="6" ySplit="1" topLeftCell="V2" activePane="bottomRight" state="frozen"/>
      <selection pane="topRight" activeCell="I1" sqref="I1"/>
      <selection pane="bottomLeft" activeCell="A2" sqref="A2"/>
      <selection pane="bottomRight" activeCell="AD3" sqref="AD3"/>
    </sheetView>
  </sheetViews>
  <sheetFormatPr defaultColWidth="9" defaultRowHeight="33" customHeight="1"/>
  <cols>
    <col min="1" max="1" width="7.375" style="16" customWidth="1"/>
    <col min="2" max="2" width="12.875" style="4" customWidth="1"/>
    <col min="3" max="3" width="29.625" style="5" customWidth="1"/>
    <col min="4" max="4" width="21.125" style="3" customWidth="1"/>
    <col min="5" max="5" width="35.5" style="5" customWidth="1"/>
    <col min="6" max="6" width="23.875" style="5" customWidth="1"/>
    <col min="7" max="7" width="21.125" style="3" customWidth="1"/>
    <col min="8" max="8" width="15" style="4" customWidth="1"/>
    <col min="9" max="9" width="13.25" style="4" customWidth="1"/>
    <col min="10" max="10" width="14.25" style="6" customWidth="1"/>
    <col min="11" max="11" width="14.5" style="4" customWidth="1"/>
    <col min="12" max="12" width="13.25" style="3" customWidth="1"/>
    <col min="13" max="13" width="15.375" style="11" customWidth="1"/>
    <col min="14" max="14" width="16" style="6" customWidth="1"/>
    <col min="15" max="15" width="17.5" style="6" customWidth="1"/>
    <col min="16" max="16" width="21.25" style="6" customWidth="1"/>
    <col min="17" max="17" width="19.5" style="4" customWidth="1"/>
    <col min="18" max="18" width="13.875" style="4" customWidth="1"/>
    <col min="19" max="19" width="13.375" style="4" customWidth="1"/>
    <col min="20" max="20" width="11" style="4" customWidth="1"/>
    <col min="21" max="21" width="17.25" style="4" customWidth="1"/>
    <col min="22" max="22" width="13.375" style="4" customWidth="1"/>
    <col min="23" max="23" width="32.5" style="4" customWidth="1"/>
    <col min="24" max="24" width="19" style="3" customWidth="1"/>
    <col min="25" max="25" width="14.25" style="3" bestFit="1" customWidth="1"/>
    <col min="26" max="26" width="15" style="3" bestFit="1" customWidth="1"/>
    <col min="27" max="27" width="19.75" style="3" customWidth="1"/>
    <col min="28" max="28" width="11.5" style="3" bestFit="1" customWidth="1"/>
    <col min="29" max="30" width="16" style="3" customWidth="1"/>
    <col min="31" max="31" width="15.75" style="3" customWidth="1"/>
    <col min="32" max="32" width="12.125" style="3" bestFit="1" customWidth="1"/>
    <col min="33" max="33" width="16" style="3" customWidth="1"/>
    <col min="34" max="34" width="12.125" style="3" customWidth="1"/>
    <col min="35" max="35" width="16.375" style="3" customWidth="1"/>
    <col min="36" max="36" width="13" style="3" bestFit="1" customWidth="1"/>
    <col min="37" max="37" width="14.625" style="3" bestFit="1" customWidth="1"/>
    <col min="38" max="38" width="23.125" style="3" bestFit="1" customWidth="1"/>
    <col min="39" max="39" width="24.375" style="3" bestFit="1" customWidth="1"/>
    <col min="40" max="40" width="28.125" style="3" bestFit="1" customWidth="1"/>
    <col min="41" max="41" width="16.875" style="13" bestFit="1" customWidth="1"/>
    <col min="42" max="42" width="13.5" style="13" bestFit="1" customWidth="1"/>
    <col min="43" max="43" width="28.125" style="4" bestFit="1" customWidth="1"/>
    <col min="44" max="44" width="9" style="14"/>
    <col min="45" max="16384" width="9" style="15"/>
  </cols>
  <sheetData>
    <row r="1" spans="1:50" s="12" customFormat="1" ht="51.75" customHeight="1" thickBot="1">
      <c r="A1" s="25" t="s">
        <v>2</v>
      </c>
      <c r="B1" s="27" t="s">
        <v>6</v>
      </c>
      <c r="C1" s="27" t="s">
        <v>11</v>
      </c>
      <c r="D1" s="28" t="s">
        <v>1</v>
      </c>
      <c r="E1" s="27" t="s">
        <v>15</v>
      </c>
      <c r="F1" s="27" t="s">
        <v>0</v>
      </c>
      <c r="G1" s="28" t="s">
        <v>18</v>
      </c>
      <c r="H1" s="27" t="s">
        <v>21</v>
      </c>
      <c r="I1" s="27" t="s">
        <v>24</v>
      </c>
      <c r="J1" s="26" t="s">
        <v>49</v>
      </c>
      <c r="K1" s="27" t="s">
        <v>50</v>
      </c>
      <c r="L1" s="28" t="s">
        <v>51</v>
      </c>
      <c r="M1" s="26" t="s">
        <v>52</v>
      </c>
      <c r="N1" s="26" t="s">
        <v>33</v>
      </c>
      <c r="O1" s="26" t="s">
        <v>53</v>
      </c>
      <c r="P1" s="26" t="s">
        <v>34</v>
      </c>
      <c r="Q1" s="27" t="s">
        <v>54</v>
      </c>
      <c r="R1" s="27" t="s">
        <v>55</v>
      </c>
      <c r="S1" s="27" t="s">
        <v>56</v>
      </c>
      <c r="T1" s="27" t="s">
        <v>36</v>
      </c>
      <c r="U1" s="27" t="s">
        <v>40</v>
      </c>
      <c r="V1" s="27" t="s">
        <v>57</v>
      </c>
      <c r="W1" s="27" t="s">
        <v>41</v>
      </c>
      <c r="X1" s="28" t="s">
        <v>57</v>
      </c>
      <c r="Y1" s="28" t="s">
        <v>4</v>
      </c>
      <c r="Z1" s="28" t="s">
        <v>58</v>
      </c>
      <c r="AA1" s="28" t="s">
        <v>45</v>
      </c>
      <c r="AB1" s="28" t="s">
        <v>59</v>
      </c>
      <c r="AC1" s="28" t="s">
        <v>99</v>
      </c>
      <c r="AD1" s="147" t="s">
        <v>101</v>
      </c>
      <c r="AE1" s="28" t="s">
        <v>100</v>
      </c>
      <c r="AF1" s="28" t="s">
        <v>60</v>
      </c>
      <c r="AG1" s="28" t="s">
        <v>98</v>
      </c>
      <c r="AH1" s="28" t="s">
        <v>96</v>
      </c>
      <c r="AI1" s="28" t="s">
        <v>97</v>
      </c>
      <c r="AJ1" s="28" t="s">
        <v>61</v>
      </c>
      <c r="AK1" s="28" t="s">
        <v>64</v>
      </c>
      <c r="AL1" s="28"/>
      <c r="AM1" s="28"/>
      <c r="AN1" s="28"/>
      <c r="AO1" s="29"/>
      <c r="AP1" s="29"/>
      <c r="AQ1" s="30" t="s">
        <v>65</v>
      </c>
    </row>
    <row r="2" spans="1:50" s="19" customFormat="1" ht="19.5" customHeight="1" thickBot="1">
      <c r="A2" s="20">
        <v>1</v>
      </c>
      <c r="B2" s="22">
        <v>3</v>
      </c>
      <c r="C2" s="21">
        <v>5</v>
      </c>
      <c r="D2" s="22">
        <v>6</v>
      </c>
      <c r="E2" s="23">
        <v>7</v>
      </c>
      <c r="F2" s="21">
        <v>8</v>
      </c>
      <c r="G2" s="22">
        <v>9</v>
      </c>
      <c r="H2" s="23">
        <v>10</v>
      </c>
      <c r="I2" s="21">
        <v>11</v>
      </c>
      <c r="J2" s="22">
        <v>12</v>
      </c>
      <c r="K2" s="23">
        <v>13</v>
      </c>
      <c r="L2" s="21">
        <v>14</v>
      </c>
      <c r="M2" s="22">
        <v>15</v>
      </c>
      <c r="N2" s="23">
        <v>16</v>
      </c>
      <c r="O2" s="21">
        <v>17</v>
      </c>
      <c r="P2" s="22">
        <v>18</v>
      </c>
      <c r="Q2" s="23">
        <v>19</v>
      </c>
      <c r="R2" s="21">
        <v>20</v>
      </c>
      <c r="S2" s="22">
        <v>21</v>
      </c>
      <c r="T2" s="23">
        <v>22</v>
      </c>
      <c r="U2" s="21">
        <v>23</v>
      </c>
      <c r="V2" s="22">
        <v>24</v>
      </c>
      <c r="W2" s="21">
        <v>26</v>
      </c>
      <c r="X2" s="22">
        <v>27</v>
      </c>
      <c r="Y2" s="23">
        <v>28</v>
      </c>
      <c r="Z2" s="21">
        <v>29</v>
      </c>
      <c r="AA2" s="22">
        <v>30</v>
      </c>
      <c r="AB2" s="23">
        <v>31</v>
      </c>
      <c r="AC2" s="23"/>
      <c r="AD2" s="148"/>
      <c r="AE2" s="23"/>
      <c r="AF2" s="21">
        <v>32</v>
      </c>
      <c r="AG2" s="21">
        <v>33</v>
      </c>
      <c r="AH2" s="21">
        <v>34</v>
      </c>
      <c r="AI2" s="21">
        <v>35</v>
      </c>
      <c r="AJ2" s="22">
        <v>36</v>
      </c>
      <c r="AK2" s="23">
        <v>37</v>
      </c>
      <c r="AL2" s="21"/>
      <c r="AM2" s="22"/>
      <c r="AN2" s="23"/>
      <c r="AO2" s="21"/>
      <c r="AP2" s="22"/>
      <c r="AQ2" s="24"/>
    </row>
    <row r="3" spans="1:50" s="73" customFormat="1" ht="47.25" customHeight="1">
      <c r="A3" s="63">
        <v>1</v>
      </c>
      <c r="B3" s="64">
        <v>1</v>
      </c>
      <c r="C3" s="65" t="s">
        <v>69</v>
      </c>
      <c r="D3" s="66" t="s">
        <v>70</v>
      </c>
      <c r="E3" s="72" t="s">
        <v>71</v>
      </c>
      <c r="F3" s="72" t="s">
        <v>72</v>
      </c>
      <c r="G3" s="67" t="s">
        <v>3</v>
      </c>
      <c r="H3" s="67" t="s">
        <v>73</v>
      </c>
      <c r="I3" s="68">
        <v>45278</v>
      </c>
      <c r="J3" s="69" t="s">
        <v>3</v>
      </c>
      <c r="K3" s="70" t="s">
        <v>62</v>
      </c>
      <c r="L3" s="69" t="s">
        <v>3</v>
      </c>
      <c r="M3" s="69" t="s">
        <v>3</v>
      </c>
      <c r="N3" s="69" t="s">
        <v>3</v>
      </c>
      <c r="O3" s="69" t="s">
        <v>3</v>
      </c>
      <c r="P3" s="69" t="s">
        <v>3</v>
      </c>
      <c r="Q3" s="69" t="s">
        <v>3</v>
      </c>
      <c r="R3" s="69" t="s">
        <v>3</v>
      </c>
      <c r="S3" s="64" t="s">
        <v>74</v>
      </c>
      <c r="T3" s="71">
        <v>46855</v>
      </c>
      <c r="U3" s="71" t="s">
        <v>3</v>
      </c>
      <c r="V3" s="64" t="s">
        <v>3</v>
      </c>
      <c r="W3" s="71">
        <v>45347</v>
      </c>
      <c r="X3" s="71" t="s">
        <v>63</v>
      </c>
      <c r="Y3" s="71">
        <v>45324</v>
      </c>
      <c r="Z3" s="71">
        <v>45323</v>
      </c>
      <c r="AA3" s="71">
        <v>46061</v>
      </c>
      <c r="AB3" s="71">
        <v>45327</v>
      </c>
      <c r="AC3" s="71" t="s">
        <v>3</v>
      </c>
      <c r="AD3" s="149">
        <f>MIN(Y3:AC3)</f>
        <v>45323</v>
      </c>
      <c r="AE3" s="71">
        <v>45323</v>
      </c>
      <c r="AF3" s="71">
        <v>45321</v>
      </c>
      <c r="AG3" s="71">
        <v>45323</v>
      </c>
      <c r="AH3" s="71">
        <v>45325</v>
      </c>
      <c r="AI3" s="71" t="s">
        <v>3</v>
      </c>
      <c r="AJ3" s="71" t="s">
        <v>3</v>
      </c>
      <c r="AK3" s="71" t="s">
        <v>64</v>
      </c>
      <c r="AL3" s="71"/>
      <c r="AM3" s="71"/>
      <c r="AN3" s="71"/>
      <c r="AO3" s="72"/>
      <c r="AP3" s="72"/>
      <c r="AQ3" s="64" t="s">
        <v>62</v>
      </c>
      <c r="AX3" s="73" t="e">
        <f>IF(D3="","",IF(OR(E3="",F3="",G3="",H3="",I3="",J3="",K3="",L3="",M3="",N3="",O3="",P3="",Q3="",R3=""),"Не допущен",IF(AND(#REF!&gt;0,#REF!&gt;0,#REF!&gt;0,#REF!&gt;0,#REF!&gt;0,#REF!&gt;0,#REF!&gt;0),"Допущен","Не допущен")))</f>
        <v>#REF!</v>
      </c>
    </row>
    <row r="4" spans="1:50" s="73" customFormat="1" ht="45.75" customHeight="1">
      <c r="A4" s="74">
        <v>2</v>
      </c>
      <c r="B4" s="62">
        <v>2</v>
      </c>
      <c r="C4" s="65" t="s">
        <v>75</v>
      </c>
      <c r="D4" s="66" t="s">
        <v>76</v>
      </c>
      <c r="E4" s="72" t="s">
        <v>77</v>
      </c>
      <c r="F4" s="72" t="s">
        <v>78</v>
      </c>
      <c r="G4" s="67" t="s">
        <v>79</v>
      </c>
      <c r="H4" s="67">
        <v>3</v>
      </c>
      <c r="I4" s="68">
        <v>45177</v>
      </c>
      <c r="J4" s="69" t="s">
        <v>3</v>
      </c>
      <c r="K4" s="69" t="s">
        <v>3</v>
      </c>
      <c r="L4" s="69" t="s">
        <v>3</v>
      </c>
      <c r="M4" s="69" t="s">
        <v>3</v>
      </c>
      <c r="N4" s="69" t="s">
        <v>3</v>
      </c>
      <c r="O4" s="69" t="s">
        <v>3</v>
      </c>
      <c r="P4" s="69" t="s">
        <v>3</v>
      </c>
      <c r="Q4" s="69" t="s">
        <v>3</v>
      </c>
      <c r="R4" s="69" t="s">
        <v>3</v>
      </c>
      <c r="S4" s="69" t="s">
        <v>3</v>
      </c>
      <c r="T4" s="69" t="s">
        <v>3</v>
      </c>
      <c r="U4" s="71">
        <v>45536</v>
      </c>
      <c r="V4" s="64" t="s">
        <v>63</v>
      </c>
      <c r="W4" s="71">
        <v>45543</v>
      </c>
      <c r="X4" s="71" t="s">
        <v>80</v>
      </c>
      <c r="Y4" s="71">
        <v>45543</v>
      </c>
      <c r="Z4" s="71">
        <v>45430</v>
      </c>
      <c r="AA4" s="71">
        <v>45543</v>
      </c>
      <c r="AB4" s="71">
        <v>45641</v>
      </c>
      <c r="AC4" s="71"/>
      <c r="AD4" s="149">
        <f t="shared" ref="AD4:AD8" si="0">MIN(Y4:AC4)</f>
        <v>45430</v>
      </c>
      <c r="AE4" s="71"/>
      <c r="AF4" s="69" t="s">
        <v>3</v>
      </c>
      <c r="AG4" s="69"/>
      <c r="AH4" s="69"/>
      <c r="AI4" s="69"/>
      <c r="AJ4" s="69" t="s">
        <v>3</v>
      </c>
      <c r="AK4" s="71" t="s">
        <v>64</v>
      </c>
      <c r="AL4" s="61"/>
      <c r="AM4" s="61"/>
      <c r="AN4" s="61"/>
      <c r="AO4" s="75"/>
      <c r="AP4" s="75"/>
      <c r="AQ4" s="62" t="s">
        <v>3</v>
      </c>
    </row>
    <row r="5" spans="1:50" s="73" customFormat="1" ht="43.5" customHeight="1">
      <c r="A5" s="74">
        <v>3</v>
      </c>
      <c r="B5" s="64">
        <v>4</v>
      </c>
      <c r="C5" s="65" t="s">
        <v>75</v>
      </c>
      <c r="D5" s="66" t="s">
        <v>86</v>
      </c>
      <c r="E5" s="72" t="s">
        <v>87</v>
      </c>
      <c r="F5" s="72" t="s">
        <v>88</v>
      </c>
      <c r="G5" s="76" t="s">
        <v>89</v>
      </c>
      <c r="H5" s="76" t="s">
        <v>90</v>
      </c>
      <c r="I5" s="77">
        <v>45279</v>
      </c>
      <c r="J5" s="69" t="s">
        <v>62</v>
      </c>
      <c r="K5" s="78" t="s">
        <v>3</v>
      </c>
      <c r="L5" s="69" t="s">
        <v>3</v>
      </c>
      <c r="M5" s="70" t="s">
        <v>62</v>
      </c>
      <c r="N5" s="78" t="s">
        <v>3</v>
      </c>
      <c r="O5" s="70" t="s">
        <v>62</v>
      </c>
      <c r="P5" s="69" t="s">
        <v>3</v>
      </c>
      <c r="Q5" s="69" t="s">
        <v>3</v>
      </c>
      <c r="R5" s="69" t="s">
        <v>3</v>
      </c>
      <c r="S5" s="69" t="s">
        <v>3</v>
      </c>
      <c r="T5" s="69" t="s">
        <v>3</v>
      </c>
      <c r="U5" s="71" t="s">
        <v>3</v>
      </c>
      <c r="V5" s="71" t="s">
        <v>3</v>
      </c>
      <c r="W5" s="71">
        <v>45638</v>
      </c>
      <c r="X5" s="71" t="s">
        <v>80</v>
      </c>
      <c r="Y5" s="71">
        <v>46003</v>
      </c>
      <c r="Z5" s="71">
        <v>45455</v>
      </c>
      <c r="AA5" s="71">
        <v>46003</v>
      </c>
      <c r="AB5" s="71">
        <v>45637</v>
      </c>
      <c r="AC5" s="71"/>
      <c r="AD5" s="149">
        <f t="shared" si="0"/>
        <v>45455</v>
      </c>
      <c r="AE5" s="71"/>
      <c r="AF5" s="71">
        <v>45641</v>
      </c>
      <c r="AG5" s="71"/>
      <c r="AH5" s="71"/>
      <c r="AI5" s="71"/>
      <c r="AJ5" s="71" t="s">
        <v>3</v>
      </c>
      <c r="AK5" s="71" t="s">
        <v>64</v>
      </c>
      <c r="AL5" s="61"/>
      <c r="AM5" s="61"/>
      <c r="AN5" s="61"/>
      <c r="AO5" s="75"/>
      <c r="AP5" s="75"/>
      <c r="AQ5" s="62" t="s">
        <v>66</v>
      </c>
    </row>
    <row r="6" spans="1:50" s="73" customFormat="1" ht="33" customHeight="1">
      <c r="A6" s="63">
        <v>4</v>
      </c>
      <c r="B6" s="64">
        <v>5</v>
      </c>
      <c r="C6" s="65" t="s">
        <v>75</v>
      </c>
      <c r="D6" s="79" t="s">
        <v>91</v>
      </c>
      <c r="E6" s="72" t="s">
        <v>87</v>
      </c>
      <c r="F6" s="79" t="s">
        <v>92</v>
      </c>
      <c r="G6" s="67" t="s">
        <v>93</v>
      </c>
      <c r="H6" s="67" t="s">
        <v>94</v>
      </c>
      <c r="I6" s="68">
        <v>45279</v>
      </c>
      <c r="J6" s="69" t="s">
        <v>62</v>
      </c>
      <c r="K6" s="78" t="s">
        <v>3</v>
      </c>
      <c r="L6" s="69" t="s">
        <v>3</v>
      </c>
      <c r="M6" s="70" t="s">
        <v>62</v>
      </c>
      <c r="N6" s="78" t="s">
        <v>3</v>
      </c>
      <c r="O6" s="70" t="s">
        <v>62</v>
      </c>
      <c r="P6" s="69" t="s">
        <v>3</v>
      </c>
      <c r="Q6" s="69" t="s">
        <v>3</v>
      </c>
      <c r="R6" s="69" t="s">
        <v>3</v>
      </c>
      <c r="S6" s="69" t="s">
        <v>3</v>
      </c>
      <c r="T6" s="69" t="s">
        <v>3</v>
      </c>
      <c r="U6" s="71" t="s">
        <v>3</v>
      </c>
      <c r="V6" s="71" t="s">
        <v>3</v>
      </c>
      <c r="W6" s="71">
        <v>45501</v>
      </c>
      <c r="X6" s="71" t="s">
        <v>80</v>
      </c>
      <c r="Y6" s="71">
        <v>45866</v>
      </c>
      <c r="Z6" s="71">
        <v>45451</v>
      </c>
      <c r="AA6" s="71">
        <v>45866</v>
      </c>
      <c r="AB6" s="71">
        <v>45640</v>
      </c>
      <c r="AC6" s="71"/>
      <c r="AD6" s="149">
        <f t="shared" si="0"/>
        <v>45451</v>
      </c>
      <c r="AE6" s="71"/>
      <c r="AF6" s="71">
        <v>45504</v>
      </c>
      <c r="AG6" s="71"/>
      <c r="AH6" s="71"/>
      <c r="AI6" s="71"/>
      <c r="AJ6" s="71" t="s">
        <v>3</v>
      </c>
      <c r="AK6" s="71" t="s">
        <v>64</v>
      </c>
      <c r="AL6" s="61"/>
      <c r="AM6" s="61"/>
      <c r="AN6" s="61"/>
      <c r="AO6" s="75"/>
      <c r="AP6" s="75"/>
      <c r="AQ6" s="62" t="s">
        <v>64</v>
      </c>
    </row>
    <row r="7" spans="1:50" s="73" customFormat="1" ht="33" customHeight="1">
      <c r="A7" s="74">
        <v>5</v>
      </c>
      <c r="B7" s="62">
        <v>6</v>
      </c>
      <c r="C7" s="65" t="s">
        <v>75</v>
      </c>
      <c r="D7" s="66" t="s">
        <v>81</v>
      </c>
      <c r="E7" s="72" t="s">
        <v>77</v>
      </c>
      <c r="F7" s="72" t="s">
        <v>78</v>
      </c>
      <c r="G7" s="67" t="s">
        <v>82</v>
      </c>
      <c r="H7" s="67" t="s">
        <v>83</v>
      </c>
      <c r="I7" s="68">
        <v>45275</v>
      </c>
      <c r="J7" s="69" t="s">
        <v>3</v>
      </c>
      <c r="K7" s="69" t="s">
        <v>3</v>
      </c>
      <c r="L7" s="69" t="s">
        <v>3</v>
      </c>
      <c r="M7" s="69" t="s">
        <v>3</v>
      </c>
      <c r="N7" s="69" t="s">
        <v>3</v>
      </c>
      <c r="O7" s="69" t="s">
        <v>3</v>
      </c>
      <c r="P7" s="69" t="s">
        <v>3</v>
      </c>
      <c r="Q7" s="69" t="s">
        <v>3</v>
      </c>
      <c r="R7" s="69" t="s">
        <v>3</v>
      </c>
      <c r="S7" s="69" t="s">
        <v>3</v>
      </c>
      <c r="T7" s="69" t="s">
        <v>3</v>
      </c>
      <c r="U7" s="71">
        <v>46294</v>
      </c>
      <c r="V7" s="64">
        <v>2</v>
      </c>
      <c r="W7" s="71">
        <v>45645</v>
      </c>
      <c r="X7" s="71" t="s">
        <v>80</v>
      </c>
      <c r="Y7" s="71">
        <v>45645</v>
      </c>
      <c r="Z7" s="71">
        <v>45430</v>
      </c>
      <c r="AA7" s="71">
        <v>45645</v>
      </c>
      <c r="AB7" s="71">
        <v>45638</v>
      </c>
      <c r="AC7" s="71"/>
      <c r="AD7" s="149">
        <f t="shared" si="0"/>
        <v>45430</v>
      </c>
      <c r="AE7" s="71"/>
      <c r="AF7" s="71" t="s">
        <v>3</v>
      </c>
      <c r="AG7" s="71"/>
      <c r="AH7" s="71"/>
      <c r="AI7" s="71"/>
      <c r="AJ7" s="71" t="s">
        <v>3</v>
      </c>
      <c r="AK7" s="71" t="s">
        <v>64</v>
      </c>
      <c r="AL7" s="61"/>
      <c r="AM7" s="61"/>
      <c r="AN7" s="61"/>
      <c r="AO7" s="75"/>
      <c r="AP7" s="75"/>
      <c r="AQ7" s="62"/>
    </row>
    <row r="8" spans="1:50" s="73" customFormat="1" ht="33" customHeight="1">
      <c r="A8" s="74">
        <v>6</v>
      </c>
      <c r="B8" s="64">
        <v>7</v>
      </c>
      <c r="C8" s="65" t="s">
        <v>75</v>
      </c>
      <c r="D8" s="80" t="s">
        <v>84</v>
      </c>
      <c r="E8" s="72" t="s">
        <v>77</v>
      </c>
      <c r="F8" s="72" t="s">
        <v>78</v>
      </c>
      <c r="G8" s="67" t="s">
        <v>85</v>
      </c>
      <c r="H8" s="67" t="s">
        <v>83</v>
      </c>
      <c r="I8" s="68">
        <v>45275</v>
      </c>
      <c r="J8" s="69" t="s">
        <v>3</v>
      </c>
      <c r="K8" s="69" t="s">
        <v>3</v>
      </c>
      <c r="L8" s="69" t="s">
        <v>3</v>
      </c>
      <c r="M8" s="69" t="s">
        <v>3</v>
      </c>
      <c r="N8" s="69" t="s">
        <v>3</v>
      </c>
      <c r="O8" s="69" t="s">
        <v>3</v>
      </c>
      <c r="P8" s="69" t="s">
        <v>3</v>
      </c>
      <c r="Q8" s="69" t="s">
        <v>3</v>
      </c>
      <c r="R8" s="69" t="s">
        <v>3</v>
      </c>
      <c r="S8" s="69" t="s">
        <v>3</v>
      </c>
      <c r="T8" s="69" t="s">
        <v>3</v>
      </c>
      <c r="U8" s="71">
        <v>45621</v>
      </c>
      <c r="V8" s="64">
        <v>1</v>
      </c>
      <c r="W8" s="71">
        <v>45645</v>
      </c>
      <c r="X8" s="71" t="s">
        <v>80</v>
      </c>
      <c r="Y8" s="71">
        <v>45645</v>
      </c>
      <c r="Z8" s="71">
        <v>45430</v>
      </c>
      <c r="AA8" s="71">
        <v>45645</v>
      </c>
      <c r="AB8" s="71">
        <v>45275</v>
      </c>
      <c r="AC8" s="71"/>
      <c r="AD8" s="149">
        <f t="shared" si="0"/>
        <v>45275</v>
      </c>
      <c r="AE8" s="71"/>
      <c r="AF8" s="71" t="s">
        <v>3</v>
      </c>
      <c r="AG8" s="71"/>
      <c r="AH8" s="71"/>
      <c r="AI8" s="71"/>
      <c r="AJ8" s="71" t="s">
        <v>3</v>
      </c>
      <c r="AK8" s="71" t="s">
        <v>64</v>
      </c>
      <c r="AL8" s="61"/>
      <c r="AM8" s="61"/>
      <c r="AN8" s="61"/>
      <c r="AO8" s="75"/>
      <c r="AP8" s="75"/>
      <c r="AQ8" s="62"/>
    </row>
    <row r="9" spans="1:50" ht="33" customHeight="1">
      <c r="AK9" s="71" t="s">
        <v>64</v>
      </c>
    </row>
    <row r="10" spans="1:50" ht="33" customHeight="1">
      <c r="AK10" s="71" t="s">
        <v>64</v>
      </c>
    </row>
    <row r="11" spans="1:50" ht="33" customHeight="1">
      <c r="AK11" s="71" t="s">
        <v>64</v>
      </c>
    </row>
    <row r="14" spans="1:50" ht="33" customHeight="1">
      <c r="W14" s="3">
        <f ca="1">TODAY()-7</f>
        <v>45314</v>
      </c>
    </row>
  </sheetData>
  <sheetProtection formatCells="0" formatColumns="0" insertColumns="0" insertRows="0" insertHyperlinks="0" selectLockedCells="1" sort="0" autoFilter="0"/>
  <autoFilter ref="A1:AP11">
    <sortState ref="A2:AM951">
      <sortCondition ref="A1:A951"/>
    </sortState>
  </autoFilter>
  <sortState ref="A2:AO951">
    <sortCondition ref="A1"/>
  </sortState>
  <phoneticPr fontId="14" type="noConversion"/>
  <conditionalFormatting sqref="D3:D8">
    <cfRule type="expression" dxfId="1" priority="1">
      <formula>$AD3&lt;TODAY()</formula>
    </cfRule>
    <cfRule type="expression" dxfId="0" priority="2">
      <formula>$AD3-7&lt;TODAY()</formula>
    </cfRule>
  </conditionalFormatting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Zeros="0" view="pageBreakPreview" zoomScale="85" zoomScaleNormal="55" zoomScaleSheetLayoutView="85" workbookViewId="0">
      <selection activeCell="B7" sqref="B7:C7"/>
    </sheetView>
  </sheetViews>
  <sheetFormatPr defaultColWidth="8.625" defaultRowHeight="15"/>
  <cols>
    <col min="1" max="1" width="22.75" style="1" customWidth="1"/>
    <col min="2" max="2" width="21.125" style="1" customWidth="1"/>
    <col min="3" max="3" width="18.25" style="1" customWidth="1"/>
    <col min="4" max="4" width="4.25" style="1" customWidth="1"/>
    <col min="5" max="5" width="7.375" style="1" customWidth="1"/>
    <col min="6" max="6" width="1" style="1" customWidth="1"/>
    <col min="7" max="7" width="4.375" style="1" customWidth="1"/>
    <col min="8" max="8" width="4.5" style="1" customWidth="1"/>
    <col min="9" max="9" width="20.375" style="7" customWidth="1"/>
    <col min="10" max="10" width="19.75" style="7" customWidth="1"/>
    <col min="11" max="11" width="9.375" style="1" customWidth="1"/>
    <col min="12" max="12" width="10.625" style="1" customWidth="1"/>
    <col min="13" max="16384" width="8.625" style="1"/>
  </cols>
  <sheetData>
    <row r="1" spans="1:10" ht="39.75" customHeight="1">
      <c r="A1" s="48"/>
      <c r="B1" s="49"/>
      <c r="C1" s="50"/>
      <c r="D1" s="89" t="s">
        <v>28</v>
      </c>
      <c r="E1" s="89"/>
      <c r="F1" s="89"/>
      <c r="G1" s="89"/>
      <c r="H1" s="89"/>
      <c r="I1" s="89"/>
      <c r="J1" s="89"/>
    </row>
    <row r="2" spans="1:10" ht="16.5">
      <c r="A2" s="90" t="s">
        <v>7</v>
      </c>
      <c r="B2" s="91"/>
      <c r="C2" s="92"/>
      <c r="D2" s="107" t="s">
        <v>29</v>
      </c>
      <c r="E2" s="108"/>
      <c r="F2" s="108"/>
      <c r="G2" s="108"/>
      <c r="H2" s="109"/>
      <c r="I2" s="101" t="s">
        <v>30</v>
      </c>
      <c r="J2" s="101" t="s">
        <v>31</v>
      </c>
    </row>
    <row r="3" spans="1:10" ht="10.5" customHeight="1">
      <c r="A3" s="93" t="s">
        <v>8</v>
      </c>
      <c r="B3" s="94"/>
      <c r="C3" s="95"/>
      <c r="D3" s="110"/>
      <c r="E3" s="111"/>
      <c r="F3" s="111"/>
      <c r="G3" s="111"/>
      <c r="H3" s="112"/>
      <c r="I3" s="101"/>
      <c r="J3" s="101"/>
    </row>
    <row r="4" spans="1:10" ht="19.5">
      <c r="A4" s="96" t="s">
        <v>9</v>
      </c>
      <c r="B4" s="97"/>
      <c r="C4" s="51">
        <v>1</v>
      </c>
      <c r="D4" s="113" t="str">
        <f>VLOOKUP($C$4,Реестр!$B:$AN,9,0)</f>
        <v>-</v>
      </c>
      <c r="E4" s="114"/>
      <c r="F4" s="114"/>
      <c r="G4" s="114"/>
      <c r="H4" s="115"/>
      <c r="I4" s="58" t="str">
        <f>VLOOKUP($C$4,Реестр!$B:$AN,10,0)</f>
        <v>допуск</v>
      </c>
      <c r="J4" s="58" t="str">
        <f>VLOOKUP($C$4,Реестр!$B:$AN,11,0)</f>
        <v>-</v>
      </c>
    </row>
    <row r="5" spans="1:10" ht="15" customHeight="1">
      <c r="A5" s="98" t="s">
        <v>10</v>
      </c>
      <c r="B5" s="99"/>
      <c r="C5" s="100"/>
      <c r="D5" s="116" t="s">
        <v>32</v>
      </c>
      <c r="E5" s="117"/>
      <c r="F5" s="117"/>
      <c r="G5" s="117"/>
      <c r="H5" s="118"/>
      <c r="I5" s="134" t="s">
        <v>33</v>
      </c>
      <c r="J5" s="135" t="s">
        <v>53</v>
      </c>
    </row>
    <row r="6" spans="1:10" ht="15" customHeight="1">
      <c r="A6" s="52"/>
      <c r="B6" s="53"/>
      <c r="C6" s="54"/>
      <c r="D6" s="119"/>
      <c r="E6" s="120"/>
      <c r="F6" s="120"/>
      <c r="G6" s="120"/>
      <c r="H6" s="121"/>
      <c r="I6" s="134"/>
      <c r="J6" s="134"/>
    </row>
    <row r="7" spans="1:10" ht="23.25" customHeight="1">
      <c r="A7" s="55" t="s">
        <v>27</v>
      </c>
      <c r="B7" s="102">
        <f>MIN(J13,I14:I15,I16:J25)</f>
        <v>45321</v>
      </c>
      <c r="C7" s="103"/>
      <c r="D7" s="122" t="str">
        <f>VLOOKUP($C$4,Реестр!$B:$AN,12,0)</f>
        <v>-</v>
      </c>
      <c r="E7" s="123"/>
      <c r="F7" s="123"/>
      <c r="G7" s="123"/>
      <c r="H7" s="124"/>
      <c r="I7" s="33" t="str">
        <f>VLOOKUP($C$4,Реестр!$B:$AN,13,0)</f>
        <v>-</v>
      </c>
      <c r="J7" s="33" t="str">
        <f>VLOOKUP($C$4,Реестр!$B:$AN,14,0)</f>
        <v>-</v>
      </c>
    </row>
    <row r="8" spans="1:10" ht="10.5" customHeight="1">
      <c r="A8" s="56"/>
      <c r="B8" s="9"/>
      <c r="C8" s="36"/>
      <c r="D8" s="125" t="s">
        <v>34</v>
      </c>
      <c r="E8" s="126"/>
      <c r="F8" s="126"/>
      <c r="G8" s="126"/>
      <c r="H8" s="127"/>
      <c r="I8" s="101" t="s">
        <v>67</v>
      </c>
      <c r="J8" s="101" t="s">
        <v>35</v>
      </c>
    </row>
    <row r="9" spans="1:10" ht="23.25" customHeight="1">
      <c r="A9" s="2" t="s">
        <v>14</v>
      </c>
      <c r="B9" s="104" t="str">
        <f>VLOOKUP($C$4,Реестр!$B:$AN,2,0)</f>
        <v>Ямбургское ГКМ</v>
      </c>
      <c r="C9" s="81"/>
      <c r="D9" s="128"/>
      <c r="E9" s="129"/>
      <c r="F9" s="129"/>
      <c r="G9" s="129"/>
      <c r="H9" s="130"/>
      <c r="I9" s="101"/>
      <c r="J9" s="101"/>
    </row>
    <row r="10" spans="1:10" ht="23.25" customHeight="1">
      <c r="A10" s="2" t="s">
        <v>13</v>
      </c>
      <c r="B10" s="81" t="str">
        <f>VLOOKUP($C$4,Реестр!$B:$AN,3,0)</f>
        <v>Матюха Роман Вячеславович</v>
      </c>
      <c r="C10" s="82"/>
      <c r="D10" s="131" t="str">
        <f>VLOOKUP($C$4,Реестр!$B:$AN,15,0)</f>
        <v>-</v>
      </c>
      <c r="E10" s="132"/>
      <c r="F10" s="132"/>
      <c r="G10" s="132"/>
      <c r="H10" s="133"/>
      <c r="I10" s="59" t="str">
        <f>VLOOKUP($C$4,Реестр!$B:$AN,16,0)</f>
        <v>-</v>
      </c>
      <c r="J10" s="60" t="str">
        <f>VLOOKUP($C$4,Реестр!$B:$AN,17,0)</f>
        <v>-</v>
      </c>
    </row>
    <row r="11" spans="1:10" ht="21.75" customHeight="1">
      <c r="A11" s="2" t="s">
        <v>12</v>
      </c>
      <c r="B11" s="81" t="str">
        <f>VLOOKUP($C$4,Реестр!$B:$AN,4,0)</f>
        <v>ООО "НПК "ПРОМСЕРВИС"</v>
      </c>
      <c r="C11" s="82"/>
      <c r="D11" s="105" t="str">
        <f>VLOOKUP($C$4,Реестр!$B:$AN,35,0)</f>
        <v>-</v>
      </c>
      <c r="E11" s="105"/>
      <c r="F11" s="105"/>
      <c r="G11" s="105"/>
      <c r="H11" s="105"/>
      <c r="I11" s="105"/>
      <c r="J11" s="106"/>
    </row>
    <row r="12" spans="1:10" ht="34.5" customHeight="1">
      <c r="A12" s="2" t="s">
        <v>16</v>
      </c>
      <c r="B12" s="81" t="str">
        <f>VLOOKUP($C$4,Реестр!$B:$AN,5,0)</f>
        <v>Специалист по ПОиРС</v>
      </c>
      <c r="C12" s="82"/>
      <c r="D12" s="136" t="s">
        <v>37</v>
      </c>
      <c r="E12" s="136"/>
      <c r="F12" s="136"/>
      <c r="G12" s="136"/>
      <c r="H12" s="136"/>
      <c r="I12" s="136" t="s">
        <v>38</v>
      </c>
      <c r="J12" s="136"/>
    </row>
    <row r="13" spans="1:10" ht="27" customHeight="1">
      <c r="A13" s="2" t="s">
        <v>17</v>
      </c>
      <c r="B13" s="83" t="str">
        <f>VLOOKUP($C$4,Реестр!$B:$AN,6,0)</f>
        <v>-</v>
      </c>
      <c r="C13" s="84"/>
      <c r="D13" s="136" t="s">
        <v>39</v>
      </c>
      <c r="E13" s="136"/>
      <c r="F13" s="136"/>
      <c r="G13" s="136"/>
      <c r="H13" s="136"/>
      <c r="I13" s="17" t="str">
        <f>VLOOKUP($C$4,Реестр!$B:$AN,18,0)</f>
        <v>А.1, Б.2.2, Б.8.3, Б.9.3</v>
      </c>
      <c r="J13" s="34">
        <f>VLOOKUP($C$4,Реестр!$B:$AN,19,0)</f>
        <v>46855</v>
      </c>
    </row>
    <row r="14" spans="1:10" ht="25.5" customHeight="1">
      <c r="A14" s="2" t="s">
        <v>19</v>
      </c>
      <c r="B14" s="85" t="str">
        <f>VLOOKUP($C$4,Реестр!$B:$AN,5,0)</f>
        <v>Специалист по ПОиРС</v>
      </c>
      <c r="C14" s="86"/>
      <c r="D14" s="136" t="s">
        <v>40</v>
      </c>
      <c r="E14" s="136"/>
      <c r="F14" s="136"/>
      <c r="G14" s="136"/>
      <c r="H14" s="35" t="s">
        <v>42</v>
      </c>
      <c r="I14" s="57" t="str">
        <f>VLOOKUP($C$4,Реестр!$B:$AN,20,0)</f>
        <v>-</v>
      </c>
      <c r="J14" s="17" t="str">
        <f>VLOOKUP($C$4,Реестр!$B:$AN,21,0)</f>
        <v>-</v>
      </c>
    </row>
    <row r="15" spans="1:10" ht="29.25" customHeight="1">
      <c r="A15" s="2" t="s">
        <v>20</v>
      </c>
      <c r="B15" s="83" t="str">
        <f>VLOOKUP($C$4,Реестр!$B:$AN,7,0)</f>
        <v>10</v>
      </c>
      <c r="C15" s="84"/>
      <c r="D15" s="136" t="s">
        <v>41</v>
      </c>
      <c r="E15" s="136"/>
      <c r="F15" s="136"/>
      <c r="G15" s="136"/>
      <c r="H15" s="35" t="s">
        <v>42</v>
      </c>
      <c r="I15" s="34">
        <f>VLOOKUP($C$4,Реестр!$B:$AN,22,0)</f>
        <v>45347</v>
      </c>
      <c r="J15" s="17" t="str">
        <f>VLOOKUP($C$4,Реестр!$B:$AN,23,0)</f>
        <v>I</v>
      </c>
    </row>
    <row r="16" spans="1:10" ht="24" customHeight="1">
      <c r="A16" s="87" t="s">
        <v>22</v>
      </c>
      <c r="B16" s="88"/>
      <c r="C16" s="88"/>
      <c r="D16" s="136" t="s">
        <v>43</v>
      </c>
      <c r="E16" s="136"/>
      <c r="F16" s="136"/>
      <c r="G16" s="136"/>
      <c r="H16" s="136"/>
      <c r="I16" s="137">
        <f>VLOOKUP($C$4,Реестр!$B:$AN,24,0)</f>
        <v>45324</v>
      </c>
      <c r="J16" s="138"/>
    </row>
    <row r="17" spans="1:10" ht="36.75" customHeight="1">
      <c r="A17" s="2" t="s">
        <v>23</v>
      </c>
      <c r="B17" s="85">
        <f>VLOOKUP($C$4,Реестр!$B:$AN,8,0)</f>
        <v>45278</v>
      </c>
      <c r="C17" s="86"/>
      <c r="D17" s="136" t="s">
        <v>44</v>
      </c>
      <c r="E17" s="136"/>
      <c r="F17" s="136"/>
      <c r="G17" s="136"/>
      <c r="H17" s="136"/>
      <c r="I17" s="139">
        <f>VLOOKUP($C$4,Реестр!$B:$AN,25,0)</f>
        <v>45323</v>
      </c>
      <c r="J17" s="140"/>
    </row>
    <row r="18" spans="1:10" ht="21.75" customHeight="1">
      <c r="A18" s="37"/>
      <c r="B18" s="32"/>
      <c r="C18" s="32"/>
      <c r="D18" s="136" t="s">
        <v>45</v>
      </c>
      <c r="E18" s="136"/>
      <c r="F18" s="136"/>
      <c r="G18" s="136"/>
      <c r="H18" s="136"/>
      <c r="I18" s="139">
        <f>VLOOKUP($C$4,Реестр!$B:$AN,26,0)</f>
        <v>46061</v>
      </c>
      <c r="J18" s="140"/>
    </row>
    <row r="19" spans="1:10" ht="20.25" customHeight="1">
      <c r="A19" s="38"/>
      <c r="B19" s="32"/>
      <c r="C19" s="32"/>
      <c r="D19" s="136" t="s">
        <v>46</v>
      </c>
      <c r="E19" s="136"/>
      <c r="F19" s="136"/>
      <c r="G19" s="136"/>
      <c r="H19" s="136"/>
      <c r="I19" s="139">
        <f>VLOOKUP($C$4,Реестр!$B:$AN,27,0)</f>
        <v>45327</v>
      </c>
      <c r="J19" s="140"/>
    </row>
    <row r="20" spans="1:10" ht="20.25" customHeight="1">
      <c r="A20" s="38"/>
      <c r="B20" s="32"/>
      <c r="C20" s="32"/>
      <c r="D20" s="144" t="s">
        <v>99</v>
      </c>
      <c r="E20" s="145"/>
      <c r="F20" s="145"/>
      <c r="G20" s="145"/>
      <c r="H20" s="146"/>
      <c r="I20" s="139">
        <f>VLOOKUP($C$4,Реестр!$B:$AN,29,0)</f>
        <v>45323</v>
      </c>
      <c r="J20" s="140"/>
    </row>
    <row r="21" spans="1:10" ht="20.25" customHeight="1">
      <c r="A21" s="38"/>
      <c r="B21" s="32"/>
      <c r="C21" s="32"/>
      <c r="D21" s="136" t="s">
        <v>47</v>
      </c>
      <c r="E21" s="136"/>
      <c r="F21" s="136"/>
      <c r="G21" s="136"/>
      <c r="H21" s="136"/>
      <c r="I21" s="139">
        <f>VLOOKUP($C$4,Реестр!$B:$AN,30,0)</f>
        <v>45323</v>
      </c>
      <c r="J21" s="140"/>
    </row>
    <row r="22" spans="1:10" ht="22.5" customHeight="1">
      <c r="A22" s="39"/>
      <c r="B22" s="8"/>
      <c r="C22" s="8"/>
      <c r="D22" s="144" t="s">
        <v>98</v>
      </c>
      <c r="E22" s="145"/>
      <c r="F22" s="145"/>
      <c r="G22" s="145"/>
      <c r="H22" s="146"/>
      <c r="I22" s="142">
        <f>VLOOKUP($C$4,Реестр!$B:$AN,31,0)</f>
        <v>45321</v>
      </c>
      <c r="J22" s="143"/>
    </row>
    <row r="23" spans="1:10" ht="24" customHeight="1">
      <c r="A23" s="39"/>
      <c r="B23" s="8"/>
      <c r="C23" s="8"/>
      <c r="D23" s="144" t="s">
        <v>96</v>
      </c>
      <c r="E23" s="145"/>
      <c r="F23" s="145"/>
      <c r="G23" s="145"/>
      <c r="H23" s="146"/>
      <c r="I23" s="142">
        <f>VLOOKUP($C$4,Реестр!$B:$AN,32,0)</f>
        <v>45323</v>
      </c>
      <c r="J23" s="143"/>
    </row>
    <row r="24" spans="1:10" ht="19.5" customHeight="1">
      <c r="A24" s="39"/>
      <c r="B24" s="8"/>
      <c r="C24" s="8"/>
      <c r="D24" s="144" t="s">
        <v>97</v>
      </c>
      <c r="E24" s="145"/>
      <c r="F24" s="145"/>
      <c r="G24" s="145"/>
      <c r="H24" s="146"/>
      <c r="I24" s="142">
        <f>VLOOKUP($C$4,Реестр!$B:$AN,33,0)</f>
        <v>45325</v>
      </c>
      <c r="J24" s="143"/>
    </row>
    <row r="25" spans="1:10" ht="21" customHeight="1">
      <c r="A25" s="39"/>
      <c r="B25" s="8"/>
      <c r="C25" s="8"/>
      <c r="D25" s="136" t="s">
        <v>48</v>
      </c>
      <c r="E25" s="136"/>
      <c r="F25" s="136"/>
      <c r="G25" s="136"/>
      <c r="H25" s="136"/>
      <c r="I25" s="142" t="str">
        <f>VLOOKUP($C$4,Реестр!$B:$AN,34,0)</f>
        <v>-</v>
      </c>
      <c r="J25" s="143"/>
    </row>
    <row r="26" spans="1:10" ht="12.75" customHeight="1">
      <c r="A26" s="40" t="s">
        <v>25</v>
      </c>
      <c r="B26" s="9"/>
      <c r="C26" s="31" t="s">
        <v>95</v>
      </c>
      <c r="D26" s="46"/>
      <c r="E26" s="44"/>
      <c r="F26" s="44"/>
      <c r="G26" s="44"/>
      <c r="H26" s="44"/>
      <c r="I26" s="45"/>
      <c r="J26" s="47"/>
    </row>
    <row r="27" spans="1:10" ht="17.25" customHeight="1">
      <c r="A27" s="41"/>
      <c r="B27" s="10" t="s">
        <v>5</v>
      </c>
      <c r="C27" s="18" t="s">
        <v>26</v>
      </c>
      <c r="D27" s="141" t="s">
        <v>68</v>
      </c>
      <c r="E27" s="141"/>
      <c r="F27" s="141"/>
      <c r="G27" s="141"/>
      <c r="H27" s="141"/>
      <c r="I27" s="141"/>
      <c r="J27" s="141"/>
    </row>
    <row r="28" spans="1:10" ht="11.25" customHeight="1">
      <c r="A28" s="42"/>
      <c r="D28" s="141"/>
      <c r="E28" s="141"/>
      <c r="F28" s="141"/>
      <c r="G28" s="141"/>
      <c r="H28" s="141"/>
      <c r="I28" s="141"/>
      <c r="J28" s="141"/>
    </row>
    <row r="29" spans="1:10" ht="20.25" customHeight="1">
      <c r="A29" s="43"/>
      <c r="B29" s="9"/>
      <c r="C29" s="36"/>
    </row>
  </sheetData>
  <sheetProtection selectLockedCells="1"/>
  <mergeCells count="54">
    <mergeCell ref="D27:J28"/>
    <mergeCell ref="I19:J19"/>
    <mergeCell ref="I21:J21"/>
    <mergeCell ref="I25:J25"/>
    <mergeCell ref="D19:H19"/>
    <mergeCell ref="D21:H21"/>
    <mergeCell ref="D25:H25"/>
    <mergeCell ref="D22:H22"/>
    <mergeCell ref="D23:H23"/>
    <mergeCell ref="D24:H24"/>
    <mergeCell ref="I22:J22"/>
    <mergeCell ref="I23:J23"/>
    <mergeCell ref="I24:J24"/>
    <mergeCell ref="D20:H20"/>
    <mergeCell ref="I20:J20"/>
    <mergeCell ref="I16:J16"/>
    <mergeCell ref="I17:J17"/>
    <mergeCell ref="I18:J18"/>
    <mergeCell ref="D16:H16"/>
    <mergeCell ref="D17:H17"/>
    <mergeCell ref="D18:H18"/>
    <mergeCell ref="D14:G14"/>
    <mergeCell ref="D15:G15"/>
    <mergeCell ref="I12:J12"/>
    <mergeCell ref="D12:H12"/>
    <mergeCell ref="D13:H13"/>
    <mergeCell ref="D7:H7"/>
    <mergeCell ref="D8:H9"/>
    <mergeCell ref="D10:H10"/>
    <mergeCell ref="I2:I3"/>
    <mergeCell ref="J2:J3"/>
    <mergeCell ref="I5:I6"/>
    <mergeCell ref="J5:J6"/>
    <mergeCell ref="B17:C17"/>
    <mergeCell ref="D1:J1"/>
    <mergeCell ref="A2:C2"/>
    <mergeCell ref="A3:C3"/>
    <mergeCell ref="B11:C11"/>
    <mergeCell ref="B10:C10"/>
    <mergeCell ref="A4:B4"/>
    <mergeCell ref="A5:C5"/>
    <mergeCell ref="I8:I9"/>
    <mergeCell ref="J8:J9"/>
    <mergeCell ref="B7:C7"/>
    <mergeCell ref="B9:C9"/>
    <mergeCell ref="D11:J11"/>
    <mergeCell ref="D2:H3"/>
    <mergeCell ref="D4:H4"/>
    <mergeCell ref="D5:H6"/>
    <mergeCell ref="B12:C12"/>
    <mergeCell ref="B13:C13"/>
    <mergeCell ref="B14:C14"/>
    <mergeCell ref="B15:C15"/>
    <mergeCell ref="A16:C16"/>
  </mergeCells>
  <conditionalFormatting sqref="B7:C7">
    <cfRule type="cellIs" dxfId="32" priority="4" operator="lessThan">
      <formula>TODAY()</formula>
    </cfRule>
  </conditionalFormatting>
  <conditionalFormatting sqref="I16:J25">
    <cfRule type="cellIs" dxfId="31" priority="3" operator="lessThan">
      <formula>TODAY()</formula>
    </cfRule>
  </conditionalFormatting>
  <conditionalFormatting sqref="J13">
    <cfRule type="cellIs" dxfId="30" priority="2" operator="lessThan">
      <formula>TODAY()</formula>
    </cfRule>
  </conditionalFormatting>
  <conditionalFormatting sqref="I15">
    <cfRule type="cellIs" dxfId="29" priority="1" operator="lessThan">
      <formula>TODAY()</formula>
    </cfRule>
  </conditionalFormatting>
  <pageMargins left="0.23622047244094491" right="0.23622047244094491" top="0.74803149606299213" bottom="0.74803149606299213" header="0.31496062992125984" footer="0.31496062992125984"/>
  <pageSetup paperSize="9" scale="73" orientation="portrait" r:id="rId1"/>
  <ignoredErrors>
    <ignoredError sqref="I22:I25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819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47625</xdr:rowOff>
              </from>
              <to>
                <xdr:col>0</xdr:col>
                <xdr:colOff>1628775</xdr:colOff>
                <xdr:row>0</xdr:row>
                <xdr:rowOff>428625</xdr:rowOff>
              </to>
            </anchor>
          </objectPr>
        </oleObject>
      </mc:Choice>
      <mc:Fallback>
        <oleObject progId="PBrush" shapeId="8193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A4F935A6-6287-40BB-AFF9-55199420CFD5}">
            <xm:f>$D$4=Реестр!$AQ$4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28" id="{F6E3CC38-4C96-460E-835C-9188DA73166F}">
            <xm:f>$D$4=Реестр!$AQ$3</xm:f>
            <x14:dxf>
              <fill>
                <patternFill>
                  <bgColor rgb="FF00B050"/>
                </patternFill>
              </fill>
            </x14:dxf>
          </x14:cfRule>
          <xm:sqref>D2:H3</xm:sqref>
        </x14:conditionalFormatting>
        <x14:conditionalFormatting xmlns:xm="http://schemas.microsoft.com/office/excel/2006/main">
          <x14:cfRule type="expression" priority="24" id="{1DF09579-5A57-4214-ABAA-602CF0F68945}">
            <xm:f>$I$4=Реестр!$AQ$4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F887B026-AFF9-48EC-BC00-3CC3BDEB0931}">
            <xm:f>$I$4=Реестр!$AQ$3</xm:f>
            <x14:dxf>
              <fill>
                <patternFill>
                  <bgColor rgb="FF00B050"/>
                </patternFill>
              </fill>
            </x14:dxf>
          </x14:cfRule>
          <xm:sqref>I2:I3</xm:sqref>
        </x14:conditionalFormatting>
        <x14:conditionalFormatting xmlns:xm="http://schemas.microsoft.com/office/excel/2006/main">
          <x14:cfRule type="expression" priority="22" id="{23A07B4E-97F1-4FF6-94F0-91CE6432D505}">
            <xm:f>$J$4=Реестр!$AQ$4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23" id="{8CD7934B-0F62-4443-94DF-1097B5727BC2}">
            <xm:f>$J$4=Реестр!$AQ$3</xm:f>
            <x14:dxf>
              <fill>
                <patternFill>
                  <bgColor rgb="FF00B050"/>
                </patternFill>
              </fill>
            </x14:dxf>
          </x14:cfRule>
          <xm:sqref>J2:J3</xm:sqref>
        </x14:conditionalFormatting>
        <x14:conditionalFormatting xmlns:xm="http://schemas.microsoft.com/office/excel/2006/main">
          <x14:cfRule type="expression" priority="19" id="{3AA8C84F-F0D2-4B97-B9B5-8AFFA25602D1}">
            <xm:f>$D$7=Реестр!$AQ$4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20" id="{392512E6-29AC-444A-96C8-3E976C1D44B2}">
            <xm:f>$D$7=Реестр!$AQ$3</xm:f>
            <x14:dxf>
              <fill>
                <patternFill>
                  <bgColor rgb="FF00B050"/>
                </patternFill>
              </fill>
            </x14:dxf>
          </x14:cfRule>
          <xm:sqref>D5:H6</xm:sqref>
        </x14:conditionalFormatting>
        <x14:conditionalFormatting xmlns:xm="http://schemas.microsoft.com/office/excel/2006/main">
          <x14:cfRule type="expression" priority="17" id="{5650C5C2-4FE5-4427-BC77-A7BC1C93DA85}">
            <xm:f>$I$7=Реестр!$AQ$4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B0EE9410-E09B-4EF7-B47C-235E907E15D6}">
            <xm:f>$I$7=Реестр!$AQ$3</xm:f>
            <x14:dxf>
              <fill>
                <patternFill>
                  <bgColor rgb="FF00B050"/>
                </patternFill>
              </fill>
            </x14:dxf>
          </x14:cfRule>
          <xm:sqref>I5:I6</xm:sqref>
        </x14:conditionalFormatting>
        <x14:conditionalFormatting xmlns:xm="http://schemas.microsoft.com/office/excel/2006/main">
          <x14:cfRule type="expression" priority="15" id="{5EA10ADC-427A-411F-83F4-A9AB325DEED9}">
            <xm:f>$J$7=Реестр!$AQ$4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16" id="{5B947547-FBBA-48D2-9315-6F93B04B45ED}">
            <xm:f>$J$7=Реестр!$AQ$3</xm:f>
            <x14:dxf>
              <fill>
                <patternFill>
                  <bgColor rgb="FF00B050"/>
                </patternFill>
              </fill>
            </x14:dxf>
          </x14:cfRule>
          <xm:sqref>J5:J6</xm:sqref>
        </x14:conditionalFormatting>
        <x14:conditionalFormatting xmlns:xm="http://schemas.microsoft.com/office/excel/2006/main">
          <x14:cfRule type="expression" priority="13" id="{FD0510AC-E692-4339-B4AE-F4009BECDB80}">
            <xm:f>$D$10=Реестр!$AQ$4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14" id="{C35B5803-B899-4BC3-9AD6-876301D0CF72}">
            <xm:f>$D$10=Реестр!$AQ$3</xm:f>
            <x14:dxf>
              <fill>
                <patternFill>
                  <bgColor rgb="FF00B050"/>
                </patternFill>
              </fill>
            </x14:dxf>
          </x14:cfRule>
          <xm:sqref>D8:H9</xm:sqref>
        </x14:conditionalFormatting>
        <x14:conditionalFormatting xmlns:xm="http://schemas.microsoft.com/office/excel/2006/main">
          <x14:cfRule type="expression" priority="11" id="{3EA0C5C0-30D9-4692-825E-42E25167C237}">
            <xm:f>$I$10=Реестр!$AQ$4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12" id="{9C9FF869-40F4-431D-B8AF-F719CB5615BB}">
            <xm:f>$I$10=Реестр!$AQ$3</xm:f>
            <x14:dxf>
              <fill>
                <patternFill>
                  <bgColor rgb="FF00B050"/>
                </patternFill>
              </fill>
            </x14:dxf>
          </x14:cfRule>
          <xm:sqref>I8:I9</xm:sqref>
        </x14:conditionalFormatting>
        <x14:conditionalFormatting xmlns:xm="http://schemas.microsoft.com/office/excel/2006/main">
          <x14:cfRule type="expression" priority="9" id="{6976E436-0EEF-44C9-AF5A-F94B35198474}">
            <xm:f>$J$10=Реестр!$AQ$4</xm:f>
            <x14:dxf>
              <fill>
                <patternFill>
                  <bgColor rgb="FFFFC000"/>
                </patternFill>
              </fill>
            </x14:dxf>
          </x14:cfRule>
          <x14:cfRule type="expression" priority="10" id="{8C838B08-2D8D-499F-9742-EDE1751157F1}">
            <xm:f>$J$10=Реестр!$AQ$3</xm:f>
            <x14:dxf>
              <fill>
                <patternFill>
                  <bgColor rgb="FF00B050"/>
                </patternFill>
              </fill>
            </x14:dxf>
          </x14:cfRule>
          <xm:sqref>J8:J9</xm:sqref>
        </x14:conditionalFormatting>
        <x14:conditionalFormatting xmlns:xm="http://schemas.microsoft.com/office/excel/2006/main">
          <x14:cfRule type="expression" priority="5" id="{ECA7E0CB-C291-419C-A0F0-3EB403EAE21B}">
            <xm:f>$D$11=Реестр!$AQ$6</xm:f>
            <x14:dxf>
              <fill>
                <patternFill>
                  <bgColor rgb="FF00B050"/>
                </patternFill>
              </fill>
            </x14:dxf>
          </x14:cfRule>
          <x14:cfRule type="expression" priority="6" id="{300969C1-9360-4C0A-81BD-AF31B41D151B}">
            <xm:f>$D$11=Реестр!$AQ$5</xm:f>
            <x14:dxf>
              <fill>
                <patternFill>
                  <bgColor rgb="FFFFC000"/>
                </patternFill>
              </fill>
            </x14:dxf>
          </x14:cfRule>
          <x14:cfRule type="expression" priority="29" id="{59AAA758-9FD6-413C-AA3E-37FB75402A71}">
            <xm:f>$D$11=Реестр!$AQ$5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A6C2A38C-DA7D-4B42-910B-8C2F4A41D717}">
            <xm:f>$D$11=Реестр!#REF!</xm:f>
            <x14:dxf>
              <fill>
                <patternFill>
                  <bgColor rgb="FF00B050"/>
                </patternFill>
              </fill>
            </x14:dxf>
          </x14:cfRule>
          <xm:sqref>D11:J11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e F F G V a P w 0 Z 2 j A A A A 9 g A A A B I A H A B D b 2 5 m a W c v U G F j a 2 F n Z S 5 4 b W w g o h g A K K A U A A A A A A A A A A A A A A A A A A A A A A A A A A A A h Y 8 x D o I w G I W v Q r r T l r I o + S m D q y R G o 3 F t a o V G K I a 2 l r s 5 e C S v I E Z R N 8 f 3 v W 9 4 7 3 6 9 Q T G 0 T X R R v d W d y V G C K Y q U k d 1 B m y p H 3 h 3 j G S o 4 r I Q 8 i U p F o 2 x s N t h D j m r n z h k h I Q Q c U t z 1 F W G U J m R f L j e y V q 1 A H 1 n / l 2 N t r B N G K s R h 9 x r D G U 7 o H K e U Y Q p k g l B q 8 x X Y u P f Z / k B Y + M b 5 X v H e x + s t k C k C e X / g D 1 B L A w Q U A A I A C A B 4 U U Z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F F G V S i K R 7 g O A A A A E Q A A A B M A H A B G b 3 J t d W x h c y 9 T Z W N 0 a W 9 u M S 5 t I K I Y A C i g F A A A A A A A A A A A A A A A A A A A A A A A A A A A A C t O T S 7 J z M 9 T C I b Q h t Y A U E s B A i 0 A F A A C A A g A e F F G V a P w 0 Z 2 j A A A A 9 g A A A B I A A A A A A A A A A A A A A A A A A A A A A E N v b m Z p Z y 9 Q Y W N r Y W d l L n h t b F B L A Q I t A B Q A A g A I A H h R R l U P y u m r p A A A A O k A A A A T A A A A A A A A A A A A A A A A A O 8 A A A B b Q 2 9 u d G V u d F 9 U e X B l c 1 0 u e G 1 s U E s B A i 0 A F A A C A A g A e F F G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v 2 u g W U V A p M q / X x O k R A K f Y A A A A A A g A A A A A A A 2 Y A A M A A A A A Q A A A A Y v a e x c Q G a S b l p S g B b I 0 P C w A A A A A E g A A A o A A A A B A A A A D y 2 O 2 I k s P N Y W L I 4 W 3 I D b o 3 U A A A A N 6 y x k 6 z a q s 4 D M 4 y a V D F s 2 f e w V F r 3 b 6 Q j N 0 u M + H U j 6 b i q P m H 5 b X n 4 H E V + l n J 5 R N 6 6 e D j t 6 s Z 9 5 t n g X k 9 2 K Q O 0 B k T 3 C R A g Q k M t e A 2 S V e N Y W u N F A A A A F I Z 9 r H Y 6 e g q y v 6 p 1 h U 4 r / b J O 8 d K < / D a t a M a s h u p > 
</file>

<file path=customXml/itemProps1.xml><?xml version="1.0" encoding="utf-8"?>
<ds:datastoreItem xmlns:ds="http://schemas.openxmlformats.org/officeDocument/2006/customXml" ds:itemID="{EEC71AC2-7B84-4A0A-BF61-099A02DAF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</vt:lpstr>
      <vt:lpstr>талон</vt:lpstr>
      <vt:lpstr>Реестр!Область_печати</vt:lpstr>
      <vt:lpstr>талон!Область_печати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Гутерман</dc:creator>
  <cp:lastModifiedBy>Еловков Юрий Евгеньевич</cp:lastModifiedBy>
  <cp:lastPrinted>2024-01-12T04:26:42Z</cp:lastPrinted>
  <dcterms:created xsi:type="dcterms:W3CDTF">2019-07-26T05:34:44Z</dcterms:created>
  <dcterms:modified xsi:type="dcterms:W3CDTF">2024-01-30T05:30:16Z</dcterms:modified>
</cp:coreProperties>
</file>