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4" i="1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28"/>
  <c r="D30"/>
  <c r="E22"/>
  <c r="D27"/>
  <c r="C15"/>
  <c r="F44"/>
  <c r="F34"/>
  <c r="F27"/>
  <c r="F22" s="1"/>
  <c r="B19"/>
  <c r="L33"/>
  <c r="L34" s="1"/>
  <c r="C22" l="1"/>
  <c r="D22"/>
  <c r="B22"/>
  <c r="G27"/>
  <c r="G19"/>
  <c r="C55" s="1"/>
  <c r="F30" l="1"/>
  <c r="C51" s="1"/>
  <c r="D51" s="1"/>
  <c r="H22"/>
  <c r="G22"/>
  <c r="C27"/>
  <c r="H19"/>
  <c r="C54" s="1"/>
  <c r="D54" s="1"/>
  <c r="E54" s="1"/>
  <c r="I34"/>
  <c r="E51" l="1"/>
  <c r="F51" s="1"/>
  <c r="C19"/>
  <c r="J36" s="1"/>
  <c r="D19" l="1"/>
  <c r="G30"/>
  <c r="E19"/>
  <c r="H27"/>
  <c r="B15"/>
  <c r="E27"/>
  <c r="F19"/>
  <c r="G40" l="1"/>
  <c r="F40"/>
  <c r="J25" s="1"/>
  <c r="F38"/>
  <c r="I19"/>
  <c r="G34" l="1"/>
  <c r="D55"/>
  <c r="K19"/>
  <c r="K22" s="1"/>
  <c r="G38"/>
  <c r="J19"/>
  <c r="J22"/>
  <c r="I22"/>
  <c r="L19" l="1"/>
  <c r="J34" l="1"/>
  <c r="G44" s="1"/>
  <c r="H34"/>
  <c r="J35"/>
  <c r="K34" l="1"/>
  <c r="E30" s="1"/>
  <c r="K35"/>
  <c r="H44" l="1"/>
  <c r="I4" s="1"/>
</calcChain>
</file>

<file path=xl/sharedStrings.xml><?xml version="1.0" encoding="utf-8"?>
<sst xmlns="http://schemas.openxmlformats.org/spreadsheetml/2006/main" count="116" uniqueCount="91">
  <si>
    <t>Сумма инвестиции</t>
  </si>
  <si>
    <t>Номинал</t>
  </si>
  <si>
    <t>Курс %</t>
  </si>
  <si>
    <t>Дата погашения</t>
  </si>
  <si>
    <t>Длительность купона</t>
  </si>
  <si>
    <t>Величина купона</t>
  </si>
  <si>
    <t>Дата выплаты купона</t>
  </si>
  <si>
    <t>Комиссия брокера</t>
  </si>
  <si>
    <t>Налог %</t>
  </si>
  <si>
    <t>Таблица расчетов</t>
  </si>
  <si>
    <t>Кол-во облигаций</t>
  </si>
  <si>
    <t>число</t>
  </si>
  <si>
    <t>Дней до погашения облигации</t>
  </si>
  <si>
    <t>Количество выплат купонов</t>
  </si>
  <si>
    <t>Годовой %</t>
  </si>
  <si>
    <t>без налога</t>
  </si>
  <si>
    <t>Сумма налога</t>
  </si>
  <si>
    <t>Общая сумма</t>
  </si>
  <si>
    <t>Чистая прибыль %</t>
  </si>
  <si>
    <t xml:space="preserve"> Исходные данные</t>
  </si>
  <si>
    <t>Покупка облигаций до погашения</t>
  </si>
  <si>
    <t>Дней до выплаты купона</t>
  </si>
  <si>
    <t>Доход с покупки %</t>
  </si>
  <si>
    <t>Разница курс/номинал</t>
  </si>
  <si>
    <t>Доход (разница+купон)</t>
  </si>
  <si>
    <t>Доход НКД за 1 день</t>
  </si>
  <si>
    <t>Сумма</t>
  </si>
  <si>
    <t>Дни</t>
  </si>
  <si>
    <t>Год</t>
  </si>
  <si>
    <t>Годовая прибыль</t>
  </si>
  <si>
    <t>Чистая прибыль</t>
  </si>
  <si>
    <t xml:space="preserve"> НКД </t>
  </si>
  <si>
    <t>Количество</t>
  </si>
  <si>
    <t xml:space="preserve">                                               Кратность</t>
  </si>
  <si>
    <t>Сумма погашения</t>
  </si>
  <si>
    <t xml:space="preserve"> </t>
  </si>
  <si>
    <t>после погашения</t>
  </si>
  <si>
    <t>относ. номинала</t>
  </si>
  <si>
    <t>ХК Новотранс, Обл, 001P-03,</t>
  </si>
  <si>
    <t>RU000A105CM4</t>
  </si>
  <si>
    <t>Новотр 1Р3</t>
  </si>
  <si>
    <t>Цена облигации</t>
  </si>
  <si>
    <t>Курс облигации</t>
  </si>
  <si>
    <t>Доход НКД до погаш.</t>
  </si>
  <si>
    <t>Замороженная сумма</t>
  </si>
  <si>
    <t>Доход - комиссия</t>
  </si>
  <si>
    <t>без НКД</t>
  </si>
  <si>
    <t>с НКД</t>
  </si>
  <si>
    <t>до выплаты купона НКД</t>
  </si>
  <si>
    <t>с одной облигации</t>
  </si>
  <si>
    <t>с позиции</t>
  </si>
  <si>
    <t>Купонная доходность</t>
  </si>
  <si>
    <t>% от номинала 365</t>
  </si>
  <si>
    <t xml:space="preserve">Общая доходность </t>
  </si>
  <si>
    <t>% от номинала на дату погаш.</t>
  </si>
  <si>
    <t>до погаш.</t>
  </si>
  <si>
    <t>% от курса на дату погаш.</t>
  </si>
  <si>
    <t>по номиналу</t>
  </si>
  <si>
    <t>Доход купонов</t>
  </si>
  <si>
    <t>выплата с позиции</t>
  </si>
  <si>
    <t xml:space="preserve"> от номинала % (365)</t>
  </si>
  <si>
    <t>Чистый доход</t>
  </si>
  <si>
    <t>Чистый доход %</t>
  </si>
  <si>
    <t>Итог к погашению</t>
  </si>
  <si>
    <t>НКД до погаш</t>
  </si>
  <si>
    <t>НКД после налога</t>
  </si>
  <si>
    <t>Желаемая доходность %</t>
  </si>
  <si>
    <t>Курс</t>
  </si>
  <si>
    <t>чужой</t>
  </si>
  <si>
    <t>НКД</t>
  </si>
  <si>
    <t>Курс/номинал</t>
  </si>
  <si>
    <t>НКД-НДФЛ</t>
  </si>
  <si>
    <t>НКД+Курс-НДФЛ-комиссия</t>
  </si>
  <si>
    <t xml:space="preserve"> Годовой % прибыли</t>
  </si>
  <si>
    <t>Прибыль с курса - НДФЛ</t>
  </si>
  <si>
    <t>Прибыль НКД -НДФЛ</t>
  </si>
  <si>
    <t>общая</t>
  </si>
  <si>
    <t>рыночный</t>
  </si>
  <si>
    <t>рыночный +НКД</t>
  </si>
  <si>
    <t>рыночный+НКД</t>
  </si>
  <si>
    <t>% от цены 365</t>
  </si>
  <si>
    <t xml:space="preserve"> от цены % (365)</t>
  </si>
  <si>
    <t>Чистая годовая прибыль</t>
  </si>
  <si>
    <t>% прибыли</t>
  </si>
  <si>
    <t>относ. номинала -НДФЛ</t>
  </si>
  <si>
    <t>Прибыль с покупки %</t>
  </si>
  <si>
    <t>% курс+%НКД</t>
  </si>
  <si>
    <t>-НДФЛ (365)</t>
  </si>
  <si>
    <t>Разница</t>
  </si>
  <si>
    <t>% прибыли НКД до погаш</t>
  </si>
  <si>
    <t>до погашения -НДФЛ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</si>
</sst>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dd/mm/yy;@"/>
    <numFmt numFmtId="165" formatCode="_-* #,##0.0000\ _₽_-;\-* #,##0.0000\ _₽_-;_-* &quot;-&quot;??\ _₽_-;_-@_-"/>
    <numFmt numFmtId="166" formatCode="_-* #,##0.0000\ _₽_-;\-* #,##0.0000\ _₽_-;_-* &quot;-&quot;????\ _₽_-;_-@_-"/>
    <numFmt numFmtId="167" formatCode="_-* #,##0.00\ _₽_-;\-* #,##0.00\ _₽_-;_-* &quot;-&quot;????\ _₽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sz val="11"/>
      <color rgb="FF067420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sz val="14"/>
      <color theme="3" tint="0.39997558519241921"/>
      <name val="Calibri"/>
      <family val="2"/>
      <charset val="204"/>
      <scheme val="minor"/>
    </font>
    <font>
      <sz val="16"/>
      <color theme="1" tint="0.1499984740745262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067420"/>
      <name val="Calibri"/>
      <family val="2"/>
      <charset val="204"/>
      <scheme val="minor"/>
    </font>
    <font>
      <sz val="12"/>
      <color theme="4" tint="-0.499984740745262"/>
      <name val="Calibri"/>
      <family val="2"/>
      <charset val="204"/>
      <scheme val="minor"/>
    </font>
    <font>
      <sz val="11"/>
      <color rgb="FF28282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2FB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43" fontId="11" fillId="2" borderId="3" xfId="1" applyFont="1" applyFill="1" applyBorder="1" applyAlignment="1">
      <alignment horizontal="center"/>
    </xf>
    <xf numFmtId="43" fontId="10" fillId="2" borderId="3" xfId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10" fillId="4" borderId="5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3" fontId="12" fillId="0" borderId="2" xfId="1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3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4" borderId="9" xfId="0" applyFill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43" fontId="0" fillId="0" borderId="7" xfId="0" applyNumberForma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0" fillId="3" borderId="0" xfId="0" applyFill="1"/>
    <xf numFmtId="0" fontId="9" fillId="3" borderId="0" xfId="0" applyFont="1" applyFill="1"/>
    <xf numFmtId="0" fontId="5" fillId="3" borderId="0" xfId="0" applyFont="1" applyFill="1"/>
    <xf numFmtId="0" fontId="7" fillId="3" borderId="0" xfId="0" applyFont="1" applyFill="1" applyAlignment="1">
      <alignment horizontal="center"/>
    </xf>
    <xf numFmtId="0" fontId="0" fillId="3" borderId="0" xfId="0" applyFill="1" applyBorder="1"/>
    <xf numFmtId="0" fontId="13" fillId="0" borderId="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2" fontId="8" fillId="5" borderId="0" xfId="0" applyNumberFormat="1" applyFont="1" applyFill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43" fontId="2" fillId="0" borderId="8" xfId="0" applyNumberFormat="1" applyFont="1" applyBorder="1" applyAlignment="1">
      <alignment horizontal="center"/>
    </xf>
    <xf numFmtId="43" fontId="12" fillId="7" borderId="2" xfId="1" applyFont="1" applyFill="1" applyBorder="1" applyAlignment="1">
      <alignment horizontal="center"/>
    </xf>
    <xf numFmtId="2" fontId="10" fillId="0" borderId="2" xfId="1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2" fontId="10" fillId="5" borderId="2" xfId="1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43" fontId="12" fillId="8" borderId="2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3" fontId="12" fillId="0" borderId="2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0" fillId="3" borderId="0" xfId="0" applyNumberFormat="1" applyFill="1" applyAlignment="1">
      <alignment horizontal="center"/>
    </xf>
    <xf numFmtId="166" fontId="0" fillId="0" borderId="0" xfId="0" applyNumberFormat="1"/>
    <xf numFmtId="2" fontId="0" fillId="0" borderId="0" xfId="0" applyNumberFormat="1" applyAlignment="1">
      <alignment horizontal="center"/>
    </xf>
    <xf numFmtId="0" fontId="0" fillId="9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43" fontId="0" fillId="5" borderId="0" xfId="1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43" fontId="0" fillId="4" borderId="2" xfId="0" applyNumberFormat="1" applyFill="1" applyBorder="1" applyAlignment="1">
      <alignment horizontal="center"/>
    </xf>
    <xf numFmtId="43" fontId="0" fillId="5" borderId="12" xfId="0" applyNumberFormat="1" applyFill="1" applyBorder="1"/>
    <xf numFmtId="49" fontId="0" fillId="4" borderId="2" xfId="0" applyNumberFormat="1" applyFill="1" applyBorder="1" applyAlignment="1">
      <alignment horizontal="center"/>
    </xf>
    <xf numFmtId="43" fontId="2" fillId="5" borderId="0" xfId="0" applyNumberFormat="1" applyFont="1" applyFill="1"/>
    <xf numFmtId="2" fontId="0" fillId="10" borderId="0" xfId="0" applyNumberFormat="1" applyFill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2" fontId="10" fillId="5" borderId="3" xfId="0" applyNumberFormat="1" applyFon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43" fontId="0" fillId="6" borderId="6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43" fontId="0" fillId="5" borderId="13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43" fontId="0" fillId="5" borderId="14" xfId="0" applyNumberFormat="1" applyFill="1" applyBorder="1" applyAlignment="1">
      <alignment horizontal="center"/>
    </xf>
    <xf numFmtId="43" fontId="0" fillId="5" borderId="15" xfId="0" applyNumberFormat="1" applyFill="1" applyBorder="1" applyAlignment="1">
      <alignment horizontal="center"/>
    </xf>
    <xf numFmtId="167" fontId="4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67420"/>
      </font>
    </dxf>
    <dxf>
      <font>
        <color rgb="FFFF0000"/>
      </font>
    </dxf>
  </dxfs>
  <tableStyles count="0" defaultTableStyle="TableStyleMedium9" defaultPivotStyle="PivotStyleLight16"/>
  <colors>
    <mruColors>
      <color rgb="FF067420"/>
      <color rgb="FFFFFFE7"/>
      <color rgb="FFFFFFF3"/>
      <color rgb="FFFEFEF4"/>
      <color rgb="FFD5F2FB"/>
      <color rgb="FFBDEBF9"/>
      <color rgb="FFDEF7FA"/>
      <color rgb="FF943914"/>
      <color rgb="FFA94117"/>
      <color rgb="FFE3513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topLeftCell="A14" workbookViewId="0">
      <selection activeCell="F61" sqref="F61"/>
    </sheetView>
  </sheetViews>
  <sheetFormatPr defaultRowHeight="15"/>
  <cols>
    <col min="2" max="2" width="20.85546875" customWidth="1"/>
    <col min="3" max="3" width="21.28515625" customWidth="1"/>
    <col min="4" max="4" width="23.85546875" customWidth="1"/>
    <col min="5" max="5" width="24.85546875" customWidth="1"/>
    <col min="6" max="6" width="22.85546875" customWidth="1"/>
    <col min="7" max="7" width="29.140625" customWidth="1"/>
    <col min="8" max="8" width="27.42578125" customWidth="1"/>
    <col min="9" max="9" width="23.140625" customWidth="1"/>
    <col min="10" max="10" width="21.7109375" customWidth="1"/>
    <col min="11" max="11" width="19.5703125" customWidth="1"/>
    <col min="12" max="12" width="18.5703125" customWidth="1"/>
  </cols>
  <sheetData>
    <row r="1" spans="1: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ht="21">
      <c r="A2" s="41"/>
      <c r="B2" s="41"/>
      <c r="C2" s="41"/>
      <c r="D2" s="41"/>
      <c r="E2" s="41"/>
      <c r="F2" s="42" t="s">
        <v>20</v>
      </c>
      <c r="G2" s="43"/>
      <c r="H2" s="43"/>
      <c r="I2" s="44" t="s">
        <v>14</v>
      </c>
      <c r="J2" s="43"/>
      <c r="K2" s="44" t="s">
        <v>28</v>
      </c>
      <c r="L2" s="41"/>
      <c r="M2" s="41"/>
    </row>
    <row r="3" spans="1: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5" ht="18.75">
      <c r="A4" s="41"/>
      <c r="B4" s="41"/>
      <c r="C4" s="41" t="s">
        <v>66</v>
      </c>
      <c r="D4" s="41"/>
      <c r="E4" s="41"/>
      <c r="F4" s="41"/>
      <c r="G4" s="41"/>
      <c r="H4" s="41"/>
      <c r="I4" s="51">
        <f ca="1">H44</f>
        <v>12.512214869461866</v>
      </c>
      <c r="J4" s="41"/>
      <c r="K4" s="44">
        <v>2023</v>
      </c>
      <c r="L4" s="41"/>
      <c r="M4" s="41"/>
    </row>
    <row r="5" spans="1:15">
      <c r="A5" s="41"/>
      <c r="B5" s="41"/>
      <c r="C5" s="75">
        <v>12.75</v>
      </c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5" ht="18.75">
      <c r="A6" s="41"/>
      <c r="B6" s="41"/>
      <c r="C6" s="3" t="s">
        <v>67</v>
      </c>
      <c r="D6" s="41"/>
      <c r="E6" s="41"/>
      <c r="F6" s="44" t="s">
        <v>19</v>
      </c>
      <c r="G6" s="41"/>
      <c r="H6" s="41"/>
      <c r="I6" s="41"/>
      <c r="J6" s="41"/>
      <c r="K6" s="41"/>
      <c r="L6" s="41"/>
      <c r="M6" s="41"/>
    </row>
    <row r="7" spans="1:15">
      <c r="A7" s="41"/>
      <c r="B7" s="3"/>
      <c r="C7" s="83">
        <v>94.2</v>
      </c>
      <c r="D7" s="41"/>
      <c r="E7" s="3"/>
      <c r="F7" s="41"/>
      <c r="G7" s="3"/>
      <c r="H7" s="3"/>
      <c r="I7" s="3"/>
      <c r="J7" s="3"/>
      <c r="K7" s="3"/>
      <c r="L7" s="3"/>
      <c r="M7" s="3"/>
      <c r="N7" s="1"/>
      <c r="O7" s="1"/>
    </row>
    <row r="8" spans="1:15">
      <c r="A8" s="41"/>
      <c r="B8" s="3"/>
      <c r="C8" s="72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</row>
    <row r="9" spans="1:15" ht="15.75">
      <c r="A9" s="41"/>
      <c r="B9" s="15" t="s">
        <v>0</v>
      </c>
      <c r="C9" s="15" t="s">
        <v>2</v>
      </c>
      <c r="D9" s="15" t="s">
        <v>31</v>
      </c>
      <c r="E9" s="15" t="s">
        <v>1</v>
      </c>
      <c r="F9" s="15" t="s">
        <v>3</v>
      </c>
      <c r="G9" s="52" t="s">
        <v>4</v>
      </c>
      <c r="H9" s="15" t="s">
        <v>5</v>
      </c>
      <c r="I9" s="15" t="s">
        <v>6</v>
      </c>
      <c r="J9" s="15" t="s">
        <v>7</v>
      </c>
      <c r="K9" s="15" t="s">
        <v>8</v>
      </c>
      <c r="L9" s="41"/>
      <c r="M9" s="3"/>
      <c r="N9" s="1"/>
      <c r="O9" s="1"/>
    </row>
    <row r="10" spans="1:15" ht="15.75">
      <c r="A10" s="41"/>
      <c r="B10" s="16" t="s">
        <v>47</v>
      </c>
      <c r="C10" s="16" t="s">
        <v>77</v>
      </c>
      <c r="D10" s="16" t="s">
        <v>68</v>
      </c>
      <c r="E10" s="16"/>
      <c r="F10" s="16"/>
      <c r="G10" s="53"/>
      <c r="H10" s="16" t="s">
        <v>49</v>
      </c>
      <c r="I10" s="16"/>
      <c r="J10" s="16"/>
      <c r="K10" s="16"/>
      <c r="L10" s="41"/>
      <c r="M10" s="3"/>
      <c r="N10" s="1"/>
      <c r="O10" s="1"/>
    </row>
    <row r="11" spans="1:15" ht="15.75">
      <c r="A11" s="41"/>
      <c r="B11" s="39">
        <v>48013</v>
      </c>
      <c r="C11" s="21">
        <v>94.2</v>
      </c>
      <c r="D11" s="60">
        <v>18.260000000000002</v>
      </c>
      <c r="E11" s="18">
        <v>1000</v>
      </c>
      <c r="F11" s="20">
        <v>45953</v>
      </c>
      <c r="G11" s="48">
        <v>91</v>
      </c>
      <c r="H11" s="50">
        <v>24.81</v>
      </c>
      <c r="I11" s="20">
        <v>45225</v>
      </c>
      <c r="J11" s="17">
        <v>50</v>
      </c>
      <c r="K11" s="19">
        <v>13</v>
      </c>
      <c r="L11" s="41"/>
      <c r="M11" s="3"/>
      <c r="N11" s="1"/>
      <c r="O11" s="1"/>
    </row>
    <row r="12" spans="1:15">
      <c r="A12" s="41"/>
      <c r="B12" s="3"/>
      <c r="C12" s="3"/>
      <c r="D12" s="3"/>
      <c r="E12" s="3"/>
      <c r="F12" s="3"/>
      <c r="G12" s="3"/>
      <c r="H12" s="3"/>
      <c r="I12" s="3"/>
      <c r="J12" s="3"/>
      <c r="K12" s="3"/>
      <c r="L12" s="3" t="s">
        <v>35</v>
      </c>
      <c r="M12" s="3"/>
      <c r="N12" s="1"/>
      <c r="O12" s="1"/>
    </row>
    <row r="13" spans="1:15" ht="15.75">
      <c r="A13" s="41"/>
      <c r="B13" s="15" t="s">
        <v>0</v>
      </c>
      <c r="C13" s="15" t="s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</row>
    <row r="14" spans="1:15" ht="15.75">
      <c r="A14" s="41"/>
      <c r="B14" s="16" t="s">
        <v>46</v>
      </c>
      <c r="C14" s="84" t="s">
        <v>78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1"/>
      <c r="O14" s="1"/>
    </row>
    <row r="15" spans="1:15" ht="18.75">
      <c r="A15" s="41"/>
      <c r="B15" s="39">
        <f>B11-(D11*C19)</f>
        <v>47100</v>
      </c>
      <c r="C15" s="85">
        <f>B22/10</f>
        <v>96.025999999999996</v>
      </c>
      <c r="D15" s="3"/>
      <c r="E15" s="3"/>
      <c r="F15" s="44" t="s">
        <v>9</v>
      </c>
      <c r="G15" s="3"/>
      <c r="H15" s="3"/>
      <c r="I15" s="3"/>
      <c r="J15" s="3"/>
      <c r="K15" s="3"/>
      <c r="L15" s="3"/>
      <c r="M15" s="3"/>
      <c r="N15" s="1"/>
      <c r="O15" s="1"/>
    </row>
    <row r="16" spans="1:15">
      <c r="A16" s="4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  <c r="O16" s="1"/>
    </row>
    <row r="17" spans="1:15">
      <c r="A17" s="41"/>
      <c r="B17" s="4" t="s">
        <v>42</v>
      </c>
      <c r="C17" s="4" t="s">
        <v>10</v>
      </c>
      <c r="D17" s="22" t="s">
        <v>23</v>
      </c>
      <c r="E17" s="4" t="s">
        <v>43</v>
      </c>
      <c r="F17" s="4" t="s">
        <v>58</v>
      </c>
      <c r="G17" s="54" t="s">
        <v>12</v>
      </c>
      <c r="H17" s="4" t="s">
        <v>13</v>
      </c>
      <c r="I17" s="4" t="s">
        <v>24</v>
      </c>
      <c r="J17" s="4" t="s">
        <v>30</v>
      </c>
      <c r="K17" s="4" t="s">
        <v>17</v>
      </c>
      <c r="L17" s="4" t="s">
        <v>18</v>
      </c>
      <c r="M17" s="3"/>
      <c r="N17" s="1"/>
      <c r="O17" s="1"/>
    </row>
    <row r="18" spans="1:15" ht="15.75">
      <c r="A18" s="41"/>
      <c r="B18" s="23" t="s">
        <v>77</v>
      </c>
      <c r="C18" s="23"/>
      <c r="D18" s="23" t="s">
        <v>50</v>
      </c>
      <c r="E18" s="23" t="s">
        <v>50</v>
      </c>
      <c r="F18" s="23" t="s">
        <v>59</v>
      </c>
      <c r="G18" s="55"/>
      <c r="H18" s="23"/>
      <c r="I18" s="23" t="s">
        <v>55</v>
      </c>
      <c r="J18" s="23" t="s">
        <v>69</v>
      </c>
      <c r="K18" s="23" t="s">
        <v>36</v>
      </c>
      <c r="L18" s="23"/>
      <c r="M18" s="3"/>
      <c r="N18" s="1"/>
      <c r="O18" s="1"/>
    </row>
    <row r="19" spans="1:15" ht="15.75">
      <c r="A19" s="41"/>
      <c r="B19" s="40">
        <f>E11*C11/100</f>
        <v>942</v>
      </c>
      <c r="C19" s="24">
        <f>ROUNDDOWN(D34,0)</f>
        <v>50</v>
      </c>
      <c r="D19" s="67">
        <f>(E11-B22)*C19</f>
        <v>1987.0000000000005</v>
      </c>
      <c r="E19" s="63">
        <f ca="1">(F27*G19)*C19</f>
        <v>10292.060439560439</v>
      </c>
      <c r="F19" s="68">
        <f>H11*C19</f>
        <v>1240.5</v>
      </c>
      <c r="G19" s="46">
        <f ca="1">F11-TODAY()</f>
        <v>755</v>
      </c>
      <c r="H19" s="25">
        <f ca="1">G19/G11</f>
        <v>8.2967032967032974</v>
      </c>
      <c r="I19" s="26">
        <f ca="1">D19+E19</f>
        <v>12279.060439560439</v>
      </c>
      <c r="J19" s="63">
        <f ca="1">F38</f>
        <v>8954.0925824175811</v>
      </c>
      <c r="K19" s="70">
        <f ca="1">E27+F38-J11-G40</f>
        <v>58645.782582417582</v>
      </c>
      <c r="L19" s="71">
        <f ca="1">(K19/B15-1)*100</f>
        <v>24.513338816173214</v>
      </c>
      <c r="M19" s="3"/>
      <c r="N19" s="1"/>
      <c r="O19" s="1"/>
    </row>
    <row r="20" spans="1:15">
      <c r="A20" s="41"/>
      <c r="B20" s="4" t="s">
        <v>41</v>
      </c>
      <c r="C20" s="4" t="s">
        <v>53</v>
      </c>
      <c r="D20" s="4" t="s">
        <v>53</v>
      </c>
      <c r="E20" s="4" t="s">
        <v>51</v>
      </c>
      <c r="F20" s="4" t="s">
        <v>51</v>
      </c>
      <c r="G20" s="4" t="s">
        <v>51</v>
      </c>
      <c r="H20" s="4" t="s">
        <v>51</v>
      </c>
      <c r="I20" s="27" t="s">
        <v>45</v>
      </c>
      <c r="J20" s="27" t="s">
        <v>16</v>
      </c>
      <c r="K20" s="4" t="s">
        <v>88</v>
      </c>
      <c r="L20" s="72"/>
      <c r="M20" s="3"/>
      <c r="N20" s="1"/>
      <c r="O20" s="1"/>
    </row>
    <row r="21" spans="1:15" ht="15.75">
      <c r="A21" s="41"/>
      <c r="B21" s="61" t="s">
        <v>79</v>
      </c>
      <c r="C21" s="23" t="s">
        <v>81</v>
      </c>
      <c r="D21" s="23" t="s">
        <v>60</v>
      </c>
      <c r="E21" s="23" t="s">
        <v>80</v>
      </c>
      <c r="F21" s="23" t="s">
        <v>52</v>
      </c>
      <c r="G21" s="65" t="s">
        <v>54</v>
      </c>
      <c r="H21" s="65" t="s">
        <v>56</v>
      </c>
      <c r="I21" s="30" t="s">
        <v>15</v>
      </c>
      <c r="J21" s="30" t="s">
        <v>76</v>
      </c>
      <c r="K21" s="23"/>
      <c r="L21" s="3"/>
      <c r="M21" s="3"/>
      <c r="N21" s="1"/>
      <c r="O21" s="1"/>
    </row>
    <row r="22" spans="1:15" ht="15.75">
      <c r="A22" s="41"/>
      <c r="B22" s="40">
        <f>B19+D11</f>
        <v>960.26</v>
      </c>
      <c r="C22" s="64">
        <f>E22+D27</f>
        <v>14.337093054239201</v>
      </c>
      <c r="D22" s="64">
        <f>D27+F22</f>
        <v>13.925263736263737</v>
      </c>
      <c r="E22" s="64">
        <f>(F27*365)/B22*100</f>
        <v>10.363093054239201</v>
      </c>
      <c r="F22" s="66">
        <f>(F27*365)/E11*100</f>
        <v>9.9512637362637353</v>
      </c>
      <c r="G22" s="66">
        <f ca="1">(F27*G19)/E11*100</f>
        <v>20.584120879120878</v>
      </c>
      <c r="H22" s="66">
        <f ca="1">(F27*G19)/B19*100</f>
        <v>21.851508364247216</v>
      </c>
      <c r="I22" s="32">
        <f ca="1">(I19-J11)</f>
        <v>12229.060439560439</v>
      </c>
      <c r="J22" s="33">
        <f ca="1">I19*K11/100</f>
        <v>1596.2778571428571</v>
      </c>
      <c r="K22" s="70">
        <f ca="1">K19-B11</f>
        <v>10632.782582417582</v>
      </c>
      <c r="L22" s="3"/>
      <c r="M22" s="3"/>
      <c r="N22" s="1"/>
      <c r="O22" s="1"/>
    </row>
    <row r="23" spans="1:15">
      <c r="A23" s="41"/>
      <c r="B23" s="41"/>
      <c r="C23" s="41"/>
      <c r="D23" s="41"/>
      <c r="E23" s="41"/>
      <c r="F23" s="41"/>
      <c r="G23" s="41"/>
      <c r="H23" s="41"/>
      <c r="I23" s="41"/>
      <c r="J23" s="4" t="s">
        <v>30</v>
      </c>
      <c r="K23" s="41"/>
      <c r="L23" s="41"/>
      <c r="M23" s="3"/>
      <c r="N23" s="1"/>
      <c r="O23" s="1"/>
    </row>
    <row r="24" spans="1:15" s="41" customFormat="1" ht="15.75">
      <c r="J24" s="23" t="s">
        <v>70</v>
      </c>
      <c r="N24" s="3"/>
      <c r="O24" s="3"/>
    </row>
    <row r="25" spans="1:15" ht="15.75">
      <c r="A25" s="41"/>
      <c r="B25" s="34" t="s">
        <v>33</v>
      </c>
      <c r="C25" s="34"/>
      <c r="D25" s="29" t="s">
        <v>22</v>
      </c>
      <c r="E25" s="69" t="s">
        <v>34</v>
      </c>
      <c r="F25" s="27" t="s">
        <v>25</v>
      </c>
      <c r="G25" s="56" t="s">
        <v>21</v>
      </c>
      <c r="H25" s="27" t="s">
        <v>44</v>
      </c>
      <c r="I25" s="3"/>
      <c r="J25" s="63">
        <f>F40</f>
        <v>1728.6900000000003</v>
      </c>
      <c r="K25" s="3"/>
      <c r="L25" s="3"/>
      <c r="M25" s="3"/>
      <c r="N25" s="1"/>
      <c r="O25" s="1"/>
    </row>
    <row r="26" spans="1:15">
      <c r="A26" s="41"/>
      <c r="B26" s="28" t="s">
        <v>32</v>
      </c>
      <c r="C26" s="28" t="s">
        <v>26</v>
      </c>
      <c r="D26" s="35" t="s">
        <v>37</v>
      </c>
      <c r="E26" s="69" t="s">
        <v>57</v>
      </c>
      <c r="F26" s="30" t="s">
        <v>49</v>
      </c>
      <c r="G26" s="57"/>
      <c r="H26" s="30" t="s">
        <v>48</v>
      </c>
      <c r="I26" s="3"/>
      <c r="J26" s="3"/>
      <c r="K26" s="3"/>
      <c r="L26" s="3"/>
      <c r="M26" s="3"/>
      <c r="N26" s="1"/>
      <c r="O26" s="1"/>
    </row>
    <row r="27" spans="1:15">
      <c r="A27" s="41"/>
      <c r="B27" s="87">
        <v>1</v>
      </c>
      <c r="C27" s="88">
        <f>B27*B$22</f>
        <v>960.26</v>
      </c>
      <c r="D27" s="36">
        <f>(E11-B22)/1000*100</f>
        <v>3.9740000000000011</v>
      </c>
      <c r="E27" s="2">
        <f>C19*E11</f>
        <v>50000</v>
      </c>
      <c r="F27" s="31">
        <f>H11/G11</f>
        <v>0.2726373626373626</v>
      </c>
      <c r="G27" s="47">
        <f ca="1">I11-TODAY()</f>
        <v>27</v>
      </c>
      <c r="H27" s="62">
        <f>(B22-B19)*C19</f>
        <v>912.99999999999955</v>
      </c>
      <c r="I27" s="3"/>
      <c r="J27" s="3"/>
      <c r="K27" s="3"/>
      <c r="L27" s="3"/>
      <c r="M27" s="3"/>
      <c r="N27" s="1"/>
      <c r="O27" s="1"/>
    </row>
    <row r="28" spans="1:15">
      <c r="A28" s="41"/>
      <c r="B28" s="89">
        <v>30</v>
      </c>
      <c r="C28" s="90">
        <f>B28*B$22</f>
        <v>28807.8</v>
      </c>
      <c r="D28" s="29" t="s">
        <v>85</v>
      </c>
      <c r="E28" s="29" t="s">
        <v>86</v>
      </c>
      <c r="F28" s="27" t="s">
        <v>43</v>
      </c>
      <c r="G28" s="27" t="s">
        <v>25</v>
      </c>
      <c r="H28" s="3"/>
      <c r="I28" s="3"/>
      <c r="J28" s="3"/>
      <c r="K28" s="3"/>
      <c r="L28" s="3"/>
      <c r="M28" s="3"/>
      <c r="N28" s="1"/>
      <c r="O28" s="1"/>
    </row>
    <row r="29" spans="1:15">
      <c r="A29" s="41"/>
      <c r="B29" s="91">
        <v>31</v>
      </c>
      <c r="C29" s="92">
        <f t="shared" ref="C29:C48" si="0">B29*B$22</f>
        <v>29768.06</v>
      </c>
      <c r="D29" s="35" t="s">
        <v>84</v>
      </c>
      <c r="E29" s="86" t="s">
        <v>87</v>
      </c>
      <c r="F29" s="30" t="s">
        <v>49</v>
      </c>
      <c r="G29" s="30" t="s">
        <v>50</v>
      </c>
      <c r="H29" s="41"/>
      <c r="I29" s="41"/>
      <c r="J29" s="41"/>
      <c r="K29" s="41"/>
      <c r="L29" s="41"/>
      <c r="M29" s="41"/>
    </row>
    <row r="30" spans="1:15">
      <c r="A30" s="41"/>
      <c r="B30" s="89">
        <v>32</v>
      </c>
      <c r="C30" s="92">
        <f t="shared" si="0"/>
        <v>30728.32</v>
      </c>
      <c r="D30" s="36">
        <f>D27*((100-K11)/100)</f>
        <v>3.457380000000001</v>
      </c>
      <c r="E30" s="36">
        <f ca="1">D30+K34</f>
        <v>12.473270957188106</v>
      </c>
      <c r="F30" s="31">
        <f ca="1">F27*G19</f>
        <v>205.84120879120877</v>
      </c>
      <c r="G30" s="31">
        <f>F27*C19</f>
        <v>13.63186813186813</v>
      </c>
      <c r="H30" s="41"/>
      <c r="I30" s="41"/>
      <c r="J30" s="41"/>
      <c r="K30" s="41"/>
      <c r="L30" s="41"/>
      <c r="M30" s="41"/>
    </row>
    <row r="31" spans="1:15">
      <c r="A31" s="41"/>
      <c r="B31" s="91">
        <v>33</v>
      </c>
      <c r="C31" s="92">
        <f t="shared" si="0"/>
        <v>31688.579999999998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5">
      <c r="A32" s="41"/>
      <c r="B32" s="89">
        <v>34</v>
      </c>
      <c r="C32" s="92">
        <f t="shared" si="0"/>
        <v>32648.84</v>
      </c>
      <c r="D32" s="37" t="s">
        <v>10</v>
      </c>
      <c r="E32" s="41"/>
      <c r="F32" s="11" t="s">
        <v>26</v>
      </c>
      <c r="G32" s="11" t="s">
        <v>30</v>
      </c>
      <c r="H32" s="11" t="s">
        <v>83</v>
      </c>
      <c r="I32" s="11" t="s">
        <v>27</v>
      </c>
      <c r="J32" s="12" t="s">
        <v>29</v>
      </c>
      <c r="K32" s="12" t="s">
        <v>73</v>
      </c>
      <c r="L32" s="11" t="s">
        <v>28</v>
      </c>
      <c r="M32" s="41"/>
    </row>
    <row r="33" spans="1:13">
      <c r="A33" s="41"/>
      <c r="B33" s="91">
        <v>35</v>
      </c>
      <c r="C33" s="92">
        <f t="shared" si="0"/>
        <v>33609.1</v>
      </c>
      <c r="D33" s="35" t="s">
        <v>11</v>
      </c>
      <c r="E33" s="41"/>
      <c r="F33" s="13"/>
      <c r="G33" s="79" t="s">
        <v>71</v>
      </c>
      <c r="H33" s="14" t="s">
        <v>90</v>
      </c>
      <c r="I33" s="13"/>
      <c r="J33" s="14" t="s">
        <v>71</v>
      </c>
      <c r="K33" s="81" t="s">
        <v>71</v>
      </c>
      <c r="L33" s="14">
        <f>K4</f>
        <v>2023</v>
      </c>
      <c r="M33" s="41"/>
    </row>
    <row r="34" spans="1:13">
      <c r="A34" s="41"/>
      <c r="B34" s="89">
        <v>36</v>
      </c>
      <c r="C34" s="92">
        <f t="shared" si="0"/>
        <v>34569.360000000001</v>
      </c>
      <c r="D34" s="38">
        <f>B11/B22</f>
        <v>50</v>
      </c>
      <c r="E34" s="41"/>
      <c r="F34" s="6">
        <f>B11</f>
        <v>48013</v>
      </c>
      <c r="G34" s="6">
        <f ca="1">F38</f>
        <v>8954.0925824175811</v>
      </c>
      <c r="H34" s="7">
        <f ca="1">G34/F34*100</f>
        <v>18.649308692265805</v>
      </c>
      <c r="I34" s="49">
        <f ca="1">G19</f>
        <v>755</v>
      </c>
      <c r="J34" s="8">
        <f ca="1">G34/I34*IF(MOD(L33,4)=0,366,365)</f>
        <v>4328.7997252747246</v>
      </c>
      <c r="K34" s="7">
        <f ca="1">H34/I34*IF(MOD(L33,4)=0,366,365)</f>
        <v>9.0158909571881054</v>
      </c>
      <c r="L34" s="5">
        <f>IF(MOD(L33,4)=0,366,365)</f>
        <v>365</v>
      </c>
      <c r="M34" s="41"/>
    </row>
    <row r="35" spans="1:13">
      <c r="A35" s="41"/>
      <c r="B35" s="91">
        <v>37</v>
      </c>
      <c r="C35" s="92">
        <f t="shared" si="0"/>
        <v>35529.620000000003</v>
      </c>
      <c r="D35" s="41"/>
      <c r="E35" s="45"/>
      <c r="F35" s="9"/>
      <c r="G35" s="9"/>
      <c r="H35" s="9"/>
      <c r="I35" s="9"/>
      <c r="J35" s="8">
        <f ca="1">G34/I34*L34</f>
        <v>4328.7997252747246</v>
      </c>
      <c r="K35" s="10">
        <f ca="1">H34/I34*L34</f>
        <v>9.0158909571881054</v>
      </c>
      <c r="L35" s="9"/>
      <c r="M35" s="41"/>
    </row>
    <row r="36" spans="1:13">
      <c r="A36" s="41"/>
      <c r="B36" s="89">
        <v>38</v>
      </c>
      <c r="C36" s="92">
        <f t="shared" si="0"/>
        <v>36489.879999999997</v>
      </c>
      <c r="D36" s="41"/>
      <c r="E36" s="45"/>
      <c r="F36" s="41"/>
      <c r="G36" s="41"/>
      <c r="H36" s="41"/>
      <c r="I36" s="41"/>
      <c r="J36" s="80">
        <f>(F27*L34*C19)*(100-K11)/100</f>
        <v>4328.7997252747246</v>
      </c>
      <c r="K36" s="41"/>
      <c r="L36" s="41"/>
      <c r="M36" s="41"/>
    </row>
    <row r="37" spans="1:13">
      <c r="A37" s="41"/>
      <c r="B37" s="91">
        <v>39</v>
      </c>
      <c r="C37" s="92">
        <f t="shared" si="0"/>
        <v>37450.14</v>
      </c>
      <c r="D37" s="41"/>
      <c r="E37" s="45"/>
      <c r="F37" s="76" t="s">
        <v>75</v>
      </c>
      <c r="G37" s="78" t="s">
        <v>16</v>
      </c>
      <c r="H37" s="45"/>
      <c r="I37" s="45"/>
      <c r="J37" s="45"/>
      <c r="K37" s="45"/>
      <c r="L37" s="45"/>
      <c r="M37" s="41"/>
    </row>
    <row r="38" spans="1:13">
      <c r="A38" s="41"/>
      <c r="B38" s="89">
        <v>40</v>
      </c>
      <c r="C38" s="92">
        <f t="shared" si="0"/>
        <v>38410.400000000001</v>
      </c>
      <c r="D38" s="41"/>
      <c r="E38" s="41"/>
      <c r="F38" s="77">
        <f ca="1">E19*((100-K11)/100)</f>
        <v>8954.0925824175811</v>
      </c>
      <c r="G38" s="82">
        <f ca="1">E19-F38</f>
        <v>1337.9678571428576</v>
      </c>
      <c r="H38" s="41"/>
      <c r="I38" s="41"/>
      <c r="J38" s="41"/>
      <c r="K38" s="41"/>
      <c r="L38" s="41"/>
      <c r="M38" s="41"/>
    </row>
    <row r="39" spans="1:13">
      <c r="A39" s="41"/>
      <c r="B39" s="91">
        <v>41</v>
      </c>
      <c r="C39" s="92">
        <f t="shared" si="0"/>
        <v>39370.659999999996</v>
      </c>
      <c r="D39" s="41"/>
      <c r="E39" s="41"/>
      <c r="F39" s="69" t="s">
        <v>74</v>
      </c>
      <c r="G39" s="78" t="s">
        <v>16</v>
      </c>
      <c r="H39" s="41"/>
      <c r="I39" s="41"/>
      <c r="J39" s="41"/>
      <c r="K39" s="41"/>
      <c r="L39" s="41"/>
      <c r="M39" s="41"/>
    </row>
    <row r="40" spans="1:13">
      <c r="A40" s="41"/>
      <c r="B40" s="89">
        <v>42</v>
      </c>
      <c r="C40" s="92">
        <f t="shared" si="0"/>
        <v>40330.92</v>
      </c>
      <c r="D40" s="41"/>
      <c r="E40" s="41"/>
      <c r="F40" s="77">
        <f>D19*((100-K11)/100)</f>
        <v>1728.6900000000003</v>
      </c>
      <c r="G40" s="82">
        <f>D19-F40</f>
        <v>258.31000000000017</v>
      </c>
      <c r="H40" s="41"/>
      <c r="I40" s="41"/>
      <c r="J40" s="41"/>
      <c r="K40" s="41"/>
      <c r="L40" s="41"/>
      <c r="M40" s="41"/>
    </row>
    <row r="41" spans="1:13">
      <c r="A41" s="41"/>
      <c r="B41" s="91">
        <v>43</v>
      </c>
      <c r="C41" s="92">
        <f t="shared" si="0"/>
        <v>41291.18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>
      <c r="A42" s="41"/>
      <c r="B42" s="89">
        <v>44</v>
      </c>
      <c r="C42" s="92">
        <f t="shared" si="0"/>
        <v>42251.44</v>
      </c>
      <c r="D42" s="41"/>
      <c r="E42" s="41"/>
      <c r="F42" s="11" t="s">
        <v>26</v>
      </c>
      <c r="G42" s="11" t="s">
        <v>82</v>
      </c>
      <c r="H42" s="11" t="s">
        <v>14</v>
      </c>
      <c r="I42" s="41"/>
      <c r="J42" s="41"/>
      <c r="K42" s="41"/>
      <c r="L42" s="41"/>
      <c r="M42" s="41"/>
    </row>
    <row r="43" spans="1:13">
      <c r="A43" s="41"/>
      <c r="B43" s="91">
        <v>45</v>
      </c>
      <c r="C43" s="92">
        <f t="shared" si="0"/>
        <v>43211.7</v>
      </c>
      <c r="D43" s="41"/>
      <c r="E43" s="41"/>
      <c r="F43" s="13"/>
      <c r="G43" s="79" t="s">
        <v>72</v>
      </c>
      <c r="H43" s="13"/>
      <c r="I43" s="41"/>
      <c r="J43" s="41"/>
      <c r="K43" s="41"/>
      <c r="L43" s="41"/>
      <c r="M43" s="41"/>
    </row>
    <row r="44" spans="1:13" s="41" customFormat="1">
      <c r="B44" s="89">
        <v>46</v>
      </c>
      <c r="C44" s="92">
        <f t="shared" si="0"/>
        <v>44171.96</v>
      </c>
      <c r="F44" s="6">
        <f>B11</f>
        <v>48013</v>
      </c>
      <c r="G44" s="6">
        <f ca="1">J34+F40-J11</f>
        <v>6007.4897252747251</v>
      </c>
      <c r="H44" s="7">
        <f ca="1">G44/F44*100</f>
        <v>12.512214869461866</v>
      </c>
    </row>
    <row r="45" spans="1:13">
      <c r="A45" s="41"/>
      <c r="B45" s="91">
        <v>47</v>
      </c>
      <c r="C45" s="92">
        <f t="shared" si="0"/>
        <v>45132.22</v>
      </c>
      <c r="D45" s="41"/>
      <c r="E45" s="41"/>
      <c r="F45" s="9"/>
      <c r="G45" s="9"/>
      <c r="H45" s="9"/>
      <c r="I45" s="41"/>
      <c r="J45" s="41"/>
      <c r="K45" s="41"/>
      <c r="L45" s="41"/>
      <c r="M45" s="41"/>
    </row>
    <row r="46" spans="1:13">
      <c r="A46" s="41"/>
      <c r="B46" s="89">
        <v>48</v>
      </c>
      <c r="C46" s="92">
        <f t="shared" si="0"/>
        <v>46092.479999999996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</row>
    <row r="47" spans="1:13">
      <c r="A47" s="41"/>
      <c r="B47" s="91">
        <v>49</v>
      </c>
      <c r="C47" s="92">
        <f t="shared" si="0"/>
        <v>47052.74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1:13">
      <c r="A48" s="41"/>
      <c r="B48" s="89">
        <v>50</v>
      </c>
      <c r="C48" s="93">
        <f t="shared" si="0"/>
        <v>48013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50" spans="3:6">
      <c r="C50" s="1" t="s">
        <v>63</v>
      </c>
      <c r="D50" s="1" t="s">
        <v>61</v>
      </c>
      <c r="E50" s="1" t="s">
        <v>62</v>
      </c>
      <c r="F50" s="1" t="s">
        <v>14</v>
      </c>
    </row>
    <row r="51" spans="3:6">
      <c r="C51" s="94">
        <f ca="1">E11+F30</f>
        <v>1205.8412087912088</v>
      </c>
      <c r="D51" s="94">
        <f ca="1">C51-B22</f>
        <v>245.58120879120884</v>
      </c>
      <c r="E51" s="74">
        <f ca="1">(D51/B22)*100</f>
        <v>25.574449502344038</v>
      </c>
      <c r="F51" s="74">
        <f ca="1">(E51/G19)*L34</f>
        <v>12.363806713053739</v>
      </c>
    </row>
    <row r="53" spans="3:6">
      <c r="C53" s="1" t="s">
        <v>64</v>
      </c>
      <c r="D53" s="1" t="s">
        <v>65</v>
      </c>
      <c r="E53" t="s">
        <v>89</v>
      </c>
    </row>
    <row r="54" spans="3:6">
      <c r="C54" s="74">
        <f ca="1">H11*H19</f>
        <v>205.8412087912088</v>
      </c>
      <c r="D54" s="74">
        <f ca="1">C54*0.87</f>
        <v>179.08185164835166</v>
      </c>
      <c r="E54" s="74">
        <f ca="1">(D54/B22)*100</f>
        <v>18.649308692265809</v>
      </c>
    </row>
    <row r="55" spans="3:6">
      <c r="C55" s="74">
        <f ca="1">F27*G19</f>
        <v>205.84120879120877</v>
      </c>
      <c r="D55" s="74">
        <f ca="1">F38/C19</f>
        <v>179.08185164835163</v>
      </c>
      <c r="E55" s="73"/>
    </row>
  </sheetData>
  <conditionalFormatting sqref="D19">
    <cfRule type="expression" dxfId="6" priority="7">
      <formula>$D$19&lt;0</formula>
    </cfRule>
    <cfRule type="expression" dxfId="5" priority="8">
      <formula>$D$19&gt;0</formula>
    </cfRule>
  </conditionalFormatting>
  <conditionalFormatting sqref="J19">
    <cfRule type="expression" dxfId="4" priority="6">
      <formula>$J$19&lt;0</formula>
    </cfRule>
  </conditionalFormatting>
  <conditionalFormatting sqref="K19">
    <cfRule type="expression" dxfId="3" priority="5">
      <formula>$K$19&lt;0</formula>
    </cfRule>
  </conditionalFormatting>
  <conditionalFormatting sqref="J25">
    <cfRule type="expression" dxfId="2" priority="2">
      <formula>$J$19&lt;0</formula>
    </cfRule>
  </conditionalFormatting>
  <conditionalFormatting sqref="K22">
    <cfRule type="expression" dxfId="1" priority="1">
      <formula>$K$19&lt;0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7:G7"/>
  <sheetViews>
    <sheetView workbookViewId="0">
      <selection activeCell="H19" sqref="H19"/>
    </sheetView>
  </sheetViews>
  <sheetFormatPr defaultRowHeight="15"/>
  <cols>
    <col min="5" max="5" width="31.5703125" customWidth="1"/>
    <col min="6" max="6" width="28" customWidth="1"/>
    <col min="7" max="7" width="21.85546875" customWidth="1"/>
  </cols>
  <sheetData>
    <row r="7" spans="5:7">
      <c r="E7" s="58" t="s">
        <v>38</v>
      </c>
      <c r="F7" s="59" t="s">
        <v>39</v>
      </c>
      <c r="G7" s="1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2023-09-29T19:07:42Z</dcterms:modified>
</cp:coreProperties>
</file>