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FC01F94C-5FEF-4828-84AD-7C031189DF9C}" xr6:coauthVersionLast="47" xr6:coauthVersionMax="47" xr10:uidLastSave="{00000000-0000-0000-0000-000000000000}"/>
  <bookViews>
    <workbookView xWindow="-120" yWindow="-120" windowWidth="38640" windowHeight="15840" firstSheet="2" activeTab="5" xr2:uid="{705EC4EB-B79C-46E7-BEA1-963C85CDC4FF}"/>
  </bookViews>
  <sheets>
    <sheet name="Сводная Круча" sheetId="5" r:id="rId1"/>
    <sheet name="Погода Круча" sheetId="1" r:id="rId2"/>
    <sheet name="Рудник" sheetId="2" r:id="rId3"/>
    <sheet name="Рудник для сводной " sheetId="7" r:id="rId4"/>
    <sheet name="Основные показатели" sheetId="8" r:id="rId5"/>
    <sheet name="температура" sheetId="10" r:id="rId6"/>
    <sheet name="ветер" sheetId="9" r:id="rId7"/>
    <sheet name="Сводная Рудник" sheetId="4" r:id="rId8"/>
  </sheets>
  <definedNames>
    <definedName name="_xlnm._FilterDatabase" localSheetId="1" hidden="1">'Погода Круча'!$B$1:$B$254</definedName>
    <definedName name="_xlnm._FilterDatabase" localSheetId="2" hidden="1">Рудник!$B$2:$C$253</definedName>
    <definedName name="ExternalData_1" localSheetId="3" hidden="1">'Рудник для сводной '!$A$1:$P$249</definedName>
  </definedNames>
  <calcPr calcId="191029"/>
  <pivotCaches>
    <pivotCache cacheId="6" r:id="rId9"/>
    <pivotCache cacheId="1" r:id="rId10"/>
    <pivotCache cacheId="2" r:id="rId11"/>
    <pivotCache cacheId="3" r:id="rId12"/>
    <pivotCache cacheId="4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0" i="2" l="1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S59" i="4" l="1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58" i="4"/>
  <c r="H58" i="4" l="1"/>
  <c r="G59" i="4"/>
  <c r="G60" i="4"/>
  <c r="G61" i="4"/>
  <c r="G62" i="4"/>
  <c r="G63" i="4"/>
  <c r="G64" i="4"/>
  <c r="G65" i="4"/>
  <c r="G58" i="4"/>
  <c r="F59" i="4"/>
  <c r="F60" i="4"/>
  <c r="F61" i="4"/>
  <c r="F62" i="4"/>
  <c r="F63" i="4"/>
  <c r="F64" i="4"/>
  <c r="F65" i="4"/>
  <c r="F58" i="4"/>
  <c r="E59" i="4"/>
  <c r="E60" i="4"/>
  <c r="E61" i="4"/>
  <c r="E62" i="4"/>
  <c r="E63" i="4"/>
  <c r="E64" i="4"/>
  <c r="E65" i="4"/>
  <c r="E58" i="4"/>
  <c r="D59" i="4"/>
  <c r="D60" i="4"/>
  <c r="D61" i="4"/>
  <c r="D62" i="4"/>
  <c r="D63" i="4"/>
  <c r="D64" i="4"/>
  <c r="D65" i="4"/>
  <c r="D58" i="4"/>
  <c r="C59" i="4"/>
  <c r="C60" i="4"/>
  <c r="C61" i="4"/>
  <c r="C62" i="4"/>
  <c r="C63" i="4"/>
  <c r="C64" i="4"/>
  <c r="C65" i="4"/>
  <c r="C58" i="4"/>
  <c r="B59" i="4"/>
  <c r="B60" i="4"/>
  <c r="B61" i="4"/>
  <c r="B62" i="4"/>
  <c r="B63" i="4"/>
  <c r="B64" i="4"/>
  <c r="B65" i="4"/>
  <c r="B58" i="4"/>
  <c r="L246" i="1"/>
  <c r="L247" i="1"/>
  <c r="L248" i="1"/>
  <c r="L249" i="1"/>
  <c r="L250" i="1"/>
  <c r="L251" i="1"/>
  <c r="L252" i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7" i="2"/>
  <c r="C112" i="5" l="1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3" i="5"/>
  <c r="C82" i="5"/>
  <c r="C81" i="5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3" i="4"/>
  <c r="C82" i="4"/>
  <c r="C81" i="4"/>
  <c r="A5" i="4" l="1"/>
  <c r="A5" i="5"/>
  <c r="A6" i="5" s="1"/>
  <c r="A6" i="4" l="1"/>
  <c r="N5" i="4"/>
  <c r="H5" i="4"/>
  <c r="B5" i="4"/>
  <c r="E5" i="4"/>
  <c r="H6" i="5"/>
  <c r="E6" i="5"/>
  <c r="N6" i="5"/>
  <c r="B6" i="5"/>
  <c r="D6" i="5"/>
  <c r="A7" i="5"/>
  <c r="D5" i="5"/>
  <c r="N5" i="5"/>
  <c r="B5" i="5"/>
  <c r="E5" i="5"/>
  <c r="H5" i="5"/>
  <c r="C84" i="4"/>
  <c r="P59" i="4"/>
  <c r="P60" i="4"/>
  <c r="P61" i="4"/>
  <c r="P62" i="4"/>
  <c r="P63" i="4"/>
  <c r="P64" i="4"/>
  <c r="P65" i="4"/>
  <c r="P58" i="4"/>
  <c r="O59" i="4"/>
  <c r="O60" i="4"/>
  <c r="O61" i="4"/>
  <c r="O62" i="4"/>
  <c r="O63" i="4"/>
  <c r="O64" i="4"/>
  <c r="O65" i="4"/>
  <c r="O58" i="4"/>
  <c r="N59" i="4"/>
  <c r="N60" i="4"/>
  <c r="N61" i="4"/>
  <c r="N62" i="4"/>
  <c r="N63" i="4"/>
  <c r="N64" i="4"/>
  <c r="N65" i="4"/>
  <c r="N58" i="4"/>
  <c r="M59" i="4"/>
  <c r="M60" i="4"/>
  <c r="M61" i="4"/>
  <c r="M62" i="4"/>
  <c r="M63" i="4"/>
  <c r="M64" i="4"/>
  <c r="M65" i="4"/>
  <c r="M58" i="4"/>
  <c r="L59" i="4"/>
  <c r="L60" i="4"/>
  <c r="L61" i="4"/>
  <c r="L62" i="4"/>
  <c r="L63" i="4"/>
  <c r="L64" i="4"/>
  <c r="L65" i="4"/>
  <c r="L58" i="4"/>
  <c r="K59" i="4"/>
  <c r="K60" i="4"/>
  <c r="K61" i="4"/>
  <c r="K62" i="4"/>
  <c r="K63" i="4"/>
  <c r="K64" i="4"/>
  <c r="K65" i="4"/>
  <c r="K58" i="4"/>
  <c r="J59" i="4"/>
  <c r="J60" i="4"/>
  <c r="J61" i="4"/>
  <c r="J62" i="4"/>
  <c r="J63" i="4"/>
  <c r="J64" i="4"/>
  <c r="J65" i="4"/>
  <c r="J58" i="4"/>
  <c r="I59" i="4"/>
  <c r="I60" i="4"/>
  <c r="I61" i="4"/>
  <c r="I62" i="4"/>
  <c r="I63" i="4"/>
  <c r="I64" i="4"/>
  <c r="I65" i="4"/>
  <c r="I58" i="4"/>
  <c r="H59" i="4"/>
  <c r="H60" i="4"/>
  <c r="H61" i="4"/>
  <c r="H62" i="4"/>
  <c r="H63" i="4"/>
  <c r="H64" i="4"/>
  <c r="H65" i="4"/>
  <c r="AH52" i="4"/>
  <c r="AH51" i="4"/>
  <c r="AH50" i="4"/>
  <c r="AH49" i="4"/>
  <c r="AH48" i="4"/>
  <c r="AH47" i="4"/>
  <c r="AH46" i="4"/>
  <c r="AH45" i="4"/>
  <c r="AF52" i="4"/>
  <c r="AG52" i="4" s="1"/>
  <c r="AD52" i="4"/>
  <c r="AE52" i="4" s="1"/>
  <c r="AB52" i="4"/>
  <c r="AC52" i="4" s="1"/>
  <c r="Z52" i="4"/>
  <c r="AA52" i="4" s="1"/>
  <c r="X52" i="4"/>
  <c r="Y52" i="4" s="1"/>
  <c r="V52" i="4"/>
  <c r="W52" i="4" s="1"/>
  <c r="T52" i="4"/>
  <c r="U52" i="4" s="1"/>
  <c r="R52" i="4"/>
  <c r="S52" i="4" s="1"/>
  <c r="P52" i="4"/>
  <c r="Q52" i="4" s="1"/>
  <c r="N52" i="4"/>
  <c r="O52" i="4" s="1"/>
  <c r="L52" i="4"/>
  <c r="M52" i="4" s="1"/>
  <c r="J52" i="4"/>
  <c r="K52" i="4" s="1"/>
  <c r="AF51" i="4"/>
  <c r="AG51" i="4" s="1"/>
  <c r="AD51" i="4"/>
  <c r="AE51" i="4" s="1"/>
  <c r="AB51" i="4"/>
  <c r="AC51" i="4" s="1"/>
  <c r="Z51" i="4"/>
  <c r="AA51" i="4" s="1"/>
  <c r="X51" i="4"/>
  <c r="Y51" i="4" s="1"/>
  <c r="V51" i="4"/>
  <c r="W51" i="4" s="1"/>
  <c r="T51" i="4"/>
  <c r="U51" i="4" s="1"/>
  <c r="R51" i="4"/>
  <c r="S51" i="4" s="1"/>
  <c r="P51" i="4"/>
  <c r="Q51" i="4" s="1"/>
  <c r="N51" i="4"/>
  <c r="O51" i="4" s="1"/>
  <c r="L51" i="4"/>
  <c r="M51" i="4" s="1"/>
  <c r="J51" i="4"/>
  <c r="K51" i="4" s="1"/>
  <c r="AF50" i="4"/>
  <c r="AG50" i="4" s="1"/>
  <c r="AD50" i="4"/>
  <c r="AE50" i="4" s="1"/>
  <c r="AB50" i="4"/>
  <c r="AC50" i="4" s="1"/>
  <c r="Z50" i="4"/>
  <c r="AA50" i="4" s="1"/>
  <c r="X50" i="4"/>
  <c r="Y50" i="4" s="1"/>
  <c r="V50" i="4"/>
  <c r="W50" i="4" s="1"/>
  <c r="T50" i="4"/>
  <c r="U50" i="4" s="1"/>
  <c r="R50" i="4"/>
  <c r="S50" i="4" s="1"/>
  <c r="P50" i="4"/>
  <c r="Q50" i="4" s="1"/>
  <c r="N50" i="4"/>
  <c r="O50" i="4" s="1"/>
  <c r="L50" i="4"/>
  <c r="M50" i="4" s="1"/>
  <c r="J50" i="4"/>
  <c r="K50" i="4" s="1"/>
  <c r="AF49" i="4"/>
  <c r="AG49" i="4" s="1"/>
  <c r="AD49" i="4"/>
  <c r="AE49" i="4" s="1"/>
  <c r="AB49" i="4"/>
  <c r="AC49" i="4" s="1"/>
  <c r="Z49" i="4"/>
  <c r="AA49" i="4" s="1"/>
  <c r="X49" i="4"/>
  <c r="Y49" i="4" s="1"/>
  <c r="V49" i="4"/>
  <c r="W49" i="4" s="1"/>
  <c r="T49" i="4"/>
  <c r="U49" i="4" s="1"/>
  <c r="R49" i="4"/>
  <c r="S49" i="4" s="1"/>
  <c r="P49" i="4"/>
  <c r="Q49" i="4" s="1"/>
  <c r="N49" i="4"/>
  <c r="O49" i="4" s="1"/>
  <c r="L49" i="4"/>
  <c r="M49" i="4" s="1"/>
  <c r="J49" i="4"/>
  <c r="K49" i="4" s="1"/>
  <c r="AF48" i="4"/>
  <c r="AG48" i="4" s="1"/>
  <c r="AD48" i="4"/>
  <c r="AE48" i="4" s="1"/>
  <c r="AB48" i="4"/>
  <c r="AC48" i="4" s="1"/>
  <c r="Z48" i="4"/>
  <c r="AA48" i="4" s="1"/>
  <c r="X48" i="4"/>
  <c r="Y48" i="4" s="1"/>
  <c r="V48" i="4"/>
  <c r="W48" i="4" s="1"/>
  <c r="T48" i="4"/>
  <c r="U48" i="4" s="1"/>
  <c r="R48" i="4"/>
  <c r="S48" i="4" s="1"/>
  <c r="P48" i="4"/>
  <c r="Q48" i="4" s="1"/>
  <c r="N48" i="4"/>
  <c r="O48" i="4" s="1"/>
  <c r="L48" i="4"/>
  <c r="M48" i="4" s="1"/>
  <c r="J48" i="4"/>
  <c r="K48" i="4" s="1"/>
  <c r="AF47" i="4"/>
  <c r="AG47" i="4" s="1"/>
  <c r="AD47" i="4"/>
  <c r="AE47" i="4" s="1"/>
  <c r="AB47" i="4"/>
  <c r="AC47" i="4" s="1"/>
  <c r="Z47" i="4"/>
  <c r="AA47" i="4" s="1"/>
  <c r="X47" i="4"/>
  <c r="Y47" i="4" s="1"/>
  <c r="V47" i="4"/>
  <c r="W47" i="4" s="1"/>
  <c r="T47" i="4"/>
  <c r="U47" i="4" s="1"/>
  <c r="R47" i="4"/>
  <c r="S47" i="4" s="1"/>
  <c r="P47" i="4"/>
  <c r="Q47" i="4" s="1"/>
  <c r="N47" i="4"/>
  <c r="O47" i="4" s="1"/>
  <c r="L47" i="4"/>
  <c r="M47" i="4" s="1"/>
  <c r="J47" i="4"/>
  <c r="K47" i="4" s="1"/>
  <c r="AF46" i="4"/>
  <c r="AG46" i="4" s="1"/>
  <c r="AD46" i="4"/>
  <c r="AE46" i="4" s="1"/>
  <c r="AB46" i="4"/>
  <c r="AC46" i="4" s="1"/>
  <c r="Z46" i="4"/>
  <c r="AA46" i="4" s="1"/>
  <c r="X46" i="4"/>
  <c r="Y46" i="4" s="1"/>
  <c r="V46" i="4"/>
  <c r="W46" i="4" s="1"/>
  <c r="T46" i="4"/>
  <c r="U46" i="4" s="1"/>
  <c r="R46" i="4"/>
  <c r="S46" i="4" s="1"/>
  <c r="P46" i="4"/>
  <c r="Q46" i="4" s="1"/>
  <c r="N46" i="4"/>
  <c r="O46" i="4" s="1"/>
  <c r="L46" i="4"/>
  <c r="M46" i="4" s="1"/>
  <c r="J46" i="4"/>
  <c r="K46" i="4" s="1"/>
  <c r="AF45" i="4"/>
  <c r="AG45" i="4" s="1"/>
  <c r="AG54" i="4" s="1"/>
  <c r="AD45" i="4"/>
  <c r="AE45" i="4" s="1"/>
  <c r="AB45" i="4"/>
  <c r="AC45" i="4" s="1"/>
  <c r="AC54" i="4" s="1"/>
  <c r="Z45" i="4"/>
  <c r="AA45" i="4" s="1"/>
  <c r="X45" i="4"/>
  <c r="Y45" i="4" s="1"/>
  <c r="V45" i="4"/>
  <c r="W45" i="4" s="1"/>
  <c r="T45" i="4"/>
  <c r="U45" i="4" s="1"/>
  <c r="R45" i="4"/>
  <c r="S45" i="4" s="1"/>
  <c r="P45" i="4"/>
  <c r="Q45" i="4" s="1"/>
  <c r="Q54" i="4" s="1"/>
  <c r="N45" i="4"/>
  <c r="N54" i="4" s="1"/>
  <c r="L45" i="4"/>
  <c r="M45" i="4" s="1"/>
  <c r="J45" i="4"/>
  <c r="K45" i="4" s="1"/>
  <c r="H46" i="4"/>
  <c r="H47" i="4"/>
  <c r="H48" i="4"/>
  <c r="H49" i="4"/>
  <c r="H50" i="4"/>
  <c r="H51" i="4"/>
  <c r="H52" i="4"/>
  <c r="H45" i="4"/>
  <c r="B46" i="4"/>
  <c r="C46" i="4" s="1"/>
  <c r="B47" i="4"/>
  <c r="C47" i="4" s="1"/>
  <c r="B48" i="4"/>
  <c r="C48" i="4" s="1"/>
  <c r="B49" i="4"/>
  <c r="C49" i="4" s="1"/>
  <c r="B50" i="4"/>
  <c r="C50" i="4" s="1"/>
  <c r="B51" i="4"/>
  <c r="B52" i="4"/>
  <c r="C52" i="4" s="1"/>
  <c r="B45" i="4"/>
  <c r="C45" i="4" s="1"/>
  <c r="E66" i="4"/>
  <c r="AF54" i="4"/>
  <c r="C84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R54" i="4" l="1"/>
  <c r="Z54" i="4"/>
  <c r="A7" i="4"/>
  <c r="E6" i="4"/>
  <c r="B6" i="4"/>
  <c r="H6" i="4"/>
  <c r="N6" i="4"/>
  <c r="B66" i="4"/>
  <c r="F66" i="4"/>
  <c r="A8" i="5"/>
  <c r="E7" i="5"/>
  <c r="D7" i="5"/>
  <c r="H7" i="5"/>
  <c r="N7" i="5"/>
  <c r="B7" i="5"/>
  <c r="P54" i="4"/>
  <c r="V54" i="4"/>
  <c r="D66" i="4"/>
  <c r="C66" i="4"/>
  <c r="G66" i="4"/>
  <c r="P66" i="4"/>
  <c r="O66" i="4"/>
  <c r="N66" i="4"/>
  <c r="M66" i="4"/>
  <c r="L66" i="4"/>
  <c r="K66" i="4"/>
  <c r="J66" i="4"/>
  <c r="I66" i="4"/>
  <c r="H66" i="4"/>
  <c r="AH54" i="4"/>
  <c r="J54" i="4"/>
  <c r="X54" i="4"/>
  <c r="AD54" i="4"/>
  <c r="O45" i="4"/>
  <c r="O54" i="4" s="1"/>
  <c r="L53" i="4"/>
  <c r="T53" i="4"/>
  <c r="AB53" i="4"/>
  <c r="B54" i="4"/>
  <c r="U54" i="4"/>
  <c r="Y54" i="4"/>
  <c r="N53" i="4"/>
  <c r="V53" i="4"/>
  <c r="AD53" i="4"/>
  <c r="H53" i="4"/>
  <c r="P53" i="4"/>
  <c r="X53" i="4"/>
  <c r="AF53" i="4"/>
  <c r="H54" i="4"/>
  <c r="L54" i="4"/>
  <c r="T54" i="4"/>
  <c r="AB54" i="4"/>
  <c r="M54" i="4"/>
  <c r="B53" i="4"/>
  <c r="J53" i="4"/>
  <c r="R53" i="4"/>
  <c r="Z53" i="4"/>
  <c r="AH53" i="4"/>
  <c r="K54" i="4"/>
  <c r="S54" i="4"/>
  <c r="W54" i="4"/>
  <c r="AA54" i="4"/>
  <c r="AE54" i="4"/>
  <c r="A8" i="4" l="1"/>
  <c r="B7" i="4"/>
  <c r="N7" i="4"/>
  <c r="E7" i="4"/>
  <c r="H7" i="4"/>
  <c r="A9" i="5"/>
  <c r="D8" i="5"/>
  <c r="N8" i="5"/>
  <c r="B8" i="5"/>
  <c r="E8" i="5"/>
  <c r="H8" i="5"/>
  <c r="P59" i="5"/>
  <c r="P60" i="5"/>
  <c r="P61" i="5"/>
  <c r="P62" i="5"/>
  <c r="P63" i="5"/>
  <c r="P64" i="5"/>
  <c r="P65" i="5"/>
  <c r="P58" i="5"/>
  <c r="O59" i="5"/>
  <c r="O60" i="5"/>
  <c r="O61" i="5"/>
  <c r="O62" i="5"/>
  <c r="O63" i="5"/>
  <c r="O64" i="5"/>
  <c r="O65" i="5"/>
  <c r="O58" i="5"/>
  <c r="N59" i="5"/>
  <c r="N60" i="5"/>
  <c r="N61" i="5"/>
  <c r="N62" i="5"/>
  <c r="N63" i="5"/>
  <c r="N64" i="5"/>
  <c r="N65" i="5"/>
  <c r="N58" i="5"/>
  <c r="M59" i="5"/>
  <c r="M60" i="5"/>
  <c r="M61" i="5"/>
  <c r="M62" i="5"/>
  <c r="M63" i="5"/>
  <c r="M64" i="5"/>
  <c r="M65" i="5"/>
  <c r="M58" i="5"/>
  <c r="L59" i="5"/>
  <c r="L60" i="5"/>
  <c r="L61" i="5"/>
  <c r="L62" i="5"/>
  <c r="L63" i="5"/>
  <c r="L64" i="5"/>
  <c r="L65" i="5"/>
  <c r="L58" i="5"/>
  <c r="K59" i="5"/>
  <c r="K60" i="5"/>
  <c r="K61" i="5"/>
  <c r="K62" i="5"/>
  <c r="K63" i="5"/>
  <c r="K64" i="5"/>
  <c r="K65" i="5"/>
  <c r="K58" i="5"/>
  <c r="J59" i="5"/>
  <c r="J60" i="5"/>
  <c r="J61" i="5"/>
  <c r="J62" i="5"/>
  <c r="J63" i="5"/>
  <c r="J64" i="5"/>
  <c r="J65" i="5"/>
  <c r="J58" i="5"/>
  <c r="I59" i="5"/>
  <c r="I60" i="5"/>
  <c r="I61" i="5"/>
  <c r="I62" i="5"/>
  <c r="I63" i="5"/>
  <c r="I64" i="5"/>
  <c r="I65" i="5"/>
  <c r="I58" i="5"/>
  <c r="H59" i="5"/>
  <c r="H60" i="5"/>
  <c r="H61" i="5"/>
  <c r="H62" i="5"/>
  <c r="H63" i="5"/>
  <c r="H64" i="5"/>
  <c r="H65" i="5"/>
  <c r="H58" i="5"/>
  <c r="G59" i="5"/>
  <c r="G60" i="5"/>
  <c r="G61" i="5"/>
  <c r="G62" i="5"/>
  <c r="G63" i="5"/>
  <c r="G64" i="5"/>
  <c r="G65" i="5"/>
  <c r="G58" i="5"/>
  <c r="F59" i="5"/>
  <c r="F60" i="5"/>
  <c r="F61" i="5"/>
  <c r="F62" i="5"/>
  <c r="F63" i="5"/>
  <c r="F64" i="5"/>
  <c r="F65" i="5"/>
  <c r="F58" i="5"/>
  <c r="E59" i="5"/>
  <c r="E60" i="5"/>
  <c r="E61" i="5"/>
  <c r="E62" i="5"/>
  <c r="E63" i="5"/>
  <c r="E64" i="5"/>
  <c r="E65" i="5"/>
  <c r="E58" i="5"/>
  <c r="D59" i="5"/>
  <c r="D60" i="5"/>
  <c r="D61" i="5"/>
  <c r="D62" i="5"/>
  <c r="D63" i="5"/>
  <c r="D64" i="5"/>
  <c r="D65" i="5"/>
  <c r="D58" i="5"/>
  <c r="C59" i="5"/>
  <c r="C60" i="5"/>
  <c r="C61" i="5"/>
  <c r="C62" i="5"/>
  <c r="C63" i="5"/>
  <c r="C64" i="5"/>
  <c r="C65" i="5"/>
  <c r="C58" i="5"/>
  <c r="B59" i="5"/>
  <c r="B60" i="5"/>
  <c r="B61" i="5"/>
  <c r="B62" i="5"/>
  <c r="B63" i="5"/>
  <c r="B64" i="5"/>
  <c r="B65" i="5"/>
  <c r="B58" i="5"/>
  <c r="H46" i="5"/>
  <c r="I46" i="5" s="1"/>
  <c r="H47" i="5"/>
  <c r="I47" i="5" s="1"/>
  <c r="H48" i="5"/>
  <c r="I48" i="5" s="1"/>
  <c r="H49" i="5"/>
  <c r="I49" i="5" s="1"/>
  <c r="H50" i="5"/>
  <c r="I50" i="5" s="1"/>
  <c r="H51" i="5"/>
  <c r="I51" i="5" s="1"/>
  <c r="H52" i="5"/>
  <c r="I52" i="5" s="1"/>
  <c r="J46" i="5"/>
  <c r="K46" i="5" s="1"/>
  <c r="J47" i="5"/>
  <c r="K47" i="5" s="1"/>
  <c r="J48" i="5"/>
  <c r="K48" i="5" s="1"/>
  <c r="J49" i="5"/>
  <c r="K49" i="5" s="1"/>
  <c r="J50" i="5"/>
  <c r="K50" i="5" s="1"/>
  <c r="J51" i="5"/>
  <c r="K51" i="5" s="1"/>
  <c r="J52" i="5"/>
  <c r="K52" i="5" s="1"/>
  <c r="L46" i="5"/>
  <c r="M46" i="5" s="1"/>
  <c r="L47" i="5"/>
  <c r="M47" i="5" s="1"/>
  <c r="L48" i="5"/>
  <c r="M48" i="5" s="1"/>
  <c r="L49" i="5"/>
  <c r="M49" i="5" s="1"/>
  <c r="L50" i="5"/>
  <c r="M50" i="5" s="1"/>
  <c r="L51" i="5"/>
  <c r="M51" i="5" s="1"/>
  <c r="L52" i="5"/>
  <c r="M52" i="5" s="1"/>
  <c r="N46" i="5"/>
  <c r="O46" i="5" s="1"/>
  <c r="N47" i="5"/>
  <c r="O47" i="5" s="1"/>
  <c r="N48" i="5"/>
  <c r="O48" i="5" s="1"/>
  <c r="N49" i="5"/>
  <c r="O49" i="5" s="1"/>
  <c r="N50" i="5"/>
  <c r="O50" i="5" s="1"/>
  <c r="N51" i="5"/>
  <c r="O51" i="5" s="1"/>
  <c r="N52" i="5"/>
  <c r="O52" i="5" s="1"/>
  <c r="P46" i="5"/>
  <c r="Q46" i="5" s="1"/>
  <c r="P47" i="5"/>
  <c r="Q47" i="5" s="1"/>
  <c r="P48" i="5"/>
  <c r="Q48" i="5" s="1"/>
  <c r="P49" i="5"/>
  <c r="Q49" i="5" s="1"/>
  <c r="P50" i="5"/>
  <c r="Q50" i="5" s="1"/>
  <c r="P51" i="5"/>
  <c r="Q51" i="5" s="1"/>
  <c r="P52" i="5"/>
  <c r="Q52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T46" i="5"/>
  <c r="U46" i="5" s="1"/>
  <c r="T47" i="5"/>
  <c r="U47" i="5" s="1"/>
  <c r="T48" i="5"/>
  <c r="U48" i="5" s="1"/>
  <c r="T49" i="5"/>
  <c r="U49" i="5" s="1"/>
  <c r="T50" i="5"/>
  <c r="U50" i="5" s="1"/>
  <c r="T51" i="5"/>
  <c r="U51" i="5" s="1"/>
  <c r="T52" i="5"/>
  <c r="U52" i="5" s="1"/>
  <c r="V46" i="5"/>
  <c r="W46" i="5" s="1"/>
  <c r="V47" i="5"/>
  <c r="W47" i="5" s="1"/>
  <c r="V48" i="5"/>
  <c r="W48" i="5" s="1"/>
  <c r="V49" i="5"/>
  <c r="W49" i="5" s="1"/>
  <c r="V50" i="5"/>
  <c r="W50" i="5" s="1"/>
  <c r="V51" i="5"/>
  <c r="W51" i="5" s="1"/>
  <c r="V52" i="5"/>
  <c r="W52" i="5" s="1"/>
  <c r="X46" i="5"/>
  <c r="Y46" i="5" s="1"/>
  <c r="X47" i="5"/>
  <c r="Y47" i="5" s="1"/>
  <c r="X48" i="5"/>
  <c r="Y48" i="5" s="1"/>
  <c r="X49" i="5"/>
  <c r="Y49" i="5" s="1"/>
  <c r="X50" i="5"/>
  <c r="Y50" i="5" s="1"/>
  <c r="X51" i="5"/>
  <c r="Y51" i="5" s="1"/>
  <c r="X52" i="5"/>
  <c r="Y52" i="5" s="1"/>
  <c r="Z46" i="5"/>
  <c r="AA46" i="5" s="1"/>
  <c r="Z47" i="5"/>
  <c r="AA47" i="5" s="1"/>
  <c r="Z48" i="5"/>
  <c r="AA48" i="5" s="1"/>
  <c r="Z49" i="5"/>
  <c r="AA49" i="5" s="1"/>
  <c r="Z50" i="5"/>
  <c r="AA50" i="5" s="1"/>
  <c r="Z51" i="5"/>
  <c r="AA51" i="5" s="1"/>
  <c r="Z52" i="5"/>
  <c r="AA52" i="5" s="1"/>
  <c r="AB46" i="5"/>
  <c r="AC46" i="5" s="1"/>
  <c r="AB47" i="5"/>
  <c r="AC47" i="5" s="1"/>
  <c r="AB48" i="5"/>
  <c r="AC48" i="5" s="1"/>
  <c r="AB49" i="5"/>
  <c r="AC49" i="5" s="1"/>
  <c r="AB50" i="5"/>
  <c r="AC50" i="5" s="1"/>
  <c r="AB51" i="5"/>
  <c r="AC51" i="5" s="1"/>
  <c r="AB52" i="5"/>
  <c r="AC52" i="5" s="1"/>
  <c r="AD46" i="5"/>
  <c r="AE46" i="5" s="1"/>
  <c r="AD47" i="5"/>
  <c r="AE47" i="5" s="1"/>
  <c r="AD48" i="5"/>
  <c r="AE48" i="5" s="1"/>
  <c r="AD49" i="5"/>
  <c r="AE49" i="5" s="1"/>
  <c r="AD50" i="5"/>
  <c r="AE50" i="5" s="1"/>
  <c r="AD51" i="5"/>
  <c r="AE51" i="5" s="1"/>
  <c r="AD52" i="5"/>
  <c r="AE52" i="5" s="1"/>
  <c r="AF46" i="5"/>
  <c r="AG46" i="5" s="1"/>
  <c r="AF47" i="5"/>
  <c r="AG47" i="5" s="1"/>
  <c r="AF48" i="5"/>
  <c r="AG48" i="5" s="1"/>
  <c r="AF49" i="5"/>
  <c r="AG49" i="5" s="1"/>
  <c r="AF50" i="5"/>
  <c r="AG50" i="5" s="1"/>
  <c r="AF51" i="5"/>
  <c r="AG51" i="5" s="1"/>
  <c r="AF52" i="5"/>
  <c r="AG52" i="5" s="1"/>
  <c r="AH46" i="5"/>
  <c r="AH47" i="5"/>
  <c r="AH48" i="5"/>
  <c r="AH49" i="5"/>
  <c r="AH50" i="5"/>
  <c r="AH51" i="5"/>
  <c r="AH52" i="5"/>
  <c r="AH45" i="5"/>
  <c r="AF45" i="5"/>
  <c r="AG45" i="5" s="1"/>
  <c r="AD45" i="5"/>
  <c r="AE45" i="5" s="1"/>
  <c r="AB45" i="5"/>
  <c r="AC45" i="5" s="1"/>
  <c r="Z45" i="5"/>
  <c r="AA45" i="5" s="1"/>
  <c r="X45" i="5"/>
  <c r="Y45" i="5" s="1"/>
  <c r="V45" i="5"/>
  <c r="W45" i="5" s="1"/>
  <c r="T45" i="5"/>
  <c r="U45" i="5" s="1"/>
  <c r="R45" i="5"/>
  <c r="S45" i="5" s="1"/>
  <c r="S54" i="5" s="1"/>
  <c r="P45" i="5"/>
  <c r="Q45" i="5" s="1"/>
  <c r="N45" i="5"/>
  <c r="O45" i="5" s="1"/>
  <c r="L45" i="5"/>
  <c r="M45" i="5" s="1"/>
  <c r="J45" i="5"/>
  <c r="K45" i="5" s="1"/>
  <c r="K54" i="5" s="1"/>
  <c r="H45" i="5"/>
  <c r="I45" i="5" s="1"/>
  <c r="F46" i="5"/>
  <c r="G46" i="5" s="1"/>
  <c r="F47" i="5"/>
  <c r="G47" i="5" s="1"/>
  <c r="F48" i="5"/>
  <c r="G48" i="5" s="1"/>
  <c r="F49" i="5"/>
  <c r="G49" i="5" s="1"/>
  <c r="F50" i="5"/>
  <c r="G50" i="5" s="1"/>
  <c r="F51" i="5"/>
  <c r="G51" i="5" s="1"/>
  <c r="F52" i="5"/>
  <c r="G52" i="5" s="1"/>
  <c r="F45" i="5"/>
  <c r="G45" i="5" s="1"/>
  <c r="D46" i="5"/>
  <c r="E46" i="5" s="1"/>
  <c r="D47" i="5"/>
  <c r="E47" i="5" s="1"/>
  <c r="D48" i="5"/>
  <c r="E48" i="5" s="1"/>
  <c r="D49" i="5"/>
  <c r="E49" i="5" s="1"/>
  <c r="D50" i="5"/>
  <c r="E50" i="5" s="1"/>
  <c r="D51" i="5"/>
  <c r="E51" i="5" s="1"/>
  <c r="D52" i="5"/>
  <c r="E52" i="5" s="1"/>
  <c r="B46" i="5"/>
  <c r="C46" i="5" s="1"/>
  <c r="B47" i="5"/>
  <c r="C47" i="5" s="1"/>
  <c r="B48" i="5"/>
  <c r="C48" i="5" s="1"/>
  <c r="B49" i="5"/>
  <c r="C49" i="5" s="1"/>
  <c r="B50" i="5"/>
  <c r="C50" i="5" s="1"/>
  <c r="B51" i="5"/>
  <c r="C51" i="5" s="1"/>
  <c r="B52" i="5"/>
  <c r="C52" i="5" s="1"/>
  <c r="B45" i="5"/>
  <c r="C45" i="5" s="1"/>
  <c r="D45" i="5"/>
  <c r="E45" i="5" s="1"/>
  <c r="J6" i="5" a="1"/>
  <c r="J6" i="5" s="1"/>
  <c r="J7" i="5" a="1"/>
  <c r="J7" i="5" s="1"/>
  <c r="J8" i="5" a="1"/>
  <c r="J8" i="5" s="1"/>
  <c r="J9" i="5" a="1"/>
  <c r="J9" i="5" s="1"/>
  <c r="I6" i="5" a="1"/>
  <c r="I6" i="5" s="1"/>
  <c r="I7" i="5" a="1"/>
  <c r="I7" i="5" s="1"/>
  <c r="I8" i="5" a="1"/>
  <c r="I8" i="5" s="1"/>
  <c r="I9" i="5" a="1"/>
  <c r="I9" i="5" s="1"/>
  <c r="J5" i="5" a="1"/>
  <c r="J5" i="5" s="1"/>
  <c r="I5" i="5" a="1"/>
  <c r="I5" i="5" s="1"/>
  <c r="M6" i="2"/>
  <c r="A9" i="4" l="1"/>
  <c r="N8" i="4"/>
  <c r="H8" i="4"/>
  <c r="B8" i="4"/>
  <c r="E8" i="4"/>
  <c r="A10" i="5"/>
  <c r="N9" i="5"/>
  <c r="B9" i="5"/>
  <c r="H9" i="5"/>
  <c r="D9" i="5"/>
  <c r="E9" i="5"/>
  <c r="I54" i="5"/>
  <c r="Q54" i="5"/>
  <c r="M54" i="5"/>
  <c r="U54" i="5"/>
  <c r="O54" i="5"/>
  <c r="W54" i="5"/>
  <c r="AC54" i="5"/>
  <c r="Y54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AE54" i="5"/>
  <c r="E54" i="5"/>
  <c r="G54" i="5"/>
  <c r="AG54" i="5"/>
  <c r="C54" i="5"/>
  <c r="AA54" i="5"/>
  <c r="B66" i="5"/>
  <c r="D53" i="5"/>
  <c r="F53" i="5"/>
  <c r="AB54" i="5"/>
  <c r="H54" i="5"/>
  <c r="J53" i="5"/>
  <c r="L54" i="5"/>
  <c r="N53" i="5"/>
  <c r="P54" i="5"/>
  <c r="R53" i="5"/>
  <c r="T54" i="5"/>
  <c r="V53" i="5"/>
  <c r="X54" i="5"/>
  <c r="Z53" i="5"/>
  <c r="AD54" i="5"/>
  <c r="AF54" i="5"/>
  <c r="AH54" i="5"/>
  <c r="AH53" i="5"/>
  <c r="AF53" i="5"/>
  <c r="AD53" i="5"/>
  <c r="AB53" i="5"/>
  <c r="Z54" i="5"/>
  <c r="X53" i="5"/>
  <c r="V54" i="5"/>
  <c r="T53" i="5"/>
  <c r="R54" i="5"/>
  <c r="P53" i="5"/>
  <c r="N54" i="5"/>
  <c r="L53" i="5"/>
  <c r="J54" i="5"/>
  <c r="H53" i="5"/>
  <c r="B54" i="5"/>
  <c r="D54" i="5"/>
  <c r="B53" i="5"/>
  <c r="M7" i="2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M196" i="2" s="1"/>
  <c r="M197" i="2" s="1"/>
  <c r="M198" i="2" s="1"/>
  <c r="M199" i="2" s="1"/>
  <c r="M200" i="2" s="1"/>
  <c r="M201" i="2" s="1"/>
  <c r="M202" i="2" s="1"/>
  <c r="M203" i="2" s="1"/>
  <c r="M204" i="2" s="1"/>
  <c r="M205" i="2" s="1"/>
  <c r="M206" i="2" s="1"/>
  <c r="M207" i="2" s="1"/>
  <c r="M208" i="2" s="1"/>
  <c r="M209" i="2" s="1"/>
  <c r="M210" i="2" s="1"/>
  <c r="M211" i="2" s="1"/>
  <c r="M212" i="2" s="1"/>
  <c r="M213" i="2" s="1"/>
  <c r="M214" i="2" s="1"/>
  <c r="M215" i="2" s="1"/>
  <c r="M216" i="2" s="1"/>
  <c r="M217" i="2" s="1"/>
  <c r="M218" i="2" s="1"/>
  <c r="M219" i="2" s="1"/>
  <c r="M220" i="2" s="1"/>
  <c r="M221" i="2" s="1"/>
  <c r="M222" i="2" s="1"/>
  <c r="M223" i="2" s="1"/>
  <c r="M224" i="2" s="1"/>
  <c r="M225" i="2" s="1"/>
  <c r="M226" i="2" s="1"/>
  <c r="M227" i="2" s="1"/>
  <c r="M228" i="2" s="1"/>
  <c r="M229" i="2" s="1"/>
  <c r="M230" i="2" s="1"/>
  <c r="M231" i="2" s="1"/>
  <c r="M232" i="2" s="1"/>
  <c r="M233" i="2" s="1"/>
  <c r="M234" i="2" s="1"/>
  <c r="M235" i="2" s="1"/>
  <c r="M236" i="2" s="1"/>
  <c r="M237" i="2" s="1"/>
  <c r="M238" i="2" s="1"/>
  <c r="M239" i="2" s="1"/>
  <c r="M240" i="2" s="1"/>
  <c r="M241" i="2" s="1"/>
  <c r="M242" i="2" s="1"/>
  <c r="M243" i="2" s="1"/>
  <c r="M244" i="2" s="1"/>
  <c r="M245" i="2" s="1"/>
  <c r="M246" i="2" s="1"/>
  <c r="M247" i="2" s="1"/>
  <c r="M248" i="2" s="1"/>
  <c r="M249" i="2" s="1"/>
  <c r="M250" i="2" s="1"/>
  <c r="M251" i="2" s="1"/>
  <c r="M252" i="2" s="1"/>
  <c r="M253" i="2" s="1"/>
  <c r="M8" i="5" a="1"/>
  <c r="M8" i="5" s="1"/>
  <c r="M10" i="5" a="1"/>
  <c r="M10" i="5" s="1"/>
  <c r="M9" i="5" a="1"/>
  <c r="M9" i="5" s="1"/>
  <c r="M7" i="5" a="1"/>
  <c r="M7" i="5" s="1"/>
  <c r="M6" i="5" a="1"/>
  <c r="M6" i="5" s="1"/>
  <c r="L10" i="5" a="1"/>
  <c r="L10" i="5" s="1"/>
  <c r="L7" i="5" a="1"/>
  <c r="L7" i="5" s="1"/>
  <c r="L9" i="5" a="1"/>
  <c r="L9" i="5" s="1"/>
  <c r="L8" i="5" a="1"/>
  <c r="L8" i="5" s="1"/>
  <c r="L6" i="5" a="1"/>
  <c r="L6" i="5" s="1"/>
  <c r="M5" i="5" a="1"/>
  <c r="M5" i="5" s="1"/>
  <c r="L5" i="5" a="1"/>
  <c r="L5" i="5" s="1"/>
  <c r="K9" i="5"/>
  <c r="K10" i="5"/>
  <c r="K8" i="5"/>
  <c r="K7" i="5"/>
  <c r="K6" i="5"/>
  <c r="K5" i="5"/>
  <c r="G6" i="5" a="1"/>
  <c r="G6" i="5" s="1"/>
  <c r="G8" i="5" a="1"/>
  <c r="G8" i="5" s="1"/>
  <c r="G5" i="5" a="1"/>
  <c r="G5" i="5" s="1"/>
  <c r="G9" i="5" a="1"/>
  <c r="G9" i="5" s="1"/>
  <c r="G7" i="5" a="1"/>
  <c r="G7" i="5" s="1"/>
  <c r="G10" i="5" a="1"/>
  <c r="G10" i="5" s="1"/>
  <c r="F5" i="5" a="1"/>
  <c r="F5" i="5" s="1"/>
  <c r="F6" i="5" a="1"/>
  <c r="F6" i="5" s="1"/>
  <c r="F8" i="5" a="1"/>
  <c r="F8" i="5" s="1"/>
  <c r="F7" i="5" a="1"/>
  <c r="F7" i="5" s="1"/>
  <c r="F9" i="5" a="1"/>
  <c r="F9" i="5" s="1"/>
  <c r="F10" i="5" a="1"/>
  <c r="F10" i="5" s="1"/>
  <c r="M8" i="4" a="1"/>
  <c r="M8" i="4" s="1"/>
  <c r="M6" i="4" a="1"/>
  <c r="M6" i="4" s="1"/>
  <c r="M9" i="4" a="1"/>
  <c r="M9" i="4" s="1"/>
  <c r="M7" i="4" a="1"/>
  <c r="M7" i="4" s="1"/>
  <c r="M5" i="4" a="1"/>
  <c r="M5" i="4" s="1"/>
  <c r="L9" i="4" a="1"/>
  <c r="L9" i="4" s="1"/>
  <c r="L7" i="4" a="1"/>
  <c r="L7" i="4" s="1"/>
  <c r="L6" i="4" a="1"/>
  <c r="L6" i="4" s="1"/>
  <c r="L8" i="4" a="1"/>
  <c r="L8" i="4" s="1"/>
  <c r="L5" i="4" a="1"/>
  <c r="L5" i="4" s="1"/>
  <c r="K7" i="4"/>
  <c r="K6" i="4"/>
  <c r="K8" i="4"/>
  <c r="K9" i="4"/>
  <c r="K5" i="4"/>
  <c r="G6" i="4" a="1"/>
  <c r="G6" i="4" s="1"/>
  <c r="G8" i="4" a="1"/>
  <c r="G8" i="4" s="1"/>
  <c r="G5" i="4" a="1"/>
  <c r="G5" i="4" s="1"/>
  <c r="G9" i="4" a="1"/>
  <c r="G9" i="4" s="1"/>
  <c r="G7" i="4" a="1"/>
  <c r="G7" i="4" s="1"/>
  <c r="F5" i="4" a="1"/>
  <c r="F5" i="4" s="1"/>
  <c r="F6" i="4" a="1"/>
  <c r="F6" i="4" s="1"/>
  <c r="F8" i="4" a="1"/>
  <c r="F8" i="4" s="1"/>
  <c r="F7" i="4" a="1"/>
  <c r="F7" i="4" s="1"/>
  <c r="F9" i="4" a="1"/>
  <c r="F9" i="4" s="1"/>
  <c r="A10" i="4" l="1"/>
  <c r="H9" i="4"/>
  <c r="E9" i="4"/>
  <c r="N9" i="4"/>
  <c r="B9" i="4"/>
  <c r="A11" i="5"/>
  <c r="H10" i="5"/>
  <c r="E10" i="5"/>
  <c r="N10" i="5"/>
  <c r="B10" i="5"/>
  <c r="D10" i="5"/>
  <c r="J10" i="5" a="1"/>
  <c r="J10" i="5" s="1"/>
  <c r="I10" i="5" a="1"/>
  <c r="I10" i="5" s="1"/>
  <c r="I51" i="4"/>
  <c r="I46" i="4"/>
  <c r="I45" i="4"/>
  <c r="I47" i="4"/>
  <c r="C51" i="4"/>
  <c r="M11" i="5" l="1" a="1"/>
  <c r="M11" i="5" s="1"/>
  <c r="L11" i="5" a="1"/>
  <c r="L11" i="5" s="1"/>
  <c r="M10" i="4" a="1"/>
  <c r="M10" i="4" s="1"/>
  <c r="L10" i="4" a="1"/>
  <c r="L10" i="4" s="1"/>
  <c r="A11" i="4"/>
  <c r="E10" i="4"/>
  <c r="B10" i="4"/>
  <c r="H10" i="4"/>
  <c r="N10" i="4"/>
  <c r="K10" i="4"/>
  <c r="G10" i="4" a="1"/>
  <c r="G10" i="4" s="1"/>
  <c r="F10" i="4" a="1"/>
  <c r="F10" i="4" s="1"/>
  <c r="A12" i="5"/>
  <c r="E11" i="5"/>
  <c r="D11" i="5"/>
  <c r="H11" i="5"/>
  <c r="N11" i="5"/>
  <c r="B11" i="5"/>
  <c r="J11" i="5" a="1"/>
  <c r="J11" i="5" s="1"/>
  <c r="I11" i="5" a="1"/>
  <c r="I11" i="5" s="1"/>
  <c r="G11" i="5" a="1"/>
  <c r="G11" i="5" s="1"/>
  <c r="F11" i="5" a="1"/>
  <c r="F11" i="5" s="1"/>
  <c r="K11" i="5"/>
  <c r="I49" i="4"/>
  <c r="I52" i="4"/>
  <c r="I48" i="4"/>
  <c r="I50" i="4"/>
  <c r="F50" i="4"/>
  <c r="G50" i="4" s="1"/>
  <c r="F46" i="4"/>
  <c r="G46" i="4" s="1"/>
  <c r="F52" i="4"/>
  <c r="G52" i="4" s="1"/>
  <c r="F48" i="4"/>
  <c r="G48" i="4" s="1"/>
  <c r="F49" i="4"/>
  <c r="F47" i="4"/>
  <c r="G47" i="4" s="1"/>
  <c r="F51" i="4"/>
  <c r="G51" i="4" s="1"/>
  <c r="F45" i="4"/>
  <c r="D50" i="4"/>
  <c r="E50" i="4" s="1"/>
  <c r="D48" i="4"/>
  <c r="E48" i="4" s="1"/>
  <c r="D45" i="4"/>
  <c r="D52" i="4"/>
  <c r="E52" i="4" s="1"/>
  <c r="D46" i="4"/>
  <c r="E46" i="4" s="1"/>
  <c r="D51" i="4"/>
  <c r="E51" i="4" s="1"/>
  <c r="D49" i="4"/>
  <c r="E49" i="4" s="1"/>
  <c r="D47" i="4"/>
  <c r="E47" i="4" s="1"/>
  <c r="C54" i="4"/>
  <c r="D5" i="4" a="1"/>
  <c r="D5" i="4" s="1"/>
  <c r="D6" i="4" a="1"/>
  <c r="D6" i="4" s="1"/>
  <c r="D10" i="4" a="1"/>
  <c r="D10" i="4" s="1"/>
  <c r="D9" i="4" a="1"/>
  <c r="D9" i="4" s="1"/>
  <c r="D7" i="4" a="1"/>
  <c r="D7" i="4" s="1"/>
  <c r="D11" i="4" a="1"/>
  <c r="D11" i="4" s="1"/>
  <c r="D8" i="4" a="1"/>
  <c r="D8" i="4" s="1"/>
  <c r="J5" i="4" a="1"/>
  <c r="J5" i="4" s="1"/>
  <c r="J6" i="4" a="1"/>
  <c r="J6" i="4" s="1"/>
  <c r="J10" i="4" a="1"/>
  <c r="J10" i="4" s="1"/>
  <c r="J9" i="4" a="1"/>
  <c r="J9" i="4" s="1"/>
  <c r="J7" i="4" a="1"/>
  <c r="J7" i="4" s="1"/>
  <c r="J11" i="4" a="1"/>
  <c r="J11" i="4" s="1"/>
  <c r="J8" i="4" a="1"/>
  <c r="J8" i="4" s="1"/>
  <c r="I5" i="4" a="1"/>
  <c r="I5" i="4" s="1"/>
  <c r="I6" i="4" a="1"/>
  <c r="I6" i="4" s="1"/>
  <c r="I8" i="4" a="1"/>
  <c r="I8" i="4" s="1"/>
  <c r="I11" i="4" a="1"/>
  <c r="I11" i="4" s="1"/>
  <c r="I7" i="4" a="1"/>
  <c r="I7" i="4" s="1"/>
  <c r="I9" i="4" a="1"/>
  <c r="I9" i="4" s="1"/>
  <c r="I10" i="4" a="1"/>
  <c r="I10" i="4" s="1"/>
  <c r="K5" i="1"/>
  <c r="M12" i="5" l="1" a="1"/>
  <c r="L12" i="5" a="1"/>
  <c r="M11" i="4" a="1"/>
  <c r="M11" i="4" s="1"/>
  <c r="L11" i="4" a="1"/>
  <c r="L11" i="4" s="1"/>
  <c r="A12" i="4"/>
  <c r="B11" i="4"/>
  <c r="N11" i="4"/>
  <c r="E11" i="4"/>
  <c r="H11" i="4"/>
  <c r="K11" i="4"/>
  <c r="G11" i="4" a="1"/>
  <c r="G11" i="4" s="1"/>
  <c r="F11" i="4" a="1"/>
  <c r="F11" i="4" s="1"/>
  <c r="A13" i="5"/>
  <c r="D12" i="5"/>
  <c r="N12" i="5"/>
  <c r="B12" i="5"/>
  <c r="E12" i="5"/>
  <c r="H12" i="5"/>
  <c r="I12" i="5" a="1"/>
  <c r="I12" i="5" s="1"/>
  <c r="J12" i="5" a="1"/>
  <c r="J12" i="5" s="1"/>
  <c r="F12" i="5" a="1"/>
  <c r="F12" i="5" s="1"/>
  <c r="K12" i="5"/>
  <c r="G12" i="5" a="1"/>
  <c r="G12" i="5" s="1"/>
  <c r="M12" i="5"/>
  <c r="L12" i="5"/>
  <c r="I54" i="4"/>
  <c r="G49" i="4"/>
  <c r="G45" i="4"/>
  <c r="F54" i="4"/>
  <c r="F53" i="4"/>
  <c r="D53" i="4"/>
  <c r="E45" i="4"/>
  <c r="E54" i="4" s="1"/>
  <c r="D54" i="4"/>
  <c r="C5" i="5" a="1"/>
  <c r="C5" i="5" s="1"/>
  <c r="C6" i="5" a="1"/>
  <c r="C6" i="5" s="1"/>
  <c r="C12" i="5" a="1"/>
  <c r="C12" i="5" s="1"/>
  <c r="C7" i="5" a="1"/>
  <c r="C7" i="5" s="1"/>
  <c r="C11" i="5" a="1"/>
  <c r="C11" i="5" s="1"/>
  <c r="C9" i="5" a="1"/>
  <c r="C9" i="5" s="1"/>
  <c r="C13" i="5" a="1"/>
  <c r="C13" i="5" s="1"/>
  <c r="C8" i="5" a="1"/>
  <c r="C8" i="5" s="1"/>
  <c r="C10" i="5" a="1"/>
  <c r="C10" i="5" s="1"/>
  <c r="C5" i="4" a="1"/>
  <c r="C5" i="4" s="1"/>
  <c r="C6" i="4" a="1"/>
  <c r="C6" i="4" s="1"/>
  <c r="C12" i="4" a="1"/>
  <c r="C12" i="4" s="1"/>
  <c r="C9" i="4" a="1"/>
  <c r="C9" i="4" s="1"/>
  <c r="C7" i="4" a="1"/>
  <c r="C7" i="4" s="1"/>
  <c r="C11" i="4" a="1"/>
  <c r="C11" i="4" s="1"/>
  <c r="C8" i="4" a="1"/>
  <c r="C8" i="4" s="1"/>
  <c r="C10" i="4" a="1"/>
  <c r="C10" i="4" s="1"/>
  <c r="K7" i="1"/>
  <c r="K8" i="1"/>
  <c r="K9" i="1"/>
  <c r="L9" i="1" s="1"/>
  <c r="K10" i="1"/>
  <c r="L10" i="1" s="1"/>
  <c r="K11" i="1"/>
  <c r="L11" i="1" s="1"/>
  <c r="K12" i="1"/>
  <c r="L12" i="1" s="1"/>
  <c r="K13" i="1"/>
  <c r="K14" i="1"/>
  <c r="K15" i="1"/>
  <c r="L15" i="1" s="1"/>
  <c r="K16" i="1"/>
  <c r="L16" i="1" s="1"/>
  <c r="K17" i="1"/>
  <c r="L17" i="1" s="1"/>
  <c r="K18" i="1"/>
  <c r="L18" i="1" s="1"/>
  <c r="K19" i="1"/>
  <c r="K20" i="1"/>
  <c r="K21" i="1"/>
  <c r="L21" i="1" s="1"/>
  <c r="K22" i="1"/>
  <c r="L22" i="1" s="1"/>
  <c r="K23" i="1"/>
  <c r="L23" i="1" s="1"/>
  <c r="K24" i="1"/>
  <c r="L24" i="1" s="1"/>
  <c r="K25" i="1"/>
  <c r="K26" i="1"/>
  <c r="K27" i="1"/>
  <c r="L27" i="1" s="1"/>
  <c r="K28" i="1"/>
  <c r="L28" i="1" s="1"/>
  <c r="K29" i="1"/>
  <c r="L29" i="1" s="1"/>
  <c r="K30" i="1"/>
  <c r="L30" i="1" s="1"/>
  <c r="K31" i="1"/>
  <c r="K32" i="1"/>
  <c r="K33" i="1"/>
  <c r="L33" i="1" s="1"/>
  <c r="K34" i="1"/>
  <c r="L34" i="1" s="1"/>
  <c r="K35" i="1"/>
  <c r="L35" i="1" s="1"/>
  <c r="K36" i="1"/>
  <c r="L36" i="1" s="1"/>
  <c r="K37" i="1"/>
  <c r="K38" i="1"/>
  <c r="K39" i="1"/>
  <c r="L39" i="1" s="1"/>
  <c r="K40" i="1"/>
  <c r="L40" i="1" s="1"/>
  <c r="K41" i="1"/>
  <c r="L41" i="1" s="1"/>
  <c r="K42" i="1"/>
  <c r="L42" i="1" s="1"/>
  <c r="K43" i="1"/>
  <c r="K44" i="1"/>
  <c r="K45" i="1"/>
  <c r="L45" i="1" s="1"/>
  <c r="K46" i="1"/>
  <c r="L46" i="1" s="1"/>
  <c r="K47" i="1"/>
  <c r="L47" i="1" s="1"/>
  <c r="K48" i="1"/>
  <c r="L48" i="1" s="1"/>
  <c r="K49" i="1"/>
  <c r="K50" i="1"/>
  <c r="K51" i="1"/>
  <c r="L51" i="1" s="1"/>
  <c r="K52" i="1"/>
  <c r="L52" i="1" s="1"/>
  <c r="K53" i="1"/>
  <c r="L53" i="1" s="1"/>
  <c r="K54" i="1"/>
  <c r="L54" i="1" s="1"/>
  <c r="K55" i="1"/>
  <c r="K56" i="1"/>
  <c r="K57" i="1"/>
  <c r="L57" i="1" s="1"/>
  <c r="K58" i="1"/>
  <c r="L58" i="1" s="1"/>
  <c r="K59" i="1"/>
  <c r="L59" i="1" s="1"/>
  <c r="K60" i="1"/>
  <c r="L60" i="1" s="1"/>
  <c r="K61" i="1"/>
  <c r="K62" i="1"/>
  <c r="K63" i="1"/>
  <c r="L63" i="1" s="1"/>
  <c r="K64" i="1"/>
  <c r="L64" i="1" s="1"/>
  <c r="K65" i="1"/>
  <c r="L65" i="1" s="1"/>
  <c r="K66" i="1"/>
  <c r="L66" i="1" s="1"/>
  <c r="K67" i="1"/>
  <c r="K68" i="1"/>
  <c r="K69" i="1"/>
  <c r="L69" i="1" s="1"/>
  <c r="K70" i="1"/>
  <c r="L70" i="1" s="1"/>
  <c r="K71" i="1"/>
  <c r="L71" i="1" s="1"/>
  <c r="K72" i="1"/>
  <c r="L72" i="1" s="1"/>
  <c r="K73" i="1"/>
  <c r="K74" i="1"/>
  <c r="K75" i="1"/>
  <c r="L75" i="1" s="1"/>
  <c r="K76" i="1"/>
  <c r="L76" i="1" s="1"/>
  <c r="K77" i="1"/>
  <c r="L77" i="1" s="1"/>
  <c r="K78" i="1"/>
  <c r="L78" i="1" s="1"/>
  <c r="K79" i="1"/>
  <c r="K80" i="1"/>
  <c r="K81" i="1"/>
  <c r="L81" i="1" s="1"/>
  <c r="K82" i="1"/>
  <c r="L82" i="1" s="1"/>
  <c r="K83" i="1"/>
  <c r="L83" i="1" s="1"/>
  <c r="K84" i="1"/>
  <c r="L84" i="1" s="1"/>
  <c r="K85" i="1"/>
  <c r="K86" i="1"/>
  <c r="K87" i="1"/>
  <c r="L87" i="1" s="1"/>
  <c r="K88" i="1"/>
  <c r="L88" i="1" s="1"/>
  <c r="K89" i="1"/>
  <c r="L89" i="1" s="1"/>
  <c r="K90" i="1"/>
  <c r="L90" i="1" s="1"/>
  <c r="K91" i="1"/>
  <c r="K92" i="1"/>
  <c r="K93" i="1"/>
  <c r="L93" i="1" s="1"/>
  <c r="K94" i="1"/>
  <c r="L94" i="1" s="1"/>
  <c r="K95" i="1"/>
  <c r="L95" i="1" s="1"/>
  <c r="K96" i="1"/>
  <c r="L96" i="1" s="1"/>
  <c r="K97" i="1"/>
  <c r="K98" i="1"/>
  <c r="K99" i="1"/>
  <c r="L99" i="1" s="1"/>
  <c r="K100" i="1"/>
  <c r="L100" i="1" s="1"/>
  <c r="K101" i="1"/>
  <c r="L101" i="1" s="1"/>
  <c r="K102" i="1"/>
  <c r="L102" i="1" s="1"/>
  <c r="K103" i="1"/>
  <c r="K104" i="1"/>
  <c r="K105" i="1"/>
  <c r="L105" i="1" s="1"/>
  <c r="K106" i="1"/>
  <c r="L106" i="1" s="1"/>
  <c r="K107" i="1"/>
  <c r="L107" i="1" s="1"/>
  <c r="K108" i="1"/>
  <c r="L108" i="1" s="1"/>
  <c r="K109" i="1"/>
  <c r="K110" i="1"/>
  <c r="K111" i="1"/>
  <c r="L111" i="1" s="1"/>
  <c r="K112" i="1"/>
  <c r="L112" i="1" s="1"/>
  <c r="K113" i="1"/>
  <c r="L113" i="1" s="1"/>
  <c r="K114" i="1"/>
  <c r="L114" i="1" s="1"/>
  <c r="K115" i="1"/>
  <c r="K116" i="1"/>
  <c r="K117" i="1"/>
  <c r="L117" i="1" s="1"/>
  <c r="K118" i="1"/>
  <c r="L118" i="1" s="1"/>
  <c r="K119" i="1"/>
  <c r="L119" i="1" s="1"/>
  <c r="K120" i="1"/>
  <c r="L120" i="1" s="1"/>
  <c r="K121" i="1"/>
  <c r="K122" i="1"/>
  <c r="K123" i="1"/>
  <c r="L123" i="1" s="1"/>
  <c r="K124" i="1"/>
  <c r="L124" i="1" s="1"/>
  <c r="K125" i="1"/>
  <c r="L125" i="1" s="1"/>
  <c r="K126" i="1"/>
  <c r="L126" i="1" s="1"/>
  <c r="K127" i="1"/>
  <c r="K128" i="1"/>
  <c r="K129" i="1"/>
  <c r="L129" i="1" s="1"/>
  <c r="K130" i="1"/>
  <c r="L130" i="1" s="1"/>
  <c r="K131" i="1"/>
  <c r="L131" i="1" s="1"/>
  <c r="K132" i="1"/>
  <c r="L132" i="1" s="1"/>
  <c r="K133" i="1"/>
  <c r="K134" i="1"/>
  <c r="K135" i="1"/>
  <c r="L135" i="1" s="1"/>
  <c r="K136" i="1"/>
  <c r="L136" i="1" s="1"/>
  <c r="K137" i="1"/>
  <c r="L137" i="1" s="1"/>
  <c r="K138" i="1"/>
  <c r="L138" i="1" s="1"/>
  <c r="K139" i="1"/>
  <c r="K140" i="1"/>
  <c r="K141" i="1"/>
  <c r="L141" i="1" s="1"/>
  <c r="K142" i="1"/>
  <c r="L142" i="1" s="1"/>
  <c r="K143" i="1"/>
  <c r="L143" i="1" s="1"/>
  <c r="K144" i="1"/>
  <c r="L144" i="1" s="1"/>
  <c r="K145" i="1"/>
  <c r="K146" i="1"/>
  <c r="K147" i="1"/>
  <c r="L147" i="1" s="1"/>
  <c r="K148" i="1"/>
  <c r="L148" i="1" s="1"/>
  <c r="K149" i="1"/>
  <c r="L149" i="1" s="1"/>
  <c r="K150" i="1"/>
  <c r="L150" i="1" s="1"/>
  <c r="K151" i="1"/>
  <c r="K152" i="1"/>
  <c r="K153" i="1"/>
  <c r="L153" i="1" s="1"/>
  <c r="K154" i="1"/>
  <c r="L154" i="1" s="1"/>
  <c r="K155" i="1"/>
  <c r="L155" i="1" s="1"/>
  <c r="K156" i="1"/>
  <c r="L156" i="1" s="1"/>
  <c r="K157" i="1"/>
  <c r="K158" i="1"/>
  <c r="K159" i="1"/>
  <c r="L159" i="1" s="1"/>
  <c r="K160" i="1"/>
  <c r="L160" i="1" s="1"/>
  <c r="K161" i="1"/>
  <c r="L161" i="1" s="1"/>
  <c r="K162" i="1"/>
  <c r="L162" i="1" s="1"/>
  <c r="K163" i="1"/>
  <c r="K164" i="1"/>
  <c r="K165" i="1"/>
  <c r="L165" i="1" s="1"/>
  <c r="K166" i="1"/>
  <c r="L166" i="1" s="1"/>
  <c r="K167" i="1"/>
  <c r="L167" i="1" s="1"/>
  <c r="K168" i="1"/>
  <c r="L168" i="1" s="1"/>
  <c r="K169" i="1"/>
  <c r="K170" i="1"/>
  <c r="K171" i="1"/>
  <c r="L171" i="1" s="1"/>
  <c r="K172" i="1"/>
  <c r="L172" i="1" s="1"/>
  <c r="K173" i="1"/>
  <c r="L173" i="1" s="1"/>
  <c r="K174" i="1"/>
  <c r="L174" i="1" s="1"/>
  <c r="K175" i="1"/>
  <c r="K176" i="1"/>
  <c r="K177" i="1"/>
  <c r="L177" i="1" s="1"/>
  <c r="K178" i="1"/>
  <c r="L178" i="1" s="1"/>
  <c r="K179" i="1"/>
  <c r="L179" i="1" s="1"/>
  <c r="K180" i="1"/>
  <c r="L180" i="1" s="1"/>
  <c r="K181" i="1"/>
  <c r="K182" i="1"/>
  <c r="K183" i="1"/>
  <c r="L183" i="1" s="1"/>
  <c r="K184" i="1"/>
  <c r="L184" i="1" s="1"/>
  <c r="K185" i="1"/>
  <c r="L185" i="1" s="1"/>
  <c r="K186" i="1"/>
  <c r="L186" i="1" s="1"/>
  <c r="K187" i="1"/>
  <c r="K188" i="1"/>
  <c r="K189" i="1"/>
  <c r="L189" i="1" s="1"/>
  <c r="K190" i="1"/>
  <c r="L190" i="1" s="1"/>
  <c r="K191" i="1"/>
  <c r="L191" i="1" s="1"/>
  <c r="K192" i="1"/>
  <c r="L192" i="1" s="1"/>
  <c r="K193" i="1"/>
  <c r="K194" i="1"/>
  <c r="K195" i="1"/>
  <c r="L195" i="1" s="1"/>
  <c r="K196" i="1"/>
  <c r="L196" i="1" s="1"/>
  <c r="K197" i="1"/>
  <c r="L197" i="1" s="1"/>
  <c r="K198" i="1"/>
  <c r="L198" i="1" s="1"/>
  <c r="K199" i="1"/>
  <c r="K200" i="1"/>
  <c r="K201" i="1"/>
  <c r="L201" i="1" s="1"/>
  <c r="K202" i="1"/>
  <c r="L202" i="1" s="1"/>
  <c r="K203" i="1"/>
  <c r="L203" i="1" s="1"/>
  <c r="K204" i="1"/>
  <c r="L204" i="1" s="1"/>
  <c r="K205" i="1"/>
  <c r="K206" i="1"/>
  <c r="K208" i="1"/>
  <c r="K209" i="1"/>
  <c r="L209" i="1" s="1"/>
  <c r="K210" i="1"/>
  <c r="L210" i="1" s="1"/>
  <c r="K211" i="1"/>
  <c r="L211" i="1" s="1"/>
  <c r="K212" i="1"/>
  <c r="K213" i="1"/>
  <c r="K214" i="1"/>
  <c r="L214" i="1" s="1"/>
  <c r="K215" i="1"/>
  <c r="L215" i="1" s="1"/>
  <c r="K216" i="1"/>
  <c r="L216" i="1" s="1"/>
  <c r="K217" i="1"/>
  <c r="L217" i="1" s="1"/>
  <c r="K218" i="1"/>
  <c r="K219" i="1"/>
  <c r="K220" i="1"/>
  <c r="L220" i="1" s="1"/>
  <c r="K221" i="1"/>
  <c r="L221" i="1" s="1"/>
  <c r="K222" i="1"/>
  <c r="L222" i="1" s="1"/>
  <c r="K223" i="1"/>
  <c r="L223" i="1" s="1"/>
  <c r="K224" i="1"/>
  <c r="K225" i="1"/>
  <c r="K226" i="1"/>
  <c r="L226" i="1" s="1"/>
  <c r="K227" i="1"/>
  <c r="L227" i="1" s="1"/>
  <c r="K228" i="1"/>
  <c r="L228" i="1" s="1"/>
  <c r="K229" i="1"/>
  <c r="L229" i="1" s="1"/>
  <c r="K230" i="1"/>
  <c r="K231" i="1"/>
  <c r="K232" i="1"/>
  <c r="L232" i="1" s="1"/>
  <c r="K233" i="1"/>
  <c r="L233" i="1" s="1"/>
  <c r="K234" i="1"/>
  <c r="L234" i="1" s="1"/>
  <c r="K235" i="1"/>
  <c r="L235" i="1" s="1"/>
  <c r="K236" i="1"/>
  <c r="K237" i="1"/>
  <c r="K238" i="1"/>
  <c r="L238" i="1" s="1"/>
  <c r="K239" i="1"/>
  <c r="L239" i="1" s="1"/>
  <c r="K240" i="1"/>
  <c r="L240" i="1" s="1"/>
  <c r="K241" i="1"/>
  <c r="L241" i="1" s="1"/>
  <c r="K242" i="1"/>
  <c r="K243" i="1"/>
  <c r="K244" i="1"/>
  <c r="K6" i="1"/>
  <c r="L6" i="1" s="1"/>
  <c r="L243" i="1" l="1"/>
  <c r="L237" i="1"/>
  <c r="L231" i="1"/>
  <c r="L225" i="1"/>
  <c r="L219" i="1"/>
  <c r="L213" i="1"/>
  <c r="L206" i="1"/>
  <c r="L200" i="1"/>
  <c r="L194" i="1"/>
  <c r="L188" i="1"/>
  <c r="L182" i="1"/>
  <c r="L176" i="1"/>
  <c r="L170" i="1"/>
  <c r="L164" i="1"/>
  <c r="L158" i="1"/>
  <c r="L152" i="1"/>
  <c r="L146" i="1"/>
  <c r="L140" i="1"/>
  <c r="L134" i="1"/>
  <c r="L128" i="1"/>
  <c r="L122" i="1"/>
  <c r="L116" i="1"/>
  <c r="L110" i="1"/>
  <c r="L104" i="1"/>
  <c r="L98" i="1"/>
  <c r="L92" i="1"/>
  <c r="L86" i="1"/>
  <c r="L80" i="1"/>
  <c r="L74" i="1"/>
  <c r="L68" i="1"/>
  <c r="L62" i="1"/>
  <c r="L56" i="1"/>
  <c r="L50" i="1"/>
  <c r="L44" i="1"/>
  <c r="L38" i="1"/>
  <c r="L32" i="1"/>
  <c r="L26" i="1"/>
  <c r="L20" i="1"/>
  <c r="L14" i="1"/>
  <c r="L8" i="1"/>
  <c r="L244" i="1"/>
  <c r="L245" i="1"/>
  <c r="L242" i="1"/>
  <c r="L236" i="1"/>
  <c r="L230" i="1"/>
  <c r="L224" i="1"/>
  <c r="L218" i="1"/>
  <c r="L212" i="1"/>
  <c r="L205" i="1"/>
  <c r="L199" i="1"/>
  <c r="L193" i="1"/>
  <c r="L187" i="1"/>
  <c r="L181" i="1"/>
  <c r="L175" i="1"/>
  <c r="L169" i="1"/>
  <c r="L163" i="1"/>
  <c r="L157" i="1"/>
  <c r="L151" i="1"/>
  <c r="L145" i="1"/>
  <c r="L139" i="1"/>
  <c r="L133" i="1"/>
  <c r="L127" i="1"/>
  <c r="L121" i="1"/>
  <c r="L115" i="1"/>
  <c r="L109" i="1"/>
  <c r="L103" i="1"/>
  <c r="L97" i="1"/>
  <c r="L91" i="1"/>
  <c r="L85" i="1"/>
  <c r="L79" i="1"/>
  <c r="L73" i="1"/>
  <c r="L67" i="1"/>
  <c r="L61" i="1"/>
  <c r="L55" i="1"/>
  <c r="L49" i="1"/>
  <c r="L43" i="1"/>
  <c r="L37" i="1"/>
  <c r="L31" i="1"/>
  <c r="L25" i="1"/>
  <c r="L19" i="1"/>
  <c r="L13" i="1"/>
  <c r="L7" i="1"/>
  <c r="L13" i="5" a="1"/>
  <c r="M13" i="5" a="1"/>
  <c r="M12" i="4" a="1"/>
  <c r="M12" i="4" s="1"/>
  <c r="L12" i="4" a="1"/>
  <c r="L12" i="4" s="1"/>
  <c r="A13" i="4"/>
  <c r="N12" i="4"/>
  <c r="H12" i="4"/>
  <c r="B12" i="4"/>
  <c r="E12" i="4"/>
  <c r="K12" i="4"/>
  <c r="F12" i="4" a="1"/>
  <c r="F12" i="4" s="1"/>
  <c r="G12" i="4" a="1"/>
  <c r="G12" i="4" s="1"/>
  <c r="J12" i="4" a="1"/>
  <c r="J12" i="4" s="1"/>
  <c r="D12" i="4" a="1"/>
  <c r="D12" i="4" s="1"/>
  <c r="I12" i="4" a="1"/>
  <c r="I12" i="4" s="1"/>
  <c r="A14" i="5"/>
  <c r="N13" i="5"/>
  <c r="B13" i="5"/>
  <c r="H13" i="5"/>
  <c r="D13" i="5"/>
  <c r="E13" i="5"/>
  <c r="I13" i="5" a="1"/>
  <c r="I13" i="5" s="1"/>
  <c r="J13" i="5" a="1"/>
  <c r="J13" i="5" s="1"/>
  <c r="G13" i="5" a="1"/>
  <c r="G13" i="5" s="1"/>
  <c r="K13" i="5"/>
  <c r="F13" i="5" a="1"/>
  <c r="F13" i="5" s="1"/>
  <c r="L13" i="5"/>
  <c r="M13" i="5"/>
  <c r="K207" i="1"/>
  <c r="L207" i="1" s="1"/>
  <c r="G54" i="4"/>
  <c r="F54" i="5"/>
  <c r="L208" i="1" l="1"/>
  <c r="M14" i="5" a="1"/>
  <c r="L14" i="5" a="1"/>
  <c r="M13" i="4" a="1"/>
  <c r="M13" i="4" s="1"/>
  <c r="L13" i="4" a="1"/>
  <c r="L13" i="4" s="1"/>
  <c r="A14" i="4"/>
  <c r="H13" i="4"/>
  <c r="E13" i="4"/>
  <c r="N13" i="4"/>
  <c r="B13" i="4"/>
  <c r="G13" i="4" a="1"/>
  <c r="G13" i="4" s="1"/>
  <c r="K13" i="4"/>
  <c r="F13" i="4" a="1"/>
  <c r="F13" i="4" s="1"/>
  <c r="D13" i="4" a="1"/>
  <c r="D13" i="4" s="1"/>
  <c r="I13" i="4" a="1"/>
  <c r="I13" i="4" s="1"/>
  <c r="J13" i="4" a="1"/>
  <c r="J13" i="4" s="1"/>
  <c r="C13" i="4" a="1"/>
  <c r="C13" i="4" s="1"/>
  <c r="A15" i="5"/>
  <c r="H14" i="5"/>
  <c r="H37" i="5" s="1"/>
  <c r="E14" i="5"/>
  <c r="E37" i="5" s="1"/>
  <c r="N14" i="5"/>
  <c r="N37" i="5" s="1"/>
  <c r="B14" i="5"/>
  <c r="D14" i="5"/>
  <c r="D37" i="5" s="1"/>
  <c r="J14" i="5" a="1"/>
  <c r="J14" i="5" s="1"/>
  <c r="J37" i="5" s="1"/>
  <c r="I14" i="5" a="1"/>
  <c r="I14" i="5" s="1"/>
  <c r="I37" i="5" s="1"/>
  <c r="G14" i="5" a="1"/>
  <c r="G14" i="5" s="1"/>
  <c r="G37" i="5" s="1"/>
  <c r="F14" i="5" a="1"/>
  <c r="F14" i="5" s="1"/>
  <c r="K14" i="5"/>
  <c r="M14" i="5"/>
  <c r="M37" i="5" s="1"/>
  <c r="L14" i="5"/>
  <c r="L37" i="5" s="1"/>
  <c r="C14" i="5" a="1"/>
  <c r="C14" i="5" s="1"/>
  <c r="M15" i="5" l="1" a="1"/>
  <c r="L15" i="5" a="1"/>
  <c r="M14" i="4" a="1"/>
  <c r="M14" i="4" s="1"/>
  <c r="M37" i="4" s="1"/>
  <c r="L14" i="4" a="1"/>
  <c r="L14" i="4" s="1"/>
  <c r="A15" i="4"/>
  <c r="E14" i="4"/>
  <c r="E37" i="4" s="1"/>
  <c r="B14" i="4"/>
  <c r="B37" i="4" s="1"/>
  <c r="H14" i="4"/>
  <c r="H37" i="4" s="1"/>
  <c r="N14" i="4"/>
  <c r="N37" i="4" s="1"/>
  <c r="K14" i="4"/>
  <c r="F14" i="4" a="1"/>
  <c r="F14" i="4" s="1"/>
  <c r="G14" i="4" a="1"/>
  <c r="G14" i="4" s="1"/>
  <c r="G37" i="4" s="1"/>
  <c r="J14" i="4" a="1"/>
  <c r="J14" i="4" s="1"/>
  <c r="I14" i="4" a="1"/>
  <c r="I14" i="4" s="1"/>
  <c r="I37" i="4" s="1"/>
  <c r="D14" i="4" a="1"/>
  <c r="D14" i="4" s="1"/>
  <c r="D37" i="4" s="1"/>
  <c r="C14" i="4" a="1"/>
  <c r="C14" i="4" s="1"/>
  <c r="B37" i="5"/>
  <c r="A16" i="5"/>
  <c r="E15" i="5"/>
  <c r="D15" i="5"/>
  <c r="H15" i="5"/>
  <c r="N15" i="5"/>
  <c r="B15" i="5"/>
  <c r="J15" i="5" a="1"/>
  <c r="J15" i="5" s="1"/>
  <c r="I15" i="5" a="1"/>
  <c r="I15" i="5" s="1"/>
  <c r="K15" i="5"/>
  <c r="G15" i="5" a="1"/>
  <c r="G15" i="5" s="1"/>
  <c r="F15" i="5" a="1"/>
  <c r="F15" i="5" s="1"/>
  <c r="L15" i="5"/>
  <c r="M15" i="5"/>
  <c r="C15" i="5" a="1"/>
  <c r="C15" i="5" s="1"/>
  <c r="C37" i="5"/>
  <c r="F37" i="5"/>
  <c r="K37" i="5"/>
  <c r="M16" i="5" l="1" a="1"/>
  <c r="L16" i="5" a="1"/>
  <c r="L15" i="4" a="1"/>
  <c r="L15" i="4" s="1"/>
  <c r="M15" i="4" a="1"/>
  <c r="M15" i="4" s="1"/>
  <c r="C37" i="4"/>
  <c r="K37" i="4"/>
  <c r="F37" i="4"/>
  <c r="L37" i="4"/>
  <c r="J37" i="4"/>
  <c r="A16" i="4"/>
  <c r="H16" i="4" s="1"/>
  <c r="B15" i="4"/>
  <c r="N15" i="4"/>
  <c r="E15" i="4"/>
  <c r="H15" i="4"/>
  <c r="F15" i="4" a="1"/>
  <c r="F15" i="4" s="1"/>
  <c r="K15" i="4"/>
  <c r="G15" i="4" a="1"/>
  <c r="G15" i="4" s="1"/>
  <c r="D15" i="4" a="1"/>
  <c r="D15" i="4" s="1"/>
  <c r="I15" i="4" a="1"/>
  <c r="I15" i="4" s="1"/>
  <c r="J15" i="4" a="1"/>
  <c r="J15" i="4" s="1"/>
  <c r="C15" i="4" a="1"/>
  <c r="C15" i="4" s="1"/>
  <c r="A17" i="5"/>
  <c r="D16" i="5"/>
  <c r="N16" i="5"/>
  <c r="B16" i="5"/>
  <c r="E16" i="5"/>
  <c r="H16" i="5"/>
  <c r="I16" i="5" a="1"/>
  <c r="I16" i="5" s="1"/>
  <c r="J16" i="5" a="1"/>
  <c r="J16" i="5" s="1"/>
  <c r="G16" i="5" a="1"/>
  <c r="G16" i="5" s="1"/>
  <c r="K16" i="5"/>
  <c r="F16" i="5" a="1"/>
  <c r="F16" i="5" s="1"/>
  <c r="M16" i="5"/>
  <c r="L16" i="5"/>
  <c r="C16" i="5" a="1"/>
  <c r="C16" i="5" s="1"/>
  <c r="L17" i="5" l="1" a="1"/>
  <c r="M17" i="5" a="1"/>
  <c r="M16" i="4" a="1"/>
  <c r="M16" i="4" s="1"/>
  <c r="L16" i="4" a="1"/>
  <c r="L16" i="4" s="1"/>
  <c r="A17" i="4"/>
  <c r="N16" i="4"/>
  <c r="B16" i="4"/>
  <c r="E16" i="4"/>
  <c r="F16" i="4" a="1"/>
  <c r="F16" i="4" s="1"/>
  <c r="K16" i="4"/>
  <c r="G16" i="4" a="1"/>
  <c r="G16" i="4" s="1"/>
  <c r="D16" i="4" a="1"/>
  <c r="D16" i="4" s="1"/>
  <c r="I16" i="4" a="1"/>
  <c r="I16" i="4" s="1"/>
  <c r="J16" i="4" a="1"/>
  <c r="J16" i="4" s="1"/>
  <c r="C16" i="4" a="1"/>
  <c r="C16" i="4" s="1"/>
  <c r="A18" i="5"/>
  <c r="N17" i="5"/>
  <c r="B17" i="5"/>
  <c r="H17" i="5"/>
  <c r="D17" i="5"/>
  <c r="E17" i="5"/>
  <c r="I17" i="5" a="1"/>
  <c r="I17" i="5" s="1"/>
  <c r="J17" i="5" a="1"/>
  <c r="J17" i="5" s="1"/>
  <c r="G17" i="5" a="1"/>
  <c r="G17" i="5" s="1"/>
  <c r="F17" i="5" a="1"/>
  <c r="F17" i="5" s="1"/>
  <c r="K17" i="5"/>
  <c r="L17" i="5"/>
  <c r="M17" i="5"/>
  <c r="C17" i="5" a="1"/>
  <c r="C17" i="5" s="1"/>
  <c r="L18" i="5" l="1" a="1"/>
  <c r="M18" i="5" a="1"/>
  <c r="M17" i="4" a="1"/>
  <c r="M17" i="4" s="1"/>
  <c r="L17" i="4" a="1"/>
  <c r="L17" i="4" s="1"/>
  <c r="A18" i="4"/>
  <c r="H17" i="4"/>
  <c r="E17" i="4"/>
  <c r="N17" i="4"/>
  <c r="B17" i="4"/>
  <c r="F17" i="4" a="1"/>
  <c r="F17" i="4" s="1"/>
  <c r="K17" i="4"/>
  <c r="G17" i="4" a="1"/>
  <c r="G17" i="4" s="1"/>
  <c r="J17" i="4" a="1"/>
  <c r="J17" i="4" s="1"/>
  <c r="D17" i="4" a="1"/>
  <c r="D17" i="4" s="1"/>
  <c r="I17" i="4" a="1"/>
  <c r="I17" i="4" s="1"/>
  <c r="C17" i="4" a="1"/>
  <c r="C17" i="4" s="1"/>
  <c r="A19" i="5"/>
  <c r="H18" i="5"/>
  <c r="E18" i="5"/>
  <c r="N18" i="5"/>
  <c r="B18" i="5"/>
  <c r="D18" i="5"/>
  <c r="J18" i="5" a="1"/>
  <c r="J18" i="5" s="1"/>
  <c r="I18" i="5" a="1"/>
  <c r="I18" i="5" s="1"/>
  <c r="K18" i="5"/>
  <c r="G18" i="5" a="1"/>
  <c r="G18" i="5" s="1"/>
  <c r="F18" i="5" a="1"/>
  <c r="F18" i="5" s="1"/>
  <c r="L18" i="5"/>
  <c r="M18" i="5"/>
  <c r="C18" i="5" a="1"/>
  <c r="C18" i="5" s="1"/>
  <c r="M19" i="5" l="1" a="1"/>
  <c r="L19" i="5" a="1"/>
  <c r="L18" i="4" a="1"/>
  <c r="L18" i="4" s="1"/>
  <c r="M18" i="4" a="1"/>
  <c r="M18" i="4" s="1"/>
  <c r="A19" i="4"/>
  <c r="E18" i="4"/>
  <c r="B18" i="4"/>
  <c r="H18" i="4"/>
  <c r="N18" i="4"/>
  <c r="F18" i="4" a="1"/>
  <c r="F18" i="4" s="1"/>
  <c r="K18" i="4"/>
  <c r="G18" i="4" a="1"/>
  <c r="G18" i="4" s="1"/>
  <c r="J18" i="4" a="1"/>
  <c r="J18" i="4" s="1"/>
  <c r="D18" i="4" a="1"/>
  <c r="D18" i="4" s="1"/>
  <c r="I18" i="4" a="1"/>
  <c r="I18" i="4" s="1"/>
  <c r="C18" i="4" a="1"/>
  <c r="C18" i="4" s="1"/>
  <c r="A20" i="5"/>
  <c r="E19" i="5"/>
  <c r="D19" i="5"/>
  <c r="H19" i="5"/>
  <c r="N19" i="5"/>
  <c r="B19" i="5"/>
  <c r="J19" i="5" a="1"/>
  <c r="J19" i="5" s="1"/>
  <c r="I19" i="5" a="1"/>
  <c r="I19" i="5" s="1"/>
  <c r="F19" i="5" a="1"/>
  <c r="F19" i="5" s="1"/>
  <c r="K19" i="5"/>
  <c r="G19" i="5" a="1"/>
  <c r="G19" i="5" s="1"/>
  <c r="M19" i="5"/>
  <c r="L19" i="5"/>
  <c r="C19" i="5" a="1"/>
  <c r="C19" i="5" s="1"/>
  <c r="M20" i="5" l="1" a="1"/>
  <c r="L20" i="5" a="1"/>
  <c r="M19" i="4" a="1"/>
  <c r="M19" i="4" s="1"/>
  <c r="L19" i="4" a="1"/>
  <c r="L19" i="4" s="1"/>
  <c r="A20" i="4"/>
  <c r="I20" i="4" s="1" a="1"/>
  <c r="I20" i="4" s="1"/>
  <c r="B19" i="4"/>
  <c r="N19" i="4"/>
  <c r="E19" i="4"/>
  <c r="H19" i="4"/>
  <c r="F19" i="4" a="1"/>
  <c r="F19" i="4" s="1"/>
  <c r="K19" i="4"/>
  <c r="G19" i="4" a="1"/>
  <c r="G19" i="4" s="1"/>
  <c r="J19" i="4" a="1"/>
  <c r="J19" i="4" s="1"/>
  <c r="D19" i="4" a="1"/>
  <c r="D19" i="4" s="1"/>
  <c r="I19" i="4" a="1"/>
  <c r="I19" i="4" s="1"/>
  <c r="C19" i="4" a="1"/>
  <c r="C19" i="4" s="1"/>
  <c r="A21" i="5"/>
  <c r="D20" i="5"/>
  <c r="N20" i="5"/>
  <c r="B20" i="5"/>
  <c r="E20" i="5"/>
  <c r="H20" i="5"/>
  <c r="I20" i="5" a="1"/>
  <c r="I20" i="5" s="1"/>
  <c r="J20" i="5" a="1"/>
  <c r="J20" i="5" s="1"/>
  <c r="K20" i="5"/>
  <c r="F20" i="5" a="1"/>
  <c r="F20" i="5" s="1"/>
  <c r="G20" i="5" a="1"/>
  <c r="G20" i="5" s="1"/>
  <c r="L20" i="5"/>
  <c r="M20" i="5"/>
  <c r="C20" i="5" a="1"/>
  <c r="C20" i="5" s="1"/>
  <c r="L21" i="5" l="1" a="1"/>
  <c r="M21" i="5" a="1"/>
  <c r="L20" i="4" a="1"/>
  <c r="L20" i="4" s="1"/>
  <c r="M20" i="4" a="1"/>
  <c r="M20" i="4" s="1"/>
  <c r="A21" i="4"/>
  <c r="N20" i="4"/>
  <c r="H20" i="4"/>
  <c r="B20" i="4"/>
  <c r="E20" i="4"/>
  <c r="G20" i="4" a="1"/>
  <c r="G20" i="4" s="1"/>
  <c r="K20" i="4"/>
  <c r="F20" i="4" a="1"/>
  <c r="F20" i="4" s="1"/>
  <c r="D20" i="4" a="1"/>
  <c r="D20" i="4" s="1"/>
  <c r="J20" i="4" a="1"/>
  <c r="J20" i="4" s="1"/>
  <c r="C20" i="4" a="1"/>
  <c r="C20" i="4" s="1"/>
  <c r="A22" i="5"/>
  <c r="N21" i="5"/>
  <c r="B21" i="5"/>
  <c r="H21" i="5"/>
  <c r="D21" i="5"/>
  <c r="E21" i="5"/>
  <c r="I21" i="5" a="1"/>
  <c r="I21" i="5" s="1"/>
  <c r="J21" i="5" a="1"/>
  <c r="J21" i="5" s="1"/>
  <c r="K21" i="5"/>
  <c r="G21" i="5" a="1"/>
  <c r="G21" i="5" s="1"/>
  <c r="F21" i="5" a="1"/>
  <c r="F21" i="5" s="1"/>
  <c r="M21" i="5"/>
  <c r="L21" i="5"/>
  <c r="C21" i="5" a="1"/>
  <c r="C21" i="5" s="1"/>
  <c r="M22" i="5" l="1" a="1"/>
  <c r="L22" i="5" a="1"/>
  <c r="M21" i="4" a="1"/>
  <c r="M21" i="4" s="1"/>
  <c r="L21" i="4" a="1"/>
  <c r="L21" i="4" s="1"/>
  <c r="A22" i="4"/>
  <c r="H21" i="4"/>
  <c r="E21" i="4"/>
  <c r="N21" i="4"/>
  <c r="B21" i="4"/>
  <c r="F21" i="4" a="1"/>
  <c r="F21" i="4" s="1"/>
  <c r="K21" i="4"/>
  <c r="G21" i="4" a="1"/>
  <c r="G21" i="4" s="1"/>
  <c r="J21" i="4" a="1"/>
  <c r="J21" i="4" s="1"/>
  <c r="D21" i="4" a="1"/>
  <c r="D21" i="4" s="1"/>
  <c r="I21" i="4" a="1"/>
  <c r="I21" i="4" s="1"/>
  <c r="C21" i="4" a="1"/>
  <c r="C21" i="4" s="1"/>
  <c r="A23" i="5"/>
  <c r="H22" i="5"/>
  <c r="E22" i="5"/>
  <c r="N22" i="5"/>
  <c r="B22" i="5"/>
  <c r="D22" i="5"/>
  <c r="J22" i="5" a="1"/>
  <c r="J22" i="5" s="1"/>
  <c r="I22" i="5" a="1"/>
  <c r="I22" i="5" s="1"/>
  <c r="G22" i="5" a="1"/>
  <c r="G22" i="5" s="1"/>
  <c r="K22" i="5"/>
  <c r="F22" i="5" a="1"/>
  <c r="F22" i="5" s="1"/>
  <c r="M22" i="5"/>
  <c r="L22" i="5"/>
  <c r="C22" i="5" a="1"/>
  <c r="C22" i="5" s="1"/>
  <c r="M23" i="5" l="1" a="1"/>
  <c r="L23" i="5" a="1"/>
  <c r="M22" i="4" a="1"/>
  <c r="M22" i="4" s="1"/>
  <c r="L22" i="4" a="1"/>
  <c r="L22" i="4" s="1"/>
  <c r="A23" i="4"/>
  <c r="E22" i="4"/>
  <c r="B22" i="4"/>
  <c r="H22" i="4"/>
  <c r="N22" i="4"/>
  <c r="K22" i="4"/>
  <c r="G22" i="4" a="1"/>
  <c r="G22" i="4" s="1"/>
  <c r="F22" i="4" a="1"/>
  <c r="F22" i="4" s="1"/>
  <c r="J22" i="4" a="1"/>
  <c r="J22" i="4" s="1"/>
  <c r="D22" i="4" a="1"/>
  <c r="D22" i="4" s="1"/>
  <c r="I22" i="4" a="1"/>
  <c r="I22" i="4" s="1"/>
  <c r="C22" i="4" a="1"/>
  <c r="C22" i="4" s="1"/>
  <c r="A24" i="5"/>
  <c r="E23" i="5"/>
  <c r="D23" i="5"/>
  <c r="H23" i="5"/>
  <c r="N23" i="5"/>
  <c r="B23" i="5"/>
  <c r="J23" i="5" a="1"/>
  <c r="J23" i="5" s="1"/>
  <c r="I23" i="5" a="1"/>
  <c r="I23" i="5" s="1"/>
  <c r="F23" i="5" a="1"/>
  <c r="F23" i="5" s="1"/>
  <c r="K23" i="5"/>
  <c r="G23" i="5" a="1"/>
  <c r="G23" i="5" s="1"/>
  <c r="L23" i="5"/>
  <c r="M23" i="5"/>
  <c r="C23" i="5" a="1"/>
  <c r="C23" i="5" s="1"/>
  <c r="L24" i="5" l="1" a="1"/>
  <c r="M24" i="5" a="1"/>
  <c r="L23" i="4" a="1"/>
  <c r="L23" i="4" s="1"/>
  <c r="M23" i="4" a="1"/>
  <c r="M23" i="4" s="1"/>
  <c r="A24" i="4"/>
  <c r="B23" i="4"/>
  <c r="N23" i="4"/>
  <c r="E23" i="4"/>
  <c r="H23" i="4"/>
  <c r="G23" i="4" a="1"/>
  <c r="G23" i="4" s="1"/>
  <c r="K23" i="4"/>
  <c r="F23" i="4" a="1"/>
  <c r="F23" i="4" s="1"/>
  <c r="I23" i="4" a="1"/>
  <c r="I23" i="4" s="1"/>
  <c r="J23" i="4" a="1"/>
  <c r="J23" i="4" s="1"/>
  <c r="D23" i="4" a="1"/>
  <c r="D23" i="4" s="1"/>
  <c r="C23" i="4" a="1"/>
  <c r="C23" i="4" s="1"/>
  <c r="A25" i="5"/>
  <c r="D24" i="5"/>
  <c r="D38" i="5" s="1"/>
  <c r="N24" i="5"/>
  <c r="N38" i="5" s="1"/>
  <c r="B24" i="5"/>
  <c r="B38" i="5" s="1"/>
  <c r="E24" i="5"/>
  <c r="E38" i="5" s="1"/>
  <c r="H24" i="5"/>
  <c r="H38" i="5" s="1"/>
  <c r="I24" i="5" a="1"/>
  <c r="I24" i="5" s="1"/>
  <c r="I38" i="5" s="1"/>
  <c r="J24" i="5" a="1"/>
  <c r="J24" i="5" s="1"/>
  <c r="J38" i="5" s="1"/>
  <c r="G24" i="5" a="1"/>
  <c r="G24" i="5" s="1"/>
  <c r="G38" i="5" s="1"/>
  <c r="K24" i="5"/>
  <c r="K38" i="5" s="1"/>
  <c r="F24" i="5" a="1"/>
  <c r="F24" i="5" s="1"/>
  <c r="F38" i="5" s="1"/>
  <c r="L24" i="5"/>
  <c r="L38" i="5" s="1"/>
  <c r="M24" i="5"/>
  <c r="M38" i="5" s="1"/>
  <c r="C24" i="5" a="1"/>
  <c r="C24" i="5" s="1"/>
  <c r="C38" i="5" s="1"/>
  <c r="M25" i="5" l="1" a="1"/>
  <c r="L25" i="5" a="1"/>
  <c r="M24" i="4" a="1"/>
  <c r="M24" i="4" s="1"/>
  <c r="M38" i="4" s="1"/>
  <c r="L24" i="4" a="1"/>
  <c r="L24" i="4" s="1"/>
  <c r="L38" i="4" s="1"/>
  <c r="A25" i="4"/>
  <c r="N24" i="4"/>
  <c r="N38" i="4" s="1"/>
  <c r="H24" i="4"/>
  <c r="H38" i="4" s="1"/>
  <c r="B24" i="4"/>
  <c r="B38" i="4" s="1"/>
  <c r="E24" i="4"/>
  <c r="E38" i="4" s="1"/>
  <c r="F24" i="4" a="1"/>
  <c r="F24" i="4" s="1"/>
  <c r="F38" i="4" s="1"/>
  <c r="K24" i="4"/>
  <c r="K38" i="4" s="1"/>
  <c r="G24" i="4" a="1"/>
  <c r="G24" i="4" s="1"/>
  <c r="G38" i="4" s="1"/>
  <c r="J24" i="4" a="1"/>
  <c r="J24" i="4" s="1"/>
  <c r="J38" i="4" s="1"/>
  <c r="I24" i="4" a="1"/>
  <c r="I24" i="4" s="1"/>
  <c r="I38" i="4" s="1"/>
  <c r="D24" i="4" a="1"/>
  <c r="D24" i="4" s="1"/>
  <c r="D38" i="4" s="1"/>
  <c r="C24" i="4" a="1"/>
  <c r="C24" i="4" s="1"/>
  <c r="C38" i="4" s="1"/>
  <c r="A26" i="5"/>
  <c r="N25" i="5"/>
  <c r="B25" i="5"/>
  <c r="H25" i="5"/>
  <c r="D25" i="5"/>
  <c r="E25" i="5"/>
  <c r="I25" i="5" a="1"/>
  <c r="I25" i="5" s="1"/>
  <c r="J25" i="5" a="1"/>
  <c r="J25" i="5" s="1"/>
  <c r="K25" i="5"/>
  <c r="G25" i="5" a="1"/>
  <c r="G25" i="5" s="1"/>
  <c r="F25" i="5" a="1"/>
  <c r="F25" i="5" s="1"/>
  <c r="L25" i="5"/>
  <c r="M25" i="5"/>
  <c r="C25" i="5" a="1"/>
  <c r="C25" i="5" s="1"/>
  <c r="M26" i="5" l="1" a="1"/>
  <c r="L26" i="5" a="1"/>
  <c r="M25" i="4" a="1"/>
  <c r="M25" i="4" s="1"/>
  <c r="L25" i="4" a="1"/>
  <c r="L25" i="4" s="1"/>
  <c r="A26" i="4"/>
  <c r="H25" i="4"/>
  <c r="E25" i="4"/>
  <c r="N25" i="4"/>
  <c r="B25" i="4"/>
  <c r="K25" i="4"/>
  <c r="G25" i="4" a="1"/>
  <c r="G25" i="4" s="1"/>
  <c r="F25" i="4" a="1"/>
  <c r="F25" i="4" s="1"/>
  <c r="I25" i="4" a="1"/>
  <c r="I25" i="4" s="1"/>
  <c r="J25" i="4" a="1"/>
  <c r="J25" i="4" s="1"/>
  <c r="D25" i="4" a="1"/>
  <c r="D25" i="4" s="1"/>
  <c r="C25" i="4" a="1"/>
  <c r="C25" i="4" s="1"/>
  <c r="A27" i="5"/>
  <c r="H26" i="5"/>
  <c r="E26" i="5"/>
  <c r="N26" i="5"/>
  <c r="B26" i="5"/>
  <c r="D26" i="5"/>
  <c r="J26" i="5" a="1"/>
  <c r="J26" i="5" s="1"/>
  <c r="I26" i="5" a="1"/>
  <c r="I26" i="5" s="1"/>
  <c r="F26" i="5" a="1"/>
  <c r="F26" i="5" s="1"/>
  <c r="G26" i="5" a="1"/>
  <c r="G26" i="5" s="1"/>
  <c r="K26" i="5"/>
  <c r="L26" i="5"/>
  <c r="M26" i="5"/>
  <c r="C26" i="5" a="1"/>
  <c r="C26" i="5" s="1"/>
  <c r="M27" i="5" l="1" a="1"/>
  <c r="L27" i="5" a="1"/>
  <c r="L26" i="4" a="1"/>
  <c r="L26" i="4" s="1"/>
  <c r="M26" i="4" a="1"/>
  <c r="M26" i="4" s="1"/>
  <c r="A27" i="4"/>
  <c r="E26" i="4"/>
  <c r="B26" i="4"/>
  <c r="H26" i="4"/>
  <c r="N26" i="4"/>
  <c r="G26" i="4" a="1"/>
  <c r="G26" i="4" s="1"/>
  <c r="K26" i="4"/>
  <c r="F26" i="4" a="1"/>
  <c r="F26" i="4" s="1"/>
  <c r="D26" i="4" a="1"/>
  <c r="D26" i="4" s="1"/>
  <c r="I26" i="4" a="1"/>
  <c r="I26" i="4" s="1"/>
  <c r="J26" i="4" a="1"/>
  <c r="J26" i="4" s="1"/>
  <c r="C26" i="4" a="1"/>
  <c r="C26" i="4" s="1"/>
  <c r="A28" i="5"/>
  <c r="E27" i="5"/>
  <c r="D27" i="5"/>
  <c r="H27" i="5"/>
  <c r="N27" i="5"/>
  <c r="B27" i="5"/>
  <c r="J27" i="5" a="1"/>
  <c r="J27" i="5" s="1"/>
  <c r="I27" i="5" a="1"/>
  <c r="I27" i="5" s="1"/>
  <c r="K27" i="5"/>
  <c r="G27" i="5" a="1"/>
  <c r="G27" i="5" s="1"/>
  <c r="F27" i="5" a="1"/>
  <c r="F27" i="5" s="1"/>
  <c r="L27" i="5"/>
  <c r="M27" i="5"/>
  <c r="C27" i="5" a="1"/>
  <c r="C27" i="5" s="1"/>
  <c r="L28" i="5" l="1" a="1"/>
  <c r="M28" i="5" a="1"/>
  <c r="L27" i="4" a="1"/>
  <c r="L27" i="4" s="1"/>
  <c r="M27" i="4" a="1"/>
  <c r="M27" i="4" s="1"/>
  <c r="A28" i="4"/>
  <c r="B27" i="4"/>
  <c r="N27" i="4"/>
  <c r="E27" i="4"/>
  <c r="H27" i="4"/>
  <c r="G27" i="4" a="1"/>
  <c r="G27" i="4" s="1"/>
  <c r="K27" i="4"/>
  <c r="F27" i="4" a="1"/>
  <c r="F27" i="4" s="1"/>
  <c r="I27" i="4" a="1"/>
  <c r="I27" i="4" s="1"/>
  <c r="J27" i="4" a="1"/>
  <c r="J27" i="4" s="1"/>
  <c r="D27" i="4" a="1"/>
  <c r="D27" i="4" s="1"/>
  <c r="C27" i="4" a="1"/>
  <c r="C27" i="4" s="1"/>
  <c r="A29" i="5"/>
  <c r="D28" i="5"/>
  <c r="N28" i="5"/>
  <c r="B28" i="5"/>
  <c r="E28" i="5"/>
  <c r="H28" i="5"/>
  <c r="I28" i="5" a="1"/>
  <c r="I28" i="5" s="1"/>
  <c r="J28" i="5" a="1"/>
  <c r="J28" i="5" s="1"/>
  <c r="F28" i="5" a="1"/>
  <c r="F28" i="5" s="1"/>
  <c r="K28" i="5"/>
  <c r="G28" i="5" a="1"/>
  <c r="G28" i="5" s="1"/>
  <c r="M28" i="5"/>
  <c r="L28" i="5"/>
  <c r="C28" i="5" a="1"/>
  <c r="C28" i="5" s="1"/>
  <c r="M29" i="5" l="1" a="1"/>
  <c r="L29" i="5" a="1"/>
  <c r="M28" i="4" a="1"/>
  <c r="M28" i="4" s="1"/>
  <c r="L28" i="4" a="1"/>
  <c r="L28" i="4" s="1"/>
  <c r="A29" i="4"/>
  <c r="N28" i="4"/>
  <c r="H28" i="4"/>
  <c r="B28" i="4"/>
  <c r="E28" i="4"/>
  <c r="F28" i="4" a="1"/>
  <c r="F28" i="4" s="1"/>
  <c r="G28" i="4" a="1"/>
  <c r="G28" i="4" s="1"/>
  <c r="K28" i="4"/>
  <c r="J28" i="4" a="1"/>
  <c r="J28" i="4" s="1"/>
  <c r="D28" i="4" a="1"/>
  <c r="D28" i="4" s="1"/>
  <c r="I28" i="4" a="1"/>
  <c r="I28" i="4" s="1"/>
  <c r="C28" i="4" a="1"/>
  <c r="C28" i="4" s="1"/>
  <c r="A30" i="5"/>
  <c r="N29" i="5"/>
  <c r="B29" i="5"/>
  <c r="H29" i="5"/>
  <c r="D29" i="5"/>
  <c r="E29" i="5"/>
  <c r="J29" i="5" a="1"/>
  <c r="J29" i="5" s="1"/>
  <c r="I29" i="5" a="1"/>
  <c r="I29" i="5" s="1"/>
  <c r="F29" i="5" a="1"/>
  <c r="F29" i="5" s="1"/>
  <c r="G29" i="5" a="1"/>
  <c r="G29" i="5" s="1"/>
  <c r="K29" i="5"/>
  <c r="M29" i="5"/>
  <c r="L29" i="5"/>
  <c r="C29" i="5" a="1"/>
  <c r="C29" i="5" s="1"/>
  <c r="M30" i="5" l="1" a="1"/>
  <c r="L30" i="5" a="1"/>
  <c r="L29" i="4" a="1"/>
  <c r="L29" i="4" s="1"/>
  <c r="M29" i="4" a="1"/>
  <c r="M29" i="4" s="1"/>
  <c r="A30" i="4"/>
  <c r="H29" i="4"/>
  <c r="E29" i="4"/>
  <c r="N29" i="4"/>
  <c r="B29" i="4"/>
  <c r="G29" i="4" a="1"/>
  <c r="G29" i="4" s="1"/>
  <c r="K29" i="4"/>
  <c r="F29" i="4" a="1"/>
  <c r="F29" i="4" s="1"/>
  <c r="D29" i="4" a="1"/>
  <c r="D29" i="4" s="1"/>
  <c r="J29" i="4" a="1"/>
  <c r="J29" i="4" s="1"/>
  <c r="I29" i="4" a="1"/>
  <c r="I29" i="4" s="1"/>
  <c r="C29" i="4" a="1"/>
  <c r="C29" i="4" s="1"/>
  <c r="A31" i="5"/>
  <c r="H30" i="5"/>
  <c r="E30" i="5"/>
  <c r="N30" i="5"/>
  <c r="B30" i="5"/>
  <c r="D30" i="5"/>
  <c r="J30" i="5" a="1"/>
  <c r="J30" i="5" s="1"/>
  <c r="I30" i="5" a="1"/>
  <c r="I30" i="5" s="1"/>
  <c r="G30" i="5" a="1"/>
  <c r="G30" i="5" s="1"/>
  <c r="F30" i="5" a="1"/>
  <c r="F30" i="5" s="1"/>
  <c r="K30" i="5"/>
  <c r="L30" i="5"/>
  <c r="M30" i="5"/>
  <c r="C30" i="5" a="1"/>
  <c r="C30" i="5" s="1"/>
  <c r="M31" i="5" l="1" a="1"/>
  <c r="L31" i="5" a="1"/>
  <c r="L30" i="4" a="1"/>
  <c r="L30" i="4" s="1"/>
  <c r="M30" i="4" a="1"/>
  <c r="M30" i="4" s="1"/>
  <c r="A31" i="4"/>
  <c r="E30" i="4"/>
  <c r="B30" i="4"/>
  <c r="H30" i="4"/>
  <c r="N30" i="4"/>
  <c r="K30" i="4"/>
  <c r="F30" i="4" a="1"/>
  <c r="F30" i="4" s="1"/>
  <c r="G30" i="4" a="1"/>
  <c r="G30" i="4" s="1"/>
  <c r="J30" i="4" a="1"/>
  <c r="J30" i="4" s="1"/>
  <c r="D30" i="4" a="1"/>
  <c r="D30" i="4" s="1"/>
  <c r="I30" i="4" a="1"/>
  <c r="I30" i="4" s="1"/>
  <c r="C30" i="4" a="1"/>
  <c r="C30" i="4" s="1"/>
  <c r="A32" i="5"/>
  <c r="E31" i="5"/>
  <c r="D31" i="5"/>
  <c r="H31" i="5"/>
  <c r="N31" i="5"/>
  <c r="B31" i="5"/>
  <c r="J31" i="5" a="1"/>
  <c r="J31" i="5" s="1"/>
  <c r="I31" i="5" a="1"/>
  <c r="I31" i="5" s="1"/>
  <c r="G31" i="5" a="1"/>
  <c r="G31" i="5" s="1"/>
  <c r="F31" i="5" a="1"/>
  <c r="F31" i="5" s="1"/>
  <c r="K31" i="5"/>
  <c r="L31" i="5"/>
  <c r="M31" i="5"/>
  <c r="C31" i="5" a="1"/>
  <c r="C31" i="5" s="1"/>
  <c r="M32" i="5" l="1" a="1"/>
  <c r="L32" i="5" a="1"/>
  <c r="L31" i="4" a="1"/>
  <c r="L31" i="4" s="1"/>
  <c r="M31" i="4" a="1"/>
  <c r="M31" i="4" s="1"/>
  <c r="A32" i="4"/>
  <c r="B31" i="4"/>
  <c r="N31" i="4"/>
  <c r="E31" i="4"/>
  <c r="H31" i="4"/>
  <c r="F31" i="4" a="1"/>
  <c r="F31" i="4" s="1"/>
  <c r="K31" i="4"/>
  <c r="G31" i="4" a="1"/>
  <c r="G31" i="4" s="1"/>
  <c r="D31" i="4" a="1"/>
  <c r="D31" i="4" s="1"/>
  <c r="J31" i="4" a="1"/>
  <c r="J31" i="4" s="1"/>
  <c r="I31" i="4" a="1"/>
  <c r="I31" i="4" s="1"/>
  <c r="C31" i="4" a="1"/>
  <c r="C31" i="4" s="1"/>
  <c r="A33" i="5"/>
  <c r="D32" i="5"/>
  <c r="N32" i="5"/>
  <c r="B32" i="5"/>
  <c r="E32" i="5"/>
  <c r="H32" i="5"/>
  <c r="I32" i="5" a="1"/>
  <c r="I32" i="5" s="1"/>
  <c r="J32" i="5" a="1"/>
  <c r="J32" i="5" s="1"/>
  <c r="K32" i="5"/>
  <c r="G32" i="5" a="1"/>
  <c r="G32" i="5" s="1"/>
  <c r="F32" i="5" a="1"/>
  <c r="F32" i="5" s="1"/>
  <c r="L32" i="5"/>
  <c r="M32" i="5"/>
  <c r="C32" i="5" a="1"/>
  <c r="C32" i="5" s="1"/>
  <c r="M33" i="5" l="1" a="1"/>
  <c r="L33" i="5" a="1"/>
  <c r="M32" i="4" a="1"/>
  <c r="M32" i="4" s="1"/>
  <c r="L32" i="4" a="1"/>
  <c r="L32" i="4" s="1"/>
  <c r="A33" i="4"/>
  <c r="N32" i="4"/>
  <c r="H32" i="4"/>
  <c r="B32" i="4"/>
  <c r="E32" i="4"/>
  <c r="G32" i="4" a="1"/>
  <c r="G32" i="4" s="1"/>
  <c r="F32" i="4" a="1"/>
  <c r="F32" i="4" s="1"/>
  <c r="K32" i="4"/>
  <c r="D32" i="4" a="1"/>
  <c r="D32" i="4" s="1"/>
  <c r="I32" i="4" a="1"/>
  <c r="I32" i="4" s="1"/>
  <c r="J32" i="4" a="1"/>
  <c r="J32" i="4" s="1"/>
  <c r="C32" i="4" a="1"/>
  <c r="C32" i="4" s="1"/>
  <c r="A34" i="5"/>
  <c r="N33" i="5"/>
  <c r="B33" i="5"/>
  <c r="H33" i="5"/>
  <c r="D33" i="5"/>
  <c r="E33" i="5"/>
  <c r="I33" i="5" a="1"/>
  <c r="I33" i="5" s="1"/>
  <c r="J33" i="5" a="1"/>
  <c r="J33" i="5" s="1"/>
  <c r="G33" i="5" a="1"/>
  <c r="G33" i="5" s="1"/>
  <c r="F33" i="5" a="1"/>
  <c r="F33" i="5" s="1"/>
  <c r="K33" i="5"/>
  <c r="L33" i="5"/>
  <c r="M33" i="5"/>
  <c r="C33" i="5" a="1"/>
  <c r="C33" i="5" s="1"/>
  <c r="M34" i="5" l="1" a="1"/>
  <c r="L34" i="5" a="1"/>
  <c r="M33" i="4" a="1"/>
  <c r="M33" i="4" s="1"/>
  <c r="L33" i="4" a="1"/>
  <c r="L33" i="4" s="1"/>
  <c r="A34" i="4"/>
  <c r="H33" i="4"/>
  <c r="E33" i="4"/>
  <c r="N33" i="4"/>
  <c r="B33" i="4"/>
  <c r="F33" i="4" a="1"/>
  <c r="F33" i="4" s="1"/>
  <c r="K33" i="4"/>
  <c r="G33" i="4" a="1"/>
  <c r="G33" i="4" s="1"/>
  <c r="J33" i="4" a="1"/>
  <c r="J33" i="4" s="1"/>
  <c r="D33" i="4" a="1"/>
  <c r="D33" i="4" s="1"/>
  <c r="I33" i="4" a="1"/>
  <c r="I33" i="4" s="1"/>
  <c r="C33" i="4" a="1"/>
  <c r="C33" i="4" s="1"/>
  <c r="A35" i="5"/>
  <c r="H34" i="5"/>
  <c r="E34" i="5"/>
  <c r="N34" i="5"/>
  <c r="B34" i="5"/>
  <c r="D34" i="5"/>
  <c r="J34" i="5" a="1"/>
  <c r="J34" i="5" s="1"/>
  <c r="I34" i="5" a="1"/>
  <c r="I34" i="5" s="1"/>
  <c r="K34" i="5"/>
  <c r="G34" i="5" a="1"/>
  <c r="G34" i="5" s="1"/>
  <c r="F34" i="5" a="1"/>
  <c r="F34" i="5" s="1"/>
  <c r="L34" i="5"/>
  <c r="M34" i="5"/>
  <c r="C34" i="5" a="1"/>
  <c r="C34" i="5" s="1"/>
  <c r="L35" i="5" l="1" a="1"/>
  <c r="M35" i="5" a="1"/>
  <c r="M35" i="5" s="1"/>
  <c r="M34" i="4" a="1"/>
  <c r="M34" i="4" s="1"/>
  <c r="L34" i="4" a="1"/>
  <c r="L34" i="4" s="1"/>
  <c r="A35" i="4"/>
  <c r="E34" i="4"/>
  <c r="B34" i="4"/>
  <c r="H34" i="4"/>
  <c r="N34" i="4"/>
  <c r="K34" i="4"/>
  <c r="F34" i="4" a="1"/>
  <c r="F34" i="4" s="1"/>
  <c r="G34" i="4" a="1"/>
  <c r="G34" i="4" s="1"/>
  <c r="J34" i="4" a="1"/>
  <c r="J34" i="4" s="1"/>
  <c r="I34" i="4" a="1"/>
  <c r="I34" i="4" s="1"/>
  <c r="D34" i="4" a="1"/>
  <c r="D34" i="4" s="1"/>
  <c r="C34" i="4" a="1"/>
  <c r="C34" i="4" s="1"/>
  <c r="E35" i="5"/>
  <c r="D35" i="5"/>
  <c r="H35" i="5"/>
  <c r="N35" i="5"/>
  <c r="B35" i="5"/>
  <c r="B39" i="5" s="1"/>
  <c r="J35" i="5" a="1"/>
  <c r="J35" i="5" s="1"/>
  <c r="I35" i="5" a="1"/>
  <c r="I35" i="5" s="1"/>
  <c r="K35" i="5"/>
  <c r="K39" i="5" s="1"/>
  <c r="F35" i="5" a="1"/>
  <c r="F35" i="5" s="1"/>
  <c r="G35" i="5" a="1"/>
  <c r="G35" i="5" s="1"/>
  <c r="L35" i="5"/>
  <c r="C35" i="5" a="1"/>
  <c r="C35" i="5" s="1"/>
  <c r="L35" i="4" l="1" a="1"/>
  <c r="L35" i="4" s="1"/>
  <c r="M35" i="4" a="1"/>
  <c r="M35" i="4" s="1"/>
  <c r="B35" i="4"/>
  <c r="N35" i="4"/>
  <c r="E35" i="4"/>
  <c r="H35" i="4"/>
  <c r="F35" i="4" a="1"/>
  <c r="F35" i="4" s="1"/>
  <c r="K35" i="4"/>
  <c r="G35" i="4" a="1"/>
  <c r="G35" i="4" s="1"/>
  <c r="D35" i="4" a="1"/>
  <c r="D35" i="4" s="1"/>
  <c r="J35" i="4" a="1"/>
  <c r="J35" i="4" s="1"/>
  <c r="I35" i="4" a="1"/>
  <c r="I35" i="4" s="1"/>
  <c r="C35" i="4" a="1"/>
  <c r="C35" i="4" s="1"/>
  <c r="C40" i="5"/>
  <c r="C39" i="5"/>
  <c r="M40" i="5"/>
  <c r="M39" i="5"/>
  <c r="L40" i="5"/>
  <c r="L39" i="5"/>
  <c r="G40" i="5"/>
  <c r="G39" i="5"/>
  <c r="F40" i="5"/>
  <c r="F39" i="5"/>
  <c r="I40" i="5"/>
  <c r="I39" i="5"/>
  <c r="J40" i="5"/>
  <c r="J39" i="5"/>
  <c r="N40" i="5"/>
  <c r="N39" i="5"/>
  <c r="H40" i="5"/>
  <c r="H39" i="5"/>
  <c r="D40" i="5"/>
  <c r="D39" i="5"/>
  <c r="E40" i="5"/>
  <c r="E39" i="5"/>
  <c r="D70" i="5"/>
  <c r="F70" i="5"/>
  <c r="I70" i="5"/>
  <c r="G70" i="5"/>
  <c r="P40" i="5"/>
  <c r="Q40" i="5" s="1"/>
  <c r="K70" i="5"/>
  <c r="C70" i="5"/>
  <c r="E70" i="5"/>
  <c r="B70" i="5"/>
  <c r="H70" i="5"/>
  <c r="K40" i="5"/>
  <c r="J70" i="5"/>
  <c r="R40" i="5"/>
  <c r="M75" i="5"/>
  <c r="I75" i="5"/>
  <c r="J75" i="5"/>
  <c r="L75" i="5"/>
  <c r="B75" i="5"/>
  <c r="K75" i="5"/>
  <c r="C75" i="5"/>
  <c r="B40" i="5"/>
  <c r="G75" i="5"/>
  <c r="E75" i="5"/>
  <c r="F75" i="5"/>
  <c r="D75" i="5"/>
  <c r="H75" i="5"/>
  <c r="N75" i="5"/>
  <c r="I40" i="4" l="1"/>
  <c r="I39" i="4"/>
  <c r="M40" i="4"/>
  <c r="M39" i="4"/>
  <c r="H40" i="4"/>
  <c r="H39" i="4"/>
  <c r="C40" i="4"/>
  <c r="C39" i="4"/>
  <c r="L40" i="4"/>
  <c r="L39" i="4"/>
  <c r="G40" i="4"/>
  <c r="G39" i="4"/>
  <c r="E40" i="4"/>
  <c r="E39" i="4"/>
  <c r="J40" i="4"/>
  <c r="J39" i="4"/>
  <c r="D40" i="4"/>
  <c r="D39" i="4"/>
  <c r="G70" i="4"/>
  <c r="B70" i="4"/>
  <c r="E70" i="4"/>
  <c r="K70" i="4"/>
  <c r="J70" i="4"/>
  <c r="F70" i="4"/>
  <c r="C70" i="4"/>
  <c r="H70" i="4"/>
  <c r="R40" i="4"/>
  <c r="K40" i="4"/>
  <c r="P40" i="4"/>
  <c r="Q40" i="4" s="1"/>
  <c r="D70" i="4"/>
  <c r="I70" i="4"/>
  <c r="K39" i="4"/>
  <c r="N40" i="4"/>
  <c r="N39" i="4"/>
  <c r="F40" i="4"/>
  <c r="F39" i="4"/>
  <c r="B40" i="4"/>
  <c r="G75" i="4"/>
  <c r="L75" i="4"/>
  <c r="D75" i="4"/>
  <c r="I75" i="4"/>
  <c r="B75" i="4"/>
  <c r="N75" i="4"/>
  <c r="H75" i="4"/>
  <c r="E75" i="4"/>
  <c r="J75" i="4"/>
  <c r="F75" i="4"/>
  <c r="C75" i="4"/>
  <c r="K75" i="4"/>
  <c r="M75" i="4"/>
  <c r="B39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2B45673-1CEE-4C5D-93C0-82A299C8EBA9}" keepAlive="1" name="Запрос — Таблица1" description="Соединение с запросом &quot;Таблица1&quot; в книге." type="5" refreshedVersion="7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<sst xmlns="http://schemas.openxmlformats.org/spreadsheetml/2006/main" count="2562" uniqueCount="224">
  <si>
    <t>Дата</t>
  </si>
  <si>
    <t>Время</t>
  </si>
  <si>
    <t xml:space="preserve">              ВЕТЕР          </t>
  </si>
  <si>
    <t>румб</t>
  </si>
  <si>
    <t>м/с</t>
  </si>
  <si>
    <r>
      <t>°</t>
    </r>
    <r>
      <rPr>
        <sz val="9"/>
        <rFont val="Times New Roman Cyr"/>
        <family val="1"/>
        <charset val="204"/>
      </rPr>
      <t xml:space="preserve"> С</t>
    </r>
  </si>
  <si>
    <t>см</t>
  </si>
  <si>
    <t>мм</t>
  </si>
  <si>
    <t>гПа</t>
  </si>
  <si>
    <t>%</t>
  </si>
  <si>
    <t>0:00</t>
  </si>
  <si>
    <t>3:00</t>
  </si>
  <si>
    <t>6:00</t>
  </si>
  <si>
    <t>9:00</t>
  </si>
  <si>
    <t>12:00</t>
  </si>
  <si>
    <t>15:00</t>
  </si>
  <si>
    <t>18:00</t>
  </si>
  <si>
    <t>21:00</t>
  </si>
  <si>
    <t>Направление</t>
  </si>
  <si>
    <t>Средн. Скор.</t>
  </si>
  <si>
    <t>max порыв</t>
  </si>
  <si>
    <t>Явления в срок наблюд.</t>
  </si>
  <si>
    <t>Высота снега</t>
  </si>
  <si>
    <t>Осадки в срок</t>
  </si>
  <si>
    <t>Сум. осад. с начала месяца</t>
  </si>
  <si>
    <t>Давление в срок наблюд.</t>
  </si>
  <si>
    <t>Влажность в срок наблюд.</t>
  </si>
  <si>
    <t>Рудник</t>
  </si>
  <si>
    <r>
      <rPr>
        <sz val="9"/>
        <rFont val="Calibri"/>
        <family val="2"/>
        <charset val="204"/>
      </rPr>
      <t>Δ</t>
    </r>
    <r>
      <rPr>
        <sz val="9.9"/>
        <rFont val="Times New Roman Cyr"/>
        <family val="1"/>
        <charset val="204"/>
      </rPr>
      <t xml:space="preserve"> высоты снега</t>
    </r>
  </si>
  <si>
    <t>ЗЮЗ</t>
  </si>
  <si>
    <t>С</t>
  </si>
  <si>
    <t>ССВ</t>
  </si>
  <si>
    <t>СВ</t>
  </si>
  <si>
    <t>ВСВ</t>
  </si>
  <si>
    <t>В</t>
  </si>
  <si>
    <t>ВЮВ</t>
  </si>
  <si>
    <t>ЮВ</t>
  </si>
  <si>
    <t>ЮЮВ</t>
  </si>
  <si>
    <t>Ю</t>
  </si>
  <si>
    <t>ЮЮЗ</t>
  </si>
  <si>
    <t>ЮЗ</t>
  </si>
  <si>
    <t>З</t>
  </si>
  <si>
    <t>ЗСЗ</t>
  </si>
  <si>
    <t>СЗ</t>
  </si>
  <si>
    <t>ССЗ</t>
  </si>
  <si>
    <t>~</t>
  </si>
  <si>
    <t>Румб</t>
  </si>
  <si>
    <t>штиль</t>
  </si>
  <si>
    <t>Рекомендации</t>
  </si>
  <si>
    <t>по лавинной</t>
  </si>
  <si>
    <t>опасности</t>
  </si>
  <si>
    <t>ТЕМПЕРАТУРА</t>
  </si>
  <si>
    <t>ВЕТЕР</t>
  </si>
  <si>
    <t>ОСАДКИ</t>
  </si>
  <si>
    <t>воздуха</t>
  </si>
  <si>
    <t>средн.</t>
  </si>
  <si>
    <t>макс.</t>
  </si>
  <si>
    <t>день</t>
  </si>
  <si>
    <t>ночь</t>
  </si>
  <si>
    <t>мин.</t>
  </si>
  <si>
    <t>порыв</t>
  </si>
  <si>
    <r>
      <t>о</t>
    </r>
    <r>
      <rPr>
        <sz val="10"/>
        <rFont val="Times New Roman Cyr"/>
        <family val="1"/>
        <charset val="204"/>
      </rPr>
      <t xml:space="preserve"> С</t>
    </r>
  </si>
  <si>
    <t>АТМОСФЕРНОЕ ДАВЛЕНИЕ</t>
  </si>
  <si>
    <t>за сутки</t>
  </si>
  <si>
    <t xml:space="preserve">макс. из 8 сроков </t>
  </si>
  <si>
    <t>Мин.</t>
  </si>
  <si>
    <t>Средн.</t>
  </si>
  <si>
    <t>Макс.</t>
  </si>
  <si>
    <t>1 декада</t>
  </si>
  <si>
    <t>2 декада</t>
  </si>
  <si>
    <t>3 декада</t>
  </si>
  <si>
    <t>Месяц</t>
  </si>
  <si>
    <t>Ветер - число случаев (ч) и средняя скорость (с, м/с) различных румбов по срокам</t>
  </si>
  <si>
    <t>Срок</t>
  </si>
  <si>
    <t>Штиль</t>
  </si>
  <si>
    <t>ч</t>
  </si>
  <si>
    <t>с</t>
  </si>
  <si>
    <t>Сум.</t>
  </si>
  <si>
    <t>Сред.</t>
  </si>
  <si>
    <t>Ветер - число случаев со скоростью различных градаций по срокам</t>
  </si>
  <si>
    <t>0-1</t>
  </si>
  <si>
    <t>2-3</t>
  </si>
  <si>
    <t>4-5</t>
  </si>
  <si>
    <t>6-7</t>
  </si>
  <si>
    <t>8-9</t>
  </si>
  <si>
    <t>10-11</t>
  </si>
  <si>
    <t>12-13</t>
  </si>
  <si>
    <t>14-15</t>
  </si>
  <si>
    <t>16-17</t>
  </si>
  <si>
    <t>18-20</t>
  </si>
  <si>
    <t>21-24</t>
  </si>
  <si>
    <t>25-28</t>
  </si>
  <si>
    <t>29-34</t>
  </si>
  <si>
    <t>36-40</t>
  </si>
  <si>
    <t>&gt;40</t>
  </si>
  <si>
    <t>Число дней с осадками по градациям, не менее мм</t>
  </si>
  <si>
    <t>Осадки, мм</t>
  </si>
  <si>
    <t>Число дней со среднесуточной температурой по градациям</t>
  </si>
  <si>
    <t>&gt;-35,0</t>
  </si>
  <si>
    <t>&gt;-30,0</t>
  </si>
  <si>
    <t>&gt;-25,0</t>
  </si>
  <si>
    <t>&gt;-20,0</t>
  </si>
  <si>
    <t>&gt;-15,0</t>
  </si>
  <si>
    <t>&gt;-10,0</t>
  </si>
  <si>
    <t>&gt;-5,0</t>
  </si>
  <si>
    <t>&gt;0,0</t>
  </si>
  <si>
    <t>&gt;5,0</t>
  </si>
  <si>
    <t>&gt;10,0</t>
  </si>
  <si>
    <t>&gt;15,0</t>
  </si>
  <si>
    <t>&gt;20,0</t>
  </si>
  <si>
    <t>&gt;25,0</t>
  </si>
  <si>
    <t>&lt;=-30,0</t>
  </si>
  <si>
    <t>&lt;=-25,0</t>
  </si>
  <si>
    <t>&lt;=-20,0</t>
  </si>
  <si>
    <t>&lt;=-15,0</t>
  </si>
  <si>
    <t>&lt;=-10,0</t>
  </si>
  <si>
    <t>&lt;=-5,0</t>
  </si>
  <si>
    <t>&lt;=0,0</t>
  </si>
  <si>
    <t>&lt;=5,0</t>
  </si>
  <si>
    <t>&lt;=10,0</t>
  </si>
  <si>
    <t>&lt;=15,0</t>
  </si>
  <si>
    <t>&lt;=20,0</t>
  </si>
  <si>
    <t>&lt;=25,0</t>
  </si>
  <si>
    <t>&lt;=30,0</t>
  </si>
  <si>
    <r>
      <t>о</t>
    </r>
    <r>
      <rPr>
        <sz val="9"/>
        <rFont val="Times New Roman Cyr"/>
        <family val="1"/>
        <charset val="204"/>
      </rPr>
      <t xml:space="preserve"> С</t>
    </r>
  </si>
  <si>
    <t>Сумма, мес.</t>
  </si>
  <si>
    <t>Высота за</t>
  </si>
  <si>
    <t>м</t>
  </si>
  <si>
    <t>Круча</t>
  </si>
  <si>
    <t>то, м</t>
  </si>
  <si>
    <t>то</t>
  </si>
  <si>
    <t>-</t>
  </si>
  <si>
    <t>т</t>
  </si>
  <si>
    <t>т, то</t>
  </si>
  <si>
    <t>т, то, м</t>
  </si>
  <si>
    <t xml:space="preserve">Средн. </t>
  </si>
  <si>
    <t>Скор.</t>
  </si>
  <si>
    <t>Направ</t>
  </si>
  <si>
    <t>ление</t>
  </si>
  <si>
    <t xml:space="preserve">Явления </t>
  </si>
  <si>
    <t>в срок</t>
  </si>
  <si>
    <t xml:space="preserve"> наблюд.</t>
  </si>
  <si>
    <t xml:space="preserve">Высота </t>
  </si>
  <si>
    <t>снега</t>
  </si>
  <si>
    <r>
      <rPr>
        <sz val="9"/>
        <rFont val="Calibri"/>
        <family val="2"/>
        <charset val="204"/>
      </rPr>
      <t>Δ</t>
    </r>
    <r>
      <rPr>
        <sz val="9.9"/>
        <rFont val="Times New Roman Cyr"/>
        <family val="1"/>
        <charset val="204"/>
      </rPr>
      <t xml:space="preserve"> высоты </t>
    </r>
  </si>
  <si>
    <t xml:space="preserve">Осадки </t>
  </si>
  <si>
    <t xml:space="preserve">Сум. осад. </t>
  </si>
  <si>
    <t xml:space="preserve">с начала </t>
  </si>
  <si>
    <t>месяца</t>
  </si>
  <si>
    <t xml:space="preserve">Давление </t>
  </si>
  <si>
    <t xml:space="preserve">в срок </t>
  </si>
  <si>
    <t>наблюд.</t>
  </si>
  <si>
    <t xml:space="preserve">Влажность 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</si>
  <si>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</si>
  <si>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</si>
  <si>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</si>
  <si>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</si>
  <si>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</si>
  <si>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</si>
  <si>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</si>
  <si>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</si>
  <si>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</si>
  <si>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</si>
  <si>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</si>
  <si>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</si>
  <si>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</si>
  <si>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</si>
  <si>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</si>
  <si>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</si>
  <si>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Направление, румб</t>
  </si>
  <si>
    <t>Средн. скор. м/с</t>
  </si>
  <si>
    <t>Макс. порыв м/с</t>
  </si>
  <si>
    <t>Т. Средн. ° С</t>
  </si>
  <si>
    <t>Т. Макс. ° С</t>
  </si>
  <si>
    <t>Т. Мин. ° С</t>
  </si>
  <si>
    <t>Явления</t>
  </si>
  <si>
    <t>Высота снега см</t>
  </si>
  <si>
    <t>Δ высоты снега см</t>
  </si>
  <si>
    <t>Осадки в срок мм</t>
  </si>
  <si>
    <t>Сум. осад. с начала месяца мм</t>
  </si>
  <si>
    <t>Давление гПа</t>
  </si>
  <si>
    <t>Влажность %</t>
  </si>
  <si>
    <t>рекомендации</t>
  </si>
  <si>
    <t>Названия строк</t>
  </si>
  <si>
    <t>Общий итог</t>
  </si>
  <si>
    <t>Названия столбцов</t>
  </si>
  <si>
    <t>Количество по полю Средн. скор. м/с</t>
  </si>
  <si>
    <t>Декада 1</t>
  </si>
  <si>
    <t>Декада 2</t>
  </si>
  <si>
    <t>Декада 3</t>
  </si>
  <si>
    <t>Т ° С</t>
  </si>
  <si>
    <t>Т. ° С Макс.</t>
  </si>
  <si>
    <t>Т.  ° С Мин.</t>
  </si>
  <si>
    <t>Средн. Давление гПа</t>
  </si>
  <si>
    <t>Макс. Давление гПа2</t>
  </si>
  <si>
    <t>Мин. Давление гПа3</t>
  </si>
  <si>
    <t xml:space="preserve"> Ветер Средн. скор. м/с</t>
  </si>
  <si>
    <t>Ветер Макс. скор. м/с2</t>
  </si>
  <si>
    <t>Ветер Макс. порыв м/с</t>
  </si>
  <si>
    <t>Осадки мм</t>
  </si>
  <si>
    <t>35-40</t>
  </si>
  <si>
    <t>Разбивка по скорости</t>
  </si>
  <si>
    <t>Случаи</t>
  </si>
  <si>
    <t xml:space="preserve"> Т. Средн. ° С</t>
  </si>
  <si>
    <t xml:space="preserve"> Т. Макс. ° С</t>
  </si>
  <si>
    <t xml:space="preserve"> Т. Мин. ° С</t>
  </si>
  <si>
    <t>Средн.  Давление гПа</t>
  </si>
  <si>
    <t>Средн. скор. Ветра м/с</t>
  </si>
  <si>
    <t>Макс. скор. Ветра м/с</t>
  </si>
  <si>
    <t>Макс. Порыв Ветра м/с</t>
  </si>
  <si>
    <t>Количество по полю Т. Средн. ° С</t>
  </si>
  <si>
    <t>-20--15</t>
  </si>
  <si>
    <t>-15--10</t>
  </si>
  <si>
    <t>-10--5</t>
  </si>
  <si>
    <t>-5-0</t>
  </si>
  <si>
    <t>0-5</t>
  </si>
  <si>
    <t>(пусто)</t>
  </si>
  <si>
    <t>(пусто) Итог</t>
  </si>
  <si>
    <t xml:space="preserve"> Осадки за сутки мм</t>
  </si>
  <si>
    <t>День</t>
  </si>
  <si>
    <t>Ночь</t>
  </si>
  <si>
    <t>Осадки  мм</t>
  </si>
  <si>
    <t xml:space="preserve"> Высота снега см</t>
  </si>
  <si>
    <t>Сутки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</si>
</sst>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.0"/>
    <numFmt numFmtId="165" formatCode="_-* #,##0.00&quot;р.&quot;_-;\-* #,##0.00&quot;р.&quot;_-;_-* &quot;-&quot;??&quot;р.&quot;_-;_-@_-"/>
    <numFmt numFmtId="166" formatCode="_-* #,##0_-;\-* #,##0_-;_-* &quot;-&quot;??_-;_-@_-"/>
    <numFmt numFmtId="167" formatCode="[$-F400]h:mm:ss\ AM/PM"/>
  </numFmts>
  <fonts count="21" x14ac:knownFonts="1">
    <font>
      <sz val="11"/>
      <color theme="1"/>
      <name val="Calibri"/>
      <family val="2"/>
      <charset val="204"/>
      <scheme val="minor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2"/>
      <name val="Courier"/>
      <charset val="204"/>
    </font>
    <font>
      <sz val="10"/>
      <color indexed="8"/>
      <name val="Times New Roman Cyr"/>
      <family val="1"/>
      <charset val="204"/>
    </font>
    <font>
      <sz val="9"/>
      <name val="Calibri"/>
      <family val="2"/>
      <charset val="204"/>
    </font>
    <font>
      <sz val="9.9"/>
      <name val="Times New Roman Cyr"/>
      <family val="1"/>
      <charset val="204"/>
    </font>
    <font>
      <sz val="9"/>
      <name val="Times New Roman Cyr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 Cyr"/>
      <charset val="204"/>
    </font>
    <font>
      <vertAlign val="superscript"/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sz val="8"/>
      <name val="Calibri"/>
      <family val="2"/>
      <charset val="204"/>
      <scheme val="minor"/>
    </font>
    <font>
      <vertAlign val="superscript"/>
      <sz val="9"/>
      <name val="Times New Roman Cyr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3" fillId="0" borderId="0"/>
    <xf numFmtId="165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246">
    <xf numFmtId="0" fontId="0" fillId="0" borderId="0" xfId="0"/>
    <xf numFmtId="0" fontId="2" fillId="0" borderId="6" xfId="0" applyFont="1" applyBorder="1" applyAlignment="1" applyProtection="1">
      <alignment horizontal="center"/>
      <protection locked="0"/>
    </xf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2" fillId="2" borderId="6" xfId="0" applyNumberFormat="1" applyFont="1" applyFill="1" applyBorder="1" applyAlignment="1" applyProtection="1">
      <alignment horizontal="center"/>
      <protection locked="0"/>
    </xf>
    <xf numFmtId="20" fontId="2" fillId="0" borderId="6" xfId="0" applyNumberFormat="1" applyFont="1" applyBorder="1" applyAlignment="1" applyProtection="1">
      <alignment horizontal="center"/>
      <protection locked="0"/>
    </xf>
    <xf numFmtId="164" fontId="2" fillId="0" borderId="6" xfId="0" applyNumberFormat="1" applyFont="1" applyBorder="1" applyAlignment="1" applyProtection="1">
      <alignment horizontal="center"/>
      <protection locked="0"/>
    </xf>
    <xf numFmtId="1" fontId="0" fillId="0" borderId="6" xfId="0" applyNumberFormat="1" applyBorder="1" applyAlignment="1">
      <alignment horizontal="center"/>
    </xf>
    <xf numFmtId="164" fontId="2" fillId="0" borderId="6" xfId="0" quotePrefix="1" applyNumberFormat="1" applyFont="1" applyBorder="1" applyAlignment="1" applyProtection="1">
      <alignment horizontal="center"/>
      <protection locked="0"/>
    </xf>
    <xf numFmtId="1" fontId="2" fillId="0" borderId="6" xfId="0" applyNumberFormat="1" applyFont="1" applyBorder="1" applyAlignment="1" applyProtection="1">
      <alignment horizontal="center"/>
      <protection locked="0"/>
    </xf>
    <xf numFmtId="14" fontId="2" fillId="3" borderId="6" xfId="0" applyNumberFormat="1" applyFont="1" applyFill="1" applyBorder="1" applyAlignment="1" applyProtection="1">
      <alignment horizontal="center"/>
      <protection locked="0"/>
    </xf>
    <xf numFmtId="14" fontId="2" fillId="4" borderId="6" xfId="0" applyNumberFormat="1" applyFont="1" applyFill="1" applyBorder="1" applyAlignment="1" applyProtection="1">
      <alignment horizontal="center"/>
      <protection locked="0"/>
    </xf>
    <xf numFmtId="14" fontId="2" fillId="5" borderId="6" xfId="0" applyNumberFormat="1" applyFont="1" applyFill="1" applyBorder="1" applyAlignment="1" applyProtection="1">
      <alignment horizontal="center"/>
      <protection locked="0"/>
    </xf>
    <xf numFmtId="14" fontId="2" fillId="6" borderId="6" xfId="0" applyNumberFormat="1" applyFont="1" applyFill="1" applyBorder="1" applyAlignment="1" applyProtection="1">
      <alignment horizontal="center"/>
      <protection locked="0"/>
    </xf>
    <xf numFmtId="14" fontId="2" fillId="7" borderId="6" xfId="0" applyNumberFormat="1" applyFont="1" applyFill="1" applyBorder="1" applyAlignment="1" applyProtection="1">
      <alignment horizontal="center"/>
      <protection locked="0"/>
    </xf>
    <xf numFmtId="14" fontId="2" fillId="8" borderId="6" xfId="0" applyNumberFormat="1" applyFont="1" applyFill="1" applyBorder="1" applyAlignment="1" applyProtection="1">
      <alignment horizontal="center"/>
      <protection locked="0"/>
    </xf>
    <xf numFmtId="14" fontId="2" fillId="9" borderId="6" xfId="0" applyNumberFormat="1" applyFont="1" applyFill="1" applyBorder="1" applyAlignment="1" applyProtection="1">
      <alignment horizontal="center"/>
      <protection locked="0"/>
    </xf>
    <xf numFmtId="14" fontId="2" fillId="10" borderId="6" xfId="0" applyNumberFormat="1" applyFont="1" applyFill="1" applyBorder="1" applyAlignment="1" applyProtection="1">
      <alignment horizontal="center"/>
      <protection locked="0"/>
    </xf>
    <xf numFmtId="14" fontId="2" fillId="11" borderId="6" xfId="0" applyNumberFormat="1" applyFont="1" applyFill="1" applyBorder="1" applyAlignment="1" applyProtection="1">
      <alignment horizontal="center"/>
      <protection locked="0"/>
    </xf>
    <xf numFmtId="14" fontId="2" fillId="12" borderId="6" xfId="0" applyNumberFormat="1" applyFont="1" applyFill="1" applyBorder="1" applyAlignment="1" applyProtection="1">
      <alignment horizontal="center"/>
      <protection locked="0"/>
    </xf>
    <xf numFmtId="14" fontId="2" fillId="13" borderId="6" xfId="0" applyNumberFormat="1" applyFont="1" applyFill="1" applyBorder="1" applyAlignment="1" applyProtection="1">
      <alignment horizontal="center"/>
      <protection locked="0"/>
    </xf>
    <xf numFmtId="14" fontId="2" fillId="14" borderId="6" xfId="0" applyNumberFormat="1" applyFont="1" applyFill="1" applyBorder="1" applyAlignment="1" applyProtection="1">
      <alignment horizontal="center"/>
      <protection locked="0"/>
    </xf>
    <xf numFmtId="14" fontId="2" fillId="15" borderId="6" xfId="0" applyNumberFormat="1" applyFont="1" applyFill="1" applyBorder="1" applyAlignment="1" applyProtection="1">
      <alignment horizontal="center"/>
      <protection locked="0"/>
    </xf>
    <xf numFmtId="14" fontId="2" fillId="16" borderId="6" xfId="0" applyNumberFormat="1" applyFont="1" applyFill="1" applyBorder="1" applyAlignment="1" applyProtection="1">
      <alignment horizontal="center"/>
      <protection locked="0"/>
    </xf>
    <xf numFmtId="14" fontId="2" fillId="17" borderId="6" xfId="0" applyNumberFormat="1" applyFont="1" applyFill="1" applyBorder="1" applyAlignment="1" applyProtection="1">
      <alignment horizontal="center"/>
      <protection locked="0"/>
    </xf>
    <xf numFmtId="14" fontId="2" fillId="18" borderId="6" xfId="0" applyNumberFormat="1" applyFont="1" applyFill="1" applyBorder="1" applyAlignment="1" applyProtection="1">
      <alignment horizontal="center"/>
      <protection locked="0"/>
    </xf>
    <xf numFmtId="164" fontId="4" fillId="0" borderId="6" xfId="1" applyNumberFormat="1" applyFont="1" applyBorder="1" applyAlignment="1" applyProtection="1">
      <alignment horizontal="center"/>
      <protection locked="0"/>
    </xf>
    <xf numFmtId="14" fontId="2" fillId="19" borderId="6" xfId="0" applyNumberFormat="1" applyFont="1" applyFill="1" applyBorder="1" applyAlignment="1" applyProtection="1">
      <alignment horizontal="center"/>
      <protection locked="0"/>
    </xf>
    <xf numFmtId="164" fontId="4" fillId="0" borderId="6" xfId="0" applyNumberFormat="1" applyFont="1" applyBorder="1" applyAlignment="1" applyProtection="1">
      <alignment horizontal="center"/>
      <protection locked="0"/>
    </xf>
    <xf numFmtId="14" fontId="2" fillId="20" borderId="6" xfId="0" applyNumberFormat="1" applyFont="1" applyFill="1" applyBorder="1" applyAlignment="1" applyProtection="1">
      <alignment horizontal="center"/>
      <protection locked="0"/>
    </xf>
    <xf numFmtId="14" fontId="2" fillId="21" borderId="6" xfId="0" applyNumberFormat="1" applyFont="1" applyFill="1" applyBorder="1" applyAlignment="1" applyProtection="1">
      <alignment horizontal="center"/>
      <protection locked="0"/>
    </xf>
    <xf numFmtId="14" fontId="2" fillId="22" borderId="6" xfId="0" applyNumberFormat="1" applyFont="1" applyFill="1" applyBorder="1" applyAlignment="1" applyProtection="1">
      <alignment horizontal="center"/>
      <protection locked="0"/>
    </xf>
    <xf numFmtId="164" fontId="0" fillId="0" borderId="6" xfId="0" applyNumberFormat="1" applyBorder="1"/>
    <xf numFmtId="0" fontId="8" fillId="0" borderId="6" xfId="0" applyFont="1" applyBorder="1"/>
    <xf numFmtId="0" fontId="0" fillId="0" borderId="6" xfId="0" applyBorder="1"/>
    <xf numFmtId="0" fontId="8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9" fillId="0" borderId="0" xfId="0" applyFont="1"/>
    <xf numFmtId="14" fontId="1" fillId="2" borderId="6" xfId="0" applyNumberFormat="1" applyFont="1" applyFill="1" applyBorder="1" applyAlignment="1" applyProtection="1">
      <alignment horizontal="center"/>
      <protection locked="0"/>
    </xf>
    <xf numFmtId="164" fontId="2" fillId="0" borderId="6" xfId="0" applyNumberFormat="1" applyFont="1" applyBorder="1" applyAlignment="1">
      <alignment horizontal="center"/>
    </xf>
    <xf numFmtId="14" fontId="1" fillId="3" borderId="6" xfId="0" applyNumberFormat="1" applyFont="1" applyFill="1" applyBorder="1" applyAlignment="1" applyProtection="1">
      <alignment horizontal="center"/>
      <protection locked="0"/>
    </xf>
    <xf numFmtId="14" fontId="1" fillId="4" borderId="6" xfId="0" applyNumberFormat="1" applyFont="1" applyFill="1" applyBorder="1" applyAlignment="1" applyProtection="1">
      <alignment horizontal="center"/>
      <protection locked="0"/>
    </xf>
    <xf numFmtId="14" fontId="1" fillId="5" borderId="6" xfId="0" applyNumberFormat="1" applyFont="1" applyFill="1" applyBorder="1" applyAlignment="1" applyProtection="1">
      <alignment horizontal="center"/>
      <protection locked="0"/>
    </xf>
    <xf numFmtId="14" fontId="1" fillId="6" borderId="6" xfId="0" applyNumberFormat="1" applyFont="1" applyFill="1" applyBorder="1" applyAlignment="1" applyProtection="1">
      <alignment horizontal="center"/>
      <protection locked="0"/>
    </xf>
    <xf numFmtId="14" fontId="1" fillId="7" borderId="6" xfId="0" applyNumberFormat="1" applyFont="1" applyFill="1" applyBorder="1" applyAlignment="1" applyProtection="1">
      <alignment horizontal="center"/>
      <protection locked="0"/>
    </xf>
    <xf numFmtId="14" fontId="1" fillId="8" borderId="6" xfId="0" applyNumberFormat="1" applyFont="1" applyFill="1" applyBorder="1" applyAlignment="1" applyProtection="1">
      <alignment horizontal="center"/>
      <protection locked="0"/>
    </xf>
    <xf numFmtId="14" fontId="1" fillId="9" borderId="6" xfId="0" applyNumberFormat="1" applyFont="1" applyFill="1" applyBorder="1" applyAlignment="1" applyProtection="1">
      <alignment horizontal="center"/>
      <protection locked="0"/>
    </xf>
    <xf numFmtId="14" fontId="1" fillId="10" borderId="6" xfId="0" applyNumberFormat="1" applyFont="1" applyFill="1" applyBorder="1" applyAlignment="1" applyProtection="1">
      <alignment horizontal="center"/>
      <protection locked="0"/>
    </xf>
    <xf numFmtId="14" fontId="1" fillId="11" borderId="6" xfId="0" applyNumberFormat="1" applyFont="1" applyFill="1" applyBorder="1" applyAlignment="1" applyProtection="1">
      <alignment horizontal="center"/>
      <protection locked="0"/>
    </xf>
    <xf numFmtId="14" fontId="1" fillId="12" borderId="6" xfId="0" applyNumberFormat="1" applyFont="1" applyFill="1" applyBorder="1" applyAlignment="1" applyProtection="1">
      <alignment horizontal="center"/>
      <protection locked="0"/>
    </xf>
    <xf numFmtId="14" fontId="1" fillId="13" borderId="6" xfId="0" applyNumberFormat="1" applyFont="1" applyFill="1" applyBorder="1" applyAlignment="1" applyProtection="1">
      <alignment horizontal="center"/>
      <protection locked="0"/>
    </xf>
    <xf numFmtId="14" fontId="1" fillId="14" borderId="6" xfId="0" applyNumberFormat="1" applyFont="1" applyFill="1" applyBorder="1" applyAlignment="1" applyProtection="1">
      <alignment horizontal="center"/>
      <protection locked="0"/>
    </xf>
    <xf numFmtId="14" fontId="1" fillId="15" borderId="6" xfId="0" applyNumberFormat="1" applyFont="1" applyFill="1" applyBorder="1" applyAlignment="1" applyProtection="1">
      <alignment horizontal="center"/>
      <protection locked="0"/>
    </xf>
    <xf numFmtId="14" fontId="1" fillId="16" borderId="6" xfId="0" applyNumberFormat="1" applyFont="1" applyFill="1" applyBorder="1" applyAlignment="1" applyProtection="1">
      <alignment horizontal="center"/>
      <protection locked="0"/>
    </xf>
    <xf numFmtId="14" fontId="1" fillId="17" borderId="6" xfId="0" applyNumberFormat="1" applyFont="1" applyFill="1" applyBorder="1" applyAlignment="1" applyProtection="1">
      <alignment horizontal="center"/>
      <protection locked="0"/>
    </xf>
    <xf numFmtId="14" fontId="1" fillId="18" borderId="6" xfId="0" applyNumberFormat="1" applyFont="1" applyFill="1" applyBorder="1" applyAlignment="1" applyProtection="1">
      <alignment horizontal="center"/>
      <protection locked="0"/>
    </xf>
    <xf numFmtId="14" fontId="1" fillId="19" borderId="6" xfId="0" applyNumberFormat="1" applyFont="1" applyFill="1" applyBorder="1" applyAlignment="1" applyProtection="1">
      <alignment horizontal="center"/>
      <protection locked="0"/>
    </xf>
    <xf numFmtId="14" fontId="1" fillId="20" borderId="6" xfId="0" applyNumberFormat="1" applyFont="1" applyFill="1" applyBorder="1" applyAlignment="1" applyProtection="1">
      <alignment horizontal="center"/>
      <protection locked="0"/>
    </xf>
    <xf numFmtId="14" fontId="1" fillId="21" borderId="6" xfId="0" applyNumberFormat="1" applyFont="1" applyFill="1" applyBorder="1" applyAlignment="1" applyProtection="1">
      <alignment horizontal="center"/>
      <protection locked="0"/>
    </xf>
    <xf numFmtId="14" fontId="1" fillId="22" borderId="6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quotePrefix="1" applyFont="1" applyAlignment="1" applyProtection="1">
      <alignment horizontal="center"/>
      <protection locked="0"/>
    </xf>
    <xf numFmtId="1" fontId="1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1" fontId="4" fillId="0" borderId="6" xfId="1" applyNumberFormat="1" applyFont="1" applyBorder="1" applyAlignment="1" applyProtection="1">
      <alignment horizontal="center"/>
      <protection locked="0"/>
    </xf>
    <xf numFmtId="0" fontId="4" fillId="0" borderId="6" xfId="1" applyFont="1" applyBorder="1" applyAlignment="1" applyProtection="1">
      <alignment horizontal="center"/>
      <protection locked="0"/>
    </xf>
    <xf numFmtId="49" fontId="4" fillId="0" borderId="6" xfId="0" applyNumberFormat="1" applyFont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" fontId="10" fillId="0" borderId="6" xfId="0" applyNumberFormat="1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Continuous"/>
      <protection locked="0"/>
    </xf>
    <xf numFmtId="164" fontId="2" fillId="0" borderId="6" xfId="0" applyNumberFormat="1" applyFont="1" applyBorder="1" applyAlignment="1" applyProtection="1">
      <alignment horizontal="centerContinuous"/>
      <protection locked="0"/>
    </xf>
    <xf numFmtId="164" fontId="11" fillId="0" borderId="6" xfId="0" applyNumberFormat="1" applyFont="1" applyBorder="1" applyAlignment="1" applyProtection="1">
      <alignment horizontal="centerContinuous"/>
      <protection locked="0"/>
    </xf>
    <xf numFmtId="14" fontId="0" fillId="0" borderId="0" xfId="0" applyNumberFormat="1"/>
    <xf numFmtId="164" fontId="2" fillId="0" borderId="1" xfId="0" quotePrefix="1" applyNumberFormat="1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horizontal="center"/>
      <protection locked="0"/>
    </xf>
    <xf numFmtId="164" fontId="2" fillId="0" borderId="10" xfId="0" applyNumberFormat="1" applyFont="1" applyBorder="1" applyAlignment="1" applyProtection="1">
      <alignment horizontal="center"/>
      <protection locked="0"/>
    </xf>
    <xf numFmtId="164" fontId="2" fillId="0" borderId="5" xfId="0" quotePrefix="1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 vertical="center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/>
    <xf numFmtId="1" fontId="14" fillId="0" borderId="25" xfId="2" applyNumberFormat="1" applyFont="1" applyBorder="1" applyAlignment="1">
      <alignment horizontal="center"/>
    </xf>
    <xf numFmtId="1" fontId="14" fillId="0" borderId="6" xfId="2" applyNumberFormat="1" applyFont="1" applyBorder="1" applyAlignment="1">
      <alignment horizontal="center"/>
    </xf>
    <xf numFmtId="0" fontId="14" fillId="0" borderId="12" xfId="2" applyFont="1" applyBorder="1" applyAlignment="1">
      <alignment horizontal="centerContinuous"/>
    </xf>
    <xf numFmtId="0" fontId="14" fillId="0" borderId="14" xfId="2" applyFont="1" applyBorder="1" applyAlignment="1">
      <alignment horizontal="center"/>
    </xf>
    <xf numFmtId="0" fontId="14" fillId="0" borderId="15" xfId="2" applyFont="1" applyBorder="1" applyAlignment="1">
      <alignment horizontal="centerContinuous"/>
    </xf>
    <xf numFmtId="0" fontId="14" fillId="0" borderId="16" xfId="2" applyFont="1" applyBorder="1" applyAlignment="1">
      <alignment horizontal="centerContinuous"/>
    </xf>
    <xf numFmtId="0" fontId="14" fillId="0" borderId="17" xfId="2" applyFont="1" applyBorder="1" applyAlignment="1">
      <alignment horizontal="center"/>
    </xf>
    <xf numFmtId="0" fontId="14" fillId="0" borderId="11" xfId="2" applyFont="1" applyBorder="1" applyAlignment="1">
      <alignment horizontal="center"/>
    </xf>
    <xf numFmtId="1" fontId="14" fillId="0" borderId="13" xfId="2" applyNumberFormat="1" applyFont="1" applyBorder="1" applyAlignment="1">
      <alignment horizontal="center"/>
    </xf>
    <xf numFmtId="164" fontId="14" fillId="0" borderId="0" xfId="2" applyNumberFormat="1" applyFont="1" applyAlignment="1">
      <alignment horizontal="center"/>
    </xf>
    <xf numFmtId="1" fontId="14" fillId="0" borderId="0" xfId="2" applyNumberFormat="1" applyFont="1" applyAlignment="1">
      <alignment horizontal="center"/>
    </xf>
    <xf numFmtId="20" fontId="2" fillId="0" borderId="3" xfId="0" applyNumberFormat="1" applyFont="1" applyBorder="1" applyAlignment="1" applyProtection="1">
      <alignment horizontal="center"/>
      <protection locked="0"/>
    </xf>
    <xf numFmtId="0" fontId="14" fillId="0" borderId="6" xfId="2" applyFont="1" applyBorder="1" applyAlignment="1">
      <alignment horizontal="center"/>
    </xf>
    <xf numFmtId="1" fontId="14" fillId="0" borderId="6" xfId="2" applyNumberFormat="1" applyFont="1" applyBorder="1" applyAlignment="1" applyProtection="1">
      <alignment horizontal="center"/>
      <protection locked="0"/>
    </xf>
    <xf numFmtId="164" fontId="14" fillId="0" borderId="6" xfId="2" applyNumberFormat="1" applyFont="1" applyBorder="1" applyAlignment="1">
      <alignment horizontal="center"/>
    </xf>
    <xf numFmtId="164" fontId="14" fillId="0" borderId="6" xfId="2" applyNumberFormat="1" applyFont="1" applyBorder="1" applyAlignment="1" applyProtection="1">
      <alignment horizontal="center"/>
      <protection locked="0"/>
    </xf>
    <xf numFmtId="0" fontId="14" fillId="0" borderId="0" xfId="2" applyFont="1" applyAlignment="1">
      <alignment horizontal="centerContinuous"/>
    </xf>
    <xf numFmtId="0" fontId="14" fillId="0" borderId="13" xfId="2" applyFont="1" applyBorder="1" applyAlignment="1">
      <alignment horizontal="center"/>
    </xf>
    <xf numFmtId="0" fontId="14" fillId="0" borderId="19" xfId="2" applyFont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0" borderId="16" xfId="2" applyFont="1" applyBorder="1" applyAlignment="1">
      <alignment horizontal="center"/>
    </xf>
    <xf numFmtId="49" fontId="14" fillId="0" borderId="16" xfId="2" applyNumberFormat="1" applyFont="1" applyBorder="1" applyAlignment="1">
      <alignment horizontal="center"/>
    </xf>
    <xf numFmtId="0" fontId="14" fillId="0" borderId="21" xfId="2" applyFont="1" applyBorder="1" applyAlignment="1">
      <alignment horizontal="center"/>
    </xf>
    <xf numFmtId="49" fontId="14" fillId="0" borderId="18" xfId="2" applyNumberFormat="1" applyFont="1" applyBorder="1" applyAlignment="1" applyProtection="1">
      <alignment horizontal="center"/>
      <protection locked="0"/>
    </xf>
    <xf numFmtId="0" fontId="2" fillId="0" borderId="6" xfId="2" applyFont="1" applyBorder="1" applyAlignment="1" applyProtection="1">
      <alignment horizontal="center"/>
      <protection locked="0"/>
    </xf>
    <xf numFmtId="14" fontId="0" fillId="0" borderId="6" xfId="0" applyNumberFormat="1" applyBorder="1"/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2" fillId="0" borderId="23" xfId="2" applyNumberFormat="1" applyFont="1" applyBorder="1" applyAlignment="1">
      <alignment horizontal="centerContinuous"/>
    </xf>
    <xf numFmtId="164" fontId="2" fillId="0" borderId="8" xfId="2" applyNumberFormat="1" applyFont="1" applyBorder="1" applyAlignment="1">
      <alignment horizontal="centerContinuous"/>
    </xf>
    <xf numFmtId="0" fontId="2" fillId="0" borderId="4" xfId="2" applyFont="1" applyBorder="1" applyAlignment="1">
      <alignment horizontal="centerContinuous"/>
    </xf>
    <xf numFmtId="0" fontId="2" fillId="0" borderId="13" xfId="2" applyFont="1" applyBorder="1" applyAlignment="1">
      <alignment horizontal="centerContinuous"/>
    </xf>
    <xf numFmtId="0" fontId="2" fillId="0" borderId="22" xfId="2" applyFont="1" applyBorder="1" applyAlignment="1">
      <alignment horizontal="centerContinuous"/>
    </xf>
    <xf numFmtId="0" fontId="14" fillId="0" borderId="24" xfId="2" applyFont="1" applyBorder="1" applyAlignment="1">
      <alignment horizontal="centerContinuous"/>
    </xf>
    <xf numFmtId="0" fontId="2" fillId="0" borderId="6" xfId="2" applyFont="1" applyBorder="1" applyAlignment="1" applyProtection="1">
      <alignment horizontal="center" vertical="center"/>
      <protection locked="0"/>
    </xf>
    <xf numFmtId="0" fontId="0" fillId="0" borderId="12" xfId="0" applyBorder="1"/>
    <xf numFmtId="164" fontId="2" fillId="0" borderId="0" xfId="0" applyNumberFormat="1" applyFont="1"/>
    <xf numFmtId="16" fontId="2" fillId="0" borderId="6" xfId="0" applyNumberFormat="1" applyFont="1" applyBorder="1"/>
    <xf numFmtId="0" fontId="2" fillId="0" borderId="6" xfId="0" applyFont="1" applyBorder="1"/>
    <xf numFmtId="0" fontId="2" fillId="8" borderId="6" xfId="0" applyFont="1" applyFill="1" applyBorder="1"/>
    <xf numFmtId="1" fontId="14" fillId="0" borderId="19" xfId="2" applyNumberFormat="1" applyFont="1" applyBorder="1" applyAlignment="1">
      <alignment horizontal="center"/>
    </xf>
    <xf numFmtId="1" fontId="14" fillId="0" borderId="18" xfId="2" applyNumberFormat="1" applyFont="1" applyBorder="1" applyAlignment="1">
      <alignment horizontal="center"/>
    </xf>
    <xf numFmtId="49" fontId="14" fillId="0" borderId="26" xfId="2" applyNumberFormat="1" applyFont="1" applyBorder="1" applyAlignment="1" applyProtection="1">
      <alignment horizontal="center"/>
      <protection locked="0"/>
    </xf>
    <xf numFmtId="0" fontId="14" fillId="0" borderId="27" xfId="2" applyFont="1" applyBorder="1" applyAlignment="1">
      <alignment horizontal="center"/>
    </xf>
    <xf numFmtId="0" fontId="14" fillId="0" borderId="28" xfId="2" applyFont="1" applyBorder="1" applyAlignment="1">
      <alignment horizontal="center"/>
    </xf>
    <xf numFmtId="1" fontId="14" fillId="0" borderId="29" xfId="2" applyNumberFormat="1" applyFont="1" applyBorder="1" applyAlignment="1">
      <alignment horizontal="center"/>
    </xf>
    <xf numFmtId="1" fontId="14" fillId="0" borderId="30" xfId="2" applyNumberFormat="1" applyFont="1" applyBorder="1" applyAlignment="1">
      <alignment horizontal="center"/>
    </xf>
    <xf numFmtId="1" fontId="14" fillId="0" borderId="31" xfId="2" applyNumberFormat="1" applyFont="1" applyBorder="1" applyAlignment="1">
      <alignment horizontal="center"/>
    </xf>
    <xf numFmtId="166" fontId="0" fillId="0" borderId="0" xfId="5" applyNumberFormat="1" applyFont="1" applyAlignment="1">
      <alignment horizontal="center" vertical="center"/>
    </xf>
    <xf numFmtId="1" fontId="17" fillId="0" borderId="6" xfId="0" applyNumberFormat="1" applyFont="1" applyBorder="1" applyAlignment="1" applyProtection="1">
      <alignment horizontal="center" vertical="center"/>
      <protection locked="0"/>
    </xf>
    <xf numFmtId="1" fontId="18" fillId="0" borderId="6" xfId="1" applyNumberFormat="1" applyFont="1" applyBorder="1" applyAlignment="1" applyProtection="1">
      <alignment horizontal="center" vertical="center"/>
      <protection locked="0"/>
    </xf>
    <xf numFmtId="1" fontId="18" fillId="0" borderId="6" xfId="0" applyNumberFormat="1" applyFont="1" applyBorder="1" applyAlignment="1" applyProtection="1">
      <alignment horizontal="center" vertical="center"/>
      <protection locked="0"/>
    </xf>
    <xf numFmtId="1" fontId="19" fillId="0" borderId="6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1" fillId="0" borderId="6" xfId="0" applyNumberFormat="1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164" fontId="17" fillId="0" borderId="6" xfId="0" applyNumberFormat="1" applyFont="1" applyBorder="1" applyAlignment="1" applyProtection="1">
      <alignment horizontal="center" vertical="center"/>
      <protection locked="0"/>
    </xf>
    <xf numFmtId="0" fontId="17" fillId="0" borderId="6" xfId="0" quotePrefix="1" applyFont="1" applyBorder="1" applyAlignment="1" applyProtection="1">
      <alignment horizontal="center"/>
      <protection locked="0"/>
    </xf>
    <xf numFmtId="49" fontId="9" fillId="0" borderId="0" xfId="0" applyNumberFormat="1" applyFont="1"/>
    <xf numFmtId="49" fontId="0" fillId="0" borderId="0" xfId="0" applyNumberFormat="1"/>
    <xf numFmtId="49" fontId="1" fillId="0" borderId="1" xfId="0" applyNumberFormat="1" applyFont="1" applyBorder="1"/>
    <xf numFmtId="49" fontId="1" fillId="0" borderId="7" xfId="0" applyNumberFormat="1" applyFont="1" applyBorder="1"/>
    <xf numFmtId="49" fontId="1" fillId="0" borderId="2" xfId="0" applyNumberFormat="1" applyFont="1" applyBorder="1"/>
    <xf numFmtId="49" fontId="2" fillId="0" borderId="9" xfId="0" applyNumberFormat="1" applyFont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5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4" xfId="5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5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5" xfId="5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2" fillId="0" borderId="9" xfId="0" quotePrefix="1" applyNumberFormat="1" applyFont="1" applyBorder="1" applyAlignment="1" applyProtection="1">
      <alignment horizontal="center" vertical="center"/>
      <protection locked="0"/>
    </xf>
    <xf numFmtId="49" fontId="1" fillId="0" borderId="8" xfId="5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32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/>
    <xf numFmtId="14" fontId="1" fillId="5" borderId="3" xfId="0" applyNumberFormat="1" applyFont="1" applyFill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1" fontId="10" fillId="0" borderId="3" xfId="0" applyNumberFormat="1" applyFont="1" applyBorder="1" applyAlignment="1" applyProtection="1">
      <alignment horizontal="center"/>
      <protection locked="0"/>
    </xf>
    <xf numFmtId="164" fontId="2" fillId="0" borderId="3" xfId="0" quotePrefix="1" applyNumberFormat="1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0" fontId="17" fillId="0" borderId="3" xfId="0" quotePrefix="1" applyFont="1" applyBorder="1" applyAlignment="1" applyProtection="1">
      <alignment horizontal="center"/>
      <protection locked="0"/>
    </xf>
    <xf numFmtId="1" fontId="19" fillId="0" borderId="3" xfId="0" applyNumberFormat="1" applyFont="1" applyBorder="1" applyAlignment="1">
      <alignment horizontal="center" vertical="center"/>
    </xf>
    <xf numFmtId="164" fontId="0" fillId="0" borderId="9" xfId="0" applyNumberFormat="1" applyBorder="1"/>
    <xf numFmtId="167" fontId="0" fillId="0" borderId="0" xfId="0" applyNumberFormat="1"/>
    <xf numFmtId="2" fontId="0" fillId="0" borderId="0" xfId="0" applyNumberFormat="1"/>
    <xf numFmtId="0" fontId="0" fillId="0" borderId="6" xfId="0" pivotButton="1" applyBorder="1"/>
    <xf numFmtId="0" fontId="0" fillId="0" borderId="6" xfId="0" applyBorder="1" applyAlignment="1">
      <alignment horizontal="left"/>
    </xf>
    <xf numFmtId="0" fontId="0" fillId="0" borderId="0" xfId="0" pivotButton="1" applyAlignment="1">
      <alignment horizontal="center"/>
    </xf>
    <xf numFmtId="0" fontId="0" fillId="0" borderId="6" xfId="0" pivotButton="1" applyBorder="1" applyAlignment="1">
      <alignment horizontal="center"/>
    </xf>
    <xf numFmtId="14" fontId="0" fillId="0" borderId="6" xfId="0" pivotButton="1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left"/>
    </xf>
    <xf numFmtId="0" fontId="0" fillId="0" borderId="6" xfId="0" pivotButton="1" applyBorder="1" applyAlignment="1">
      <alignment horizontal="center" vertical="center"/>
    </xf>
    <xf numFmtId="49" fontId="1" fillId="0" borderId="3" xfId="0" quotePrefix="1" applyNumberFormat="1" applyFont="1" applyBorder="1" applyAlignment="1">
      <alignment horizontal="center" vertical="center" wrapText="1"/>
    </xf>
    <xf numFmtId="0" fontId="0" fillId="23" borderId="0" xfId="0" applyFill="1" applyAlignment="1">
      <alignment horizontal="center" vertical="center" wrapText="1"/>
    </xf>
    <xf numFmtId="0" fontId="0" fillId="24" borderId="0" xfId="0" applyFill="1" applyAlignment="1">
      <alignment horizontal="center" vertical="center" wrapText="1"/>
    </xf>
    <xf numFmtId="1" fontId="0" fillId="24" borderId="6" xfId="0" applyNumberFormat="1" applyFill="1" applyBorder="1" applyAlignment="1">
      <alignment horizontal="center"/>
    </xf>
    <xf numFmtId="1" fontId="0" fillId="23" borderId="6" xfId="0" applyNumberFormat="1" applyFill="1" applyBorder="1" applyAlignment="1">
      <alignment horizontal="center"/>
    </xf>
    <xf numFmtId="0" fontId="0" fillId="0" borderId="0" xfId="0" pivotButton="1"/>
    <xf numFmtId="0" fontId="0" fillId="0" borderId="0" xfId="0" pivotButton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4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164" fontId="16" fillId="0" borderId="6" xfId="0" applyNumberFormat="1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20" fillId="25" borderId="0" xfId="0" applyNumberFormat="1" applyFont="1" applyFill="1" applyAlignment="1">
      <alignment horizontal="center" vertical="center"/>
    </xf>
    <xf numFmtId="0" fontId="0" fillId="24" borderId="6" xfId="0" applyFill="1" applyBorder="1" applyAlignment="1">
      <alignment horizontal="center" vertical="center" wrapText="1"/>
    </xf>
    <xf numFmtId="0" fontId="0" fillId="24" borderId="6" xfId="0" applyFill="1" applyBorder="1" applyAlignment="1">
      <alignment horizontal="center"/>
    </xf>
    <xf numFmtId="0" fontId="0" fillId="23" borderId="6" xfId="0" applyFill="1" applyBorder="1" applyAlignment="1">
      <alignment horizontal="center" vertical="center" wrapText="1"/>
    </xf>
    <xf numFmtId="0" fontId="0" fillId="23" borderId="6" xfId="0" applyFill="1" applyBorder="1" applyAlignment="1">
      <alignment horizont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0" fontId="0" fillId="0" borderId="6" xfId="0" applyNumberFormat="1" applyBorder="1"/>
    <xf numFmtId="164" fontId="0" fillId="0" borderId="6" xfId="0" applyNumberFormat="1" applyBorder="1" applyAlignment="1">
      <alignment horizontal="left"/>
    </xf>
  </cellXfs>
  <cellStyles count="6">
    <cellStyle name="Денежный 2" xfId="3" xr:uid="{CCC1070A-73E5-4821-8DD0-123886FBB2BA}"/>
    <cellStyle name="Обычный" xfId="0" builtinId="0"/>
    <cellStyle name="Обычный 2" xfId="4" xr:uid="{F2782420-23AD-4CD6-8AE4-6A4875A458D8}"/>
    <cellStyle name="Обычный 3" xfId="2" xr:uid="{1316CAB5-01F4-4CDF-B8A5-725FF49A2A2C}"/>
    <cellStyle name="Обычный_GLSC" xfId="1" xr:uid="{ED0D57C1-93EF-43EE-8948-578A2630A320}"/>
    <cellStyle name="Финансовый" xfId="5" builtinId="3"/>
  </cellStyles>
  <dxfs count="40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horizontal="center"/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numFmt numFmtId="164" formatCode="0.0"/>
    </dxf>
    <dxf>
      <numFmt numFmtId="164" formatCode="0.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horizontal="center"/>
    </dxf>
    <dxf>
      <numFmt numFmtId="164" formatCode="0.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numFmt numFmtId="2" formatCode="0.00"/>
    </dxf>
    <dxf>
      <fill>
        <patternFill patternType="solid">
          <bgColor theme="5" tint="0.79998168889431442"/>
        </patternFill>
      </fill>
    </dxf>
    <dxf>
      <alignment wrapText="1"/>
    </dxf>
    <dxf>
      <alignment vertical="center"/>
    </dxf>
    <dxf>
      <alignment horizontal="center"/>
    </dxf>
    <dxf>
      <alignment vertical="center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"/>
    </dxf>
    <dxf>
      <numFmt numFmtId="164" formatCode="0.0"/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"/>
    </dxf>
    <dxf>
      <numFmt numFmtId="164" formatCode="0.0"/>
    </dxf>
    <dxf>
      <numFmt numFmtId="2" formatCode="0.00"/>
    </dxf>
    <dxf>
      <numFmt numFmtId="19" formatCode="dd/mm/yyyy"/>
    </dxf>
    <dxf>
      <numFmt numFmtId="19" formatCode="dd/mm/yyyy"/>
    </dxf>
    <dxf>
      <numFmt numFmtId="1" formatCode="0"/>
    </dxf>
    <dxf>
      <alignment wrapText="1"/>
    </dxf>
    <dxf>
      <alignment vertical="center"/>
    </dxf>
    <dxf>
      <alignment horizontal="center"/>
    </dxf>
    <dxf>
      <alignment horizontal="center"/>
    </dxf>
    <dxf>
      <alignment vertical="center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vertical="center"/>
    </dxf>
    <dxf>
      <alignment vertic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vertic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wrapText="1"/>
    </dxf>
    <dxf>
      <alignment wrapText="1"/>
    </dxf>
    <dxf>
      <alignment vertical="center"/>
    </dxf>
    <dxf>
      <alignment horizontal="center"/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167" formatCode="[$-F400]h:mm:ss\ AM/PM"/>
    </dxf>
    <dxf>
      <numFmt numFmtId="19" formatCode="dd/mm/yyyy"/>
    </dxf>
    <dxf>
      <numFmt numFmtId="164" formatCode="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 Cyr"/>
        <family val="1"/>
        <charset val="204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 Cyr"/>
        <family val="1"/>
        <charset val="204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 Cyr"/>
        <family val="1"/>
        <charset val="204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 Cyr"/>
        <charset val="204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 Cyr"/>
        <family val="1"/>
        <charset val="204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 Cyr"/>
        <family val="1"/>
        <charset val="204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 Cyr"/>
        <family val="1"/>
        <charset val="204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 Cyr"/>
        <family val="1"/>
        <charset val="204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 Cyr"/>
        <charset val="204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 Cyr"/>
        <charset val="204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 Cyr"/>
        <charset val="204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 Cyr"/>
        <family val="1"/>
        <charset val="204"/>
        <scheme val="none"/>
      </font>
      <numFmt numFmtId="25" formatCode="h:mm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 Cyr"/>
        <family val="1"/>
        <charset val="204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 Cyr"/>
        <family val="1"/>
        <charset val="204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59996337778862885"/>
        </patternFill>
      </fill>
    </dxf>
    <dxf>
      <font>
        <color auto="1"/>
      </font>
      <fill>
        <patternFill>
          <bgColor theme="2" tint="-9.9948118533890809E-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</dxfs>
  <tableStyles count="6" defaultTableStyle="TableStyleMedium2" defaultPivotStyle="ку">
    <tableStyle name="ку" table="0" count="3" xr9:uid="{6EFA1606-427C-4395-839D-05FC70D32F0A}">
      <tableStyleElement type="headerRow" dxfId="405"/>
      <tableStyleElement type="firstRowStripe" dxfId="404"/>
      <tableStyleElement type="secondRowStripe" dxfId="403"/>
    </tableStyle>
    <tableStyle name="Стиль сводной таблицы 1" table="0" count="4" xr9:uid="{EA92AA3E-9B0D-409B-9176-31855CFB08B5}">
      <tableStyleElement type="headerRow" dxfId="402"/>
      <tableStyleElement type="firstColumn" dxfId="401"/>
      <tableStyleElement type="firstColumnStripe" dxfId="400"/>
      <tableStyleElement type="secondColumnStripe" dxfId="399"/>
    </tableStyle>
    <tableStyle name="Стиль сводной таблицы 2" table="0" count="1" xr9:uid="{B60346A9-4E2B-48BC-80B8-65FFE1684082}">
      <tableStyleElement type="secondRowStripe" dxfId="398"/>
    </tableStyle>
    <tableStyle name="Стиль сводной таблицы 3" table="0" count="1" xr9:uid="{34C191B1-1CCD-4A61-B991-E34E07500B3F}">
      <tableStyleElement type="secondRowStripe" dxfId="397"/>
    </tableStyle>
    <tableStyle name="Стиль таблицы 1" pivot="0" count="1" xr9:uid="{361129F2-4E15-4D1F-85C5-16CE40FAEA04}">
      <tableStyleElement type="secondRowStripe" dxfId="396"/>
    </tableStyle>
    <tableStyle name="Стиль таблицы 2" pivot="0" count="1" xr9:uid="{F7EDF753-D698-4BE7-8542-32997DCDC649}">
      <tableStyleElement type="secondRowStripe" dxfId="39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pivotCacheDefinition" Target="pivotCache/pivotCacheDefinition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Ветра</a:t>
            </a:r>
            <a:r>
              <a:rPr lang="ru-RU" baseline="0"/>
              <a:t> Круча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'Сводная Круча'!$R$58:$R$73</c:f>
              <c:strCache>
                <c:ptCount val="16"/>
                <c:pt idx="0">
                  <c:v>С</c:v>
                </c:pt>
                <c:pt idx="1">
                  <c:v>ССВ</c:v>
                </c:pt>
                <c:pt idx="2">
                  <c:v>СВ</c:v>
                </c:pt>
                <c:pt idx="3">
                  <c:v>ВСВ</c:v>
                </c:pt>
                <c:pt idx="4">
                  <c:v>В</c:v>
                </c:pt>
                <c:pt idx="5">
                  <c:v>ВЮВ</c:v>
                </c:pt>
                <c:pt idx="6">
                  <c:v>ЮВ</c:v>
                </c:pt>
                <c:pt idx="7">
                  <c:v>ЮЮВ</c:v>
                </c:pt>
                <c:pt idx="8">
                  <c:v>Ю</c:v>
                </c:pt>
                <c:pt idx="9">
                  <c:v>ЮЮЗ</c:v>
                </c:pt>
                <c:pt idx="10">
                  <c:v>ЮЗ</c:v>
                </c:pt>
                <c:pt idx="11">
                  <c:v>ЗЮЗ</c:v>
                </c:pt>
                <c:pt idx="12">
                  <c:v>З</c:v>
                </c:pt>
                <c:pt idx="13">
                  <c:v>ЗСЗ</c:v>
                </c:pt>
                <c:pt idx="14">
                  <c:v>СЗ</c:v>
                </c:pt>
                <c:pt idx="15">
                  <c:v>ССЗ</c:v>
                </c:pt>
              </c:strCache>
            </c:strRef>
          </c:cat>
          <c:val>
            <c:numRef>
              <c:f>'Сводная Круча'!$S$58:$S$73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D-41D5-A04C-712BF3B5C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07343"/>
        <c:axId val="46005679"/>
      </c:radarChart>
      <c:catAx>
        <c:axId val="46007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005679"/>
        <c:crosses val="autoZero"/>
        <c:auto val="1"/>
        <c:lblAlgn val="ctr"/>
        <c:lblOffset val="100"/>
        <c:noMultiLvlLbl val="0"/>
      </c:catAx>
      <c:valAx>
        <c:axId val="460056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6007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[pogoda_shablon_kopija.xlsx]ветер!Сводная таблица7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Роза</a:t>
            </a:r>
            <a:r>
              <a:rPr lang="ru-RU" baseline="0"/>
              <a:t> ветров Рудник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7615616797900264"/>
          <c:y val="0.29380176436278799"/>
          <c:w val="0.30879899387576554"/>
          <c:h val="0.51466498979294251"/>
        </c:manualLayout>
      </c:layout>
      <c:radarChart>
        <c:radarStyle val="marker"/>
        <c:varyColors val="0"/>
        <c:ser>
          <c:idx val="0"/>
          <c:order val="0"/>
          <c:tx>
            <c:strRef>
              <c:f>ветер!$B$29</c:f>
              <c:strCache>
                <c:ptCount val="1"/>
                <c:pt idx="0">
                  <c:v>Итог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ветер!$A$30:$A$41</c:f>
              <c:strCache>
                <c:ptCount val="12"/>
                <c:pt idx="0">
                  <c:v>В</c:v>
                </c:pt>
                <c:pt idx="1">
                  <c:v>З</c:v>
                </c:pt>
                <c:pt idx="2">
                  <c:v>ЗСЗ</c:v>
                </c:pt>
                <c:pt idx="3">
                  <c:v>ЗЮЗ</c:v>
                </c:pt>
                <c:pt idx="4">
                  <c:v>С</c:v>
                </c:pt>
                <c:pt idx="5">
                  <c:v>СВ</c:v>
                </c:pt>
                <c:pt idx="6">
                  <c:v>СЗ</c:v>
                </c:pt>
                <c:pt idx="7">
                  <c:v>Ю</c:v>
                </c:pt>
                <c:pt idx="8">
                  <c:v>ЮВ</c:v>
                </c:pt>
                <c:pt idx="9">
                  <c:v>ЮЗ</c:v>
                </c:pt>
                <c:pt idx="10">
                  <c:v>ЮЮВ</c:v>
                </c:pt>
                <c:pt idx="11">
                  <c:v>ЮЮЗ</c:v>
                </c:pt>
              </c:strCache>
            </c:strRef>
          </c:cat>
          <c:val>
            <c:numRef>
              <c:f>ветер!$B$30:$B$41</c:f>
              <c:numCache>
                <c:formatCode>General</c:formatCode>
                <c:ptCount val="12"/>
                <c:pt idx="0">
                  <c:v>10</c:v>
                </c:pt>
                <c:pt idx="1">
                  <c:v>135</c:v>
                </c:pt>
                <c:pt idx="2">
                  <c:v>14</c:v>
                </c:pt>
                <c:pt idx="3">
                  <c:v>27</c:v>
                </c:pt>
                <c:pt idx="4">
                  <c:v>1</c:v>
                </c:pt>
                <c:pt idx="5">
                  <c:v>3</c:v>
                </c:pt>
                <c:pt idx="6">
                  <c:v>11</c:v>
                </c:pt>
                <c:pt idx="7">
                  <c:v>22</c:v>
                </c:pt>
                <c:pt idx="8">
                  <c:v>6</c:v>
                </c:pt>
                <c:pt idx="9">
                  <c:v>15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4-40ED-8D25-42AA96B82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5984655"/>
        <c:axId val="1595964271"/>
      </c:radarChart>
      <c:catAx>
        <c:axId val="159598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95964271"/>
        <c:crosses val="autoZero"/>
        <c:auto val="1"/>
        <c:lblAlgn val="ctr"/>
        <c:lblOffset val="100"/>
        <c:noMultiLvlLbl val="0"/>
      </c:catAx>
      <c:valAx>
        <c:axId val="159596427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9598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Ветра</a:t>
            </a:r>
            <a:r>
              <a:rPr lang="ru-RU" baseline="0"/>
              <a:t> Рудник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5165971900571249"/>
          <c:y val="0.18401546901609905"/>
          <c:w val="0.43505591212863098"/>
          <c:h val="0.70409438470003793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'Сводная Рудник'!$R$58:$R$73</c:f>
              <c:strCache>
                <c:ptCount val="16"/>
                <c:pt idx="0">
                  <c:v>С</c:v>
                </c:pt>
                <c:pt idx="1">
                  <c:v>ССВ</c:v>
                </c:pt>
                <c:pt idx="2">
                  <c:v>СВ</c:v>
                </c:pt>
                <c:pt idx="3">
                  <c:v>ВСВ</c:v>
                </c:pt>
                <c:pt idx="4">
                  <c:v>В</c:v>
                </c:pt>
                <c:pt idx="5">
                  <c:v>ВЮВ</c:v>
                </c:pt>
                <c:pt idx="6">
                  <c:v>ЮВ</c:v>
                </c:pt>
                <c:pt idx="7">
                  <c:v>ЮЮВ</c:v>
                </c:pt>
                <c:pt idx="8">
                  <c:v>Ю</c:v>
                </c:pt>
                <c:pt idx="9">
                  <c:v>ЮЮЗ</c:v>
                </c:pt>
                <c:pt idx="10">
                  <c:v>ЮЗ</c:v>
                </c:pt>
                <c:pt idx="11">
                  <c:v>ЗЮЗ</c:v>
                </c:pt>
                <c:pt idx="12">
                  <c:v>З</c:v>
                </c:pt>
                <c:pt idx="13">
                  <c:v>ЗСЗ</c:v>
                </c:pt>
                <c:pt idx="14">
                  <c:v>СЗ</c:v>
                </c:pt>
                <c:pt idx="15">
                  <c:v>ССЗ</c:v>
                </c:pt>
              </c:strCache>
            </c:strRef>
          </c:cat>
          <c:val>
            <c:numRef>
              <c:f>'Сводная Рудник'!$S$58:$S$73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6</c:v>
                </c:pt>
                <c:pt idx="7">
                  <c:v>1</c:v>
                </c:pt>
                <c:pt idx="8">
                  <c:v>22</c:v>
                </c:pt>
                <c:pt idx="9">
                  <c:v>1</c:v>
                </c:pt>
                <c:pt idx="10">
                  <c:v>15</c:v>
                </c:pt>
                <c:pt idx="11">
                  <c:v>27</c:v>
                </c:pt>
                <c:pt idx="12">
                  <c:v>135</c:v>
                </c:pt>
                <c:pt idx="13">
                  <c:v>14</c:v>
                </c:pt>
                <c:pt idx="14">
                  <c:v>11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8-42AE-B35F-9C521FB48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539663"/>
        <c:axId val="109548815"/>
      </c:radarChart>
      <c:catAx>
        <c:axId val="10953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48815"/>
        <c:crosses val="autoZero"/>
        <c:auto val="1"/>
        <c:lblAlgn val="ctr"/>
        <c:lblOffset val="100"/>
        <c:noMultiLvlLbl val="0"/>
      </c:catAx>
      <c:valAx>
        <c:axId val="1095488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9539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9524</xdr:colOff>
      <xdr:row>55</xdr:row>
      <xdr:rowOff>207065</xdr:rowOff>
    </xdr:from>
    <xdr:to>
      <xdr:col>27</xdr:col>
      <xdr:colOff>279927</xdr:colOff>
      <xdr:row>69</xdr:row>
      <xdr:rowOff>172912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B0094F62-43F0-45E1-990D-D3DD1BC6B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28</xdr:row>
      <xdr:rowOff>9525</xdr:rowOff>
    </xdr:from>
    <xdr:to>
      <xdr:col>9</xdr:col>
      <xdr:colOff>419100</xdr:colOff>
      <xdr:row>42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B7FA7B4-EFF2-4C93-9B33-F7AE16F01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34019</xdr:colOff>
      <xdr:row>56</xdr:row>
      <xdr:rowOff>19050</xdr:rowOff>
    </xdr:from>
    <xdr:to>
      <xdr:col>27</xdr:col>
      <xdr:colOff>278947</xdr:colOff>
      <xdr:row>69</xdr:row>
      <xdr:rowOff>77321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D37593BC-3F22-450B-ACBE-8F2587AE5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Щербин Иван Сергеевич" refreshedDate="45187.830224884259" createdVersion="7" refreshedVersion="7" minRefreshableVersion="3" recordCount="248" xr:uid="{BF18CCC7-2ED4-4EA9-9776-1DD92DAEFBC8}">
  <cacheSource type="worksheet">
    <worksheetSource ref="A1:P249" sheet="Рудник для сводной "/>
  </cacheSource>
  <cacheFields count="16">
    <cacheField name="Дата" numFmtId="14">
      <sharedItems containsSemiMixedTypes="0" containsNonDate="0" containsDate="1" containsString="0" minDate="2023-03-01T00:00:00" maxDate="2023-04-01T00:00:00" count="31"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</sharedItems>
      <fieldGroup base="0">
        <rangePr autoEnd="0" groupBy="days" startDate="2023-03-01T00:00:00" endDate="2023-03-31T00:00:00" groupInterval="10"/>
        <groupItems count="5">
          <s v="&lt;01.03.2023"/>
          <s v="01.03.2023 - 10.03.2023"/>
          <s v="11.03.2023 - 20.03.2023"/>
          <s v="21.03.2023 - 30.03.2023"/>
          <s v="&gt;31.03.2023"/>
        </groupItems>
      </fieldGroup>
    </cacheField>
    <cacheField name="Время" numFmtId="167">
      <sharedItems count="8">
        <s v="0:00"/>
        <s v="3:00"/>
        <s v="6:00"/>
        <s v="9:00"/>
        <s v="12:00"/>
        <s v="15:00"/>
        <s v="18:00"/>
        <s v="21:00"/>
      </sharedItems>
    </cacheField>
    <cacheField name="Направление, румб" numFmtId="49">
      <sharedItems/>
    </cacheField>
    <cacheField name="Средн. скор. м/с" numFmtId="0">
      <sharedItems containsString="0" containsBlank="1" containsNumber="1" containsInteger="1" minValue="0" maxValue="40"/>
    </cacheField>
    <cacheField name="Макс. порыв м/с" numFmtId="0">
      <sharedItems containsString="0" containsBlank="1" containsNumber="1" containsInteger="1" minValue="0" maxValue="29"/>
    </cacheField>
    <cacheField name="Т. Средн. ° С" numFmtId="0">
      <sharedItems containsSemiMixedTypes="0" containsString="0" containsNumber="1" minValue="-19.3" maxValue="1.8" count="132">
        <n v="-14.8"/>
        <n v="-14.1"/>
        <n v="-13.5"/>
        <n v="-13.9"/>
        <n v="-13.2"/>
        <n v="-12.8"/>
        <n v="-13.3"/>
        <n v="-13.6"/>
        <n v="-14.6"/>
        <n v="-15.8"/>
        <n v="-16.7"/>
        <n v="-15.6"/>
        <n v="-14.5"/>
        <n v="-12.4"/>
        <n v="-12.3"/>
        <n v="-11.6"/>
        <n v="-13"/>
        <n v="-12.1"/>
        <n v="-12.9"/>
        <n v="-15.5"/>
        <n v="-16"/>
        <n v="-15"/>
        <n v="-14.7"/>
        <n v="-15.7"/>
        <n v="-19.3"/>
        <n v="-17.899999999999999"/>
        <n v="-18.600000000000001"/>
        <n v="-18.899999999999999"/>
        <n v="-17.8"/>
        <n v="-17.100000000000001"/>
        <n v="-16.3"/>
        <n v="-17.5"/>
        <n v="-16.2"/>
        <n v="-13.8"/>
        <n v="-14.4"/>
        <n v="-12.7"/>
        <n v="-13.1"/>
        <n v="-4"/>
        <n v="-11.7"/>
        <n v="-9.9"/>
        <n v="-7.6"/>
        <n v="-9.1"/>
        <n v="-3.1"/>
        <n v="-4.2"/>
        <n v="-5.8"/>
        <n v="-6.7"/>
        <n v="-7.1"/>
        <n v="-11.5"/>
        <n v="-10.3"/>
        <n v="-6.9"/>
        <n v="-7"/>
        <n v="-8.1"/>
        <n v="-7.8"/>
        <n v="-10.4"/>
        <n v="-9.6999999999999993"/>
        <n v="-6.1"/>
        <n v="-7.3"/>
        <n v="-5.5"/>
        <n v="-7.7"/>
        <n v="-8.1999999999999993"/>
        <n v="-12"/>
        <n v="-6.6"/>
        <n v="-8.3000000000000007"/>
        <n v="-9.6"/>
        <n v="-12.2"/>
        <n v="-8.6999999999999993"/>
        <n v="-11"/>
        <n v="-10.9"/>
        <n v="-12.6"/>
        <n v="-11.3"/>
        <n v="-13.4"/>
        <n v="-11.4"/>
        <n v="-4.8"/>
        <n v="-4.3"/>
        <n v="-5.7"/>
        <n v="-3.9"/>
        <n v="-3.2"/>
        <n v="-1.8"/>
        <n v="1.5"/>
        <n v="-4.5"/>
        <n v="-6.4"/>
        <n v="-7.2"/>
        <n v="-3.5"/>
        <n v="-4.9000000000000004"/>
        <n v="-5.3"/>
        <n v="-5.2"/>
        <n v="-4.4000000000000004"/>
        <n v="-6"/>
        <n v="-6.5"/>
        <n v="-2.8"/>
        <n v="-8"/>
        <n v="-9.3000000000000007"/>
        <n v="-6.3"/>
        <n v="-7.4"/>
        <n v="-4.0999999999999996"/>
        <n v="-2.5"/>
        <n v="-5.9"/>
        <n v="-7.9"/>
        <n v="-6.8"/>
        <n v="-11.1"/>
        <n v="-11.9"/>
        <n v="-10.6"/>
        <n v="-9"/>
        <n v="-9.1999999999999993"/>
        <n v="-8.5"/>
        <n v="-8.4"/>
        <n v="-8.6"/>
        <n v="-1.6"/>
        <n v="0.5"/>
        <n v="0.9"/>
        <n v="0.4"/>
        <n v="-0.6"/>
        <n v="-1.9"/>
        <n v="-3.8"/>
        <n v="-10.199999999999999"/>
        <n v="-10.5"/>
        <n v="-16.100000000000001"/>
        <n v="-15.2"/>
        <n v="-16.8"/>
        <n v="-17.3"/>
        <n v="-16.399999999999999"/>
        <n v="-15.1"/>
        <n v="-10.1"/>
        <n v="-6.2"/>
        <n v="-4.5999999999999996"/>
        <n v="-3.7"/>
        <n v="-5.6"/>
        <n v="-7.5"/>
        <n v="-0.9"/>
        <n v="0.8"/>
        <n v="0.2"/>
        <n v="1.8"/>
      </sharedItems>
      <fieldGroup base="5">
        <rangePr autoStart="0" autoEnd="0" startNum="-20" endNum="20" groupInterval="5"/>
        <groupItems count="10">
          <s v="&lt;-20"/>
          <s v="-20--15"/>
          <s v="-15--10"/>
          <s v="-10--5"/>
          <s v="-5-0"/>
          <s v="0-5"/>
          <s v="5-10"/>
          <s v="10-15"/>
          <s v="15-20"/>
          <s v="&gt;20"/>
        </groupItems>
      </fieldGroup>
    </cacheField>
    <cacheField name="Т. Макс. ° С" numFmtId="0">
      <sharedItems containsNonDate="0" containsString="0" containsBlank="1"/>
    </cacheField>
    <cacheField name="Т. Мин. ° С" numFmtId="0">
      <sharedItems containsNonDate="0" containsString="0" containsBlank="1"/>
    </cacheField>
    <cacheField name="Явления" numFmtId="49">
      <sharedItems/>
    </cacheField>
    <cacheField name="Высота снега см" numFmtId="0">
      <sharedItems containsSemiMixedTypes="0" containsString="0" containsNumber="1" containsInteger="1" minValue="86" maxValue="135"/>
    </cacheField>
    <cacheField name="Δ высоты снега см" numFmtId="0">
      <sharedItems containsSemiMixedTypes="0" containsString="0" containsNumber="1" containsInteger="1" minValue="-45" maxValue="15"/>
    </cacheField>
    <cacheField name="Осадки в срок мм" numFmtId="0">
      <sharedItems containsSemiMixedTypes="0" containsString="0" containsNumber="1" minValue="0" maxValue="11"/>
    </cacheField>
    <cacheField name="Сум. осад. с начала месяца мм" numFmtId="0">
      <sharedItems containsSemiMixedTypes="0" containsString="0" containsNumber="1" minValue="0" maxValue="43.149999999999991"/>
    </cacheField>
    <cacheField name="Давление гПа" numFmtId="0">
      <sharedItems containsSemiMixedTypes="0" containsString="0" containsNumber="1" minValue="893.8" maxValue="957.1"/>
    </cacheField>
    <cacheField name="Влажность %" numFmtId="0">
      <sharedItems containsSemiMixedTypes="0" containsString="0" containsNumber="1" containsInteger="1" minValue="37" maxValue="95"/>
    </cacheField>
    <cacheField name="рекомендации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Щербин Иван Сергеевич" refreshedDate="45187.830225115744" createdVersion="7" refreshedVersion="7" minRefreshableVersion="3" recordCount="248" xr:uid="{F0D1E222-74FB-4DEB-B68D-9571EDD9F2BD}">
  <cacheSource type="worksheet">
    <worksheetSource name="Таблица1_2"/>
  </cacheSource>
  <cacheFields count="17">
    <cacheField name="Дата" numFmtId="14">
      <sharedItems containsSemiMixedTypes="0" containsNonDate="0" containsDate="1" containsString="0" minDate="2023-03-01T00:00:00" maxDate="2023-04-01T00:00:00" count="31"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</sharedItems>
    </cacheField>
    <cacheField name="Время" numFmtId="167">
      <sharedItems count="8">
        <s v="0:00"/>
        <s v="3:00"/>
        <s v="6:00"/>
        <s v="9:00"/>
        <s v="12:00"/>
        <s v="15:00"/>
        <s v="18:00"/>
        <s v="21:00"/>
      </sharedItems>
    </cacheField>
    <cacheField name="Направление, румб" numFmtId="49">
      <sharedItems count="14">
        <s v="З"/>
        <s v="ЗЮЗ"/>
        <s v="СЗ"/>
        <s v="ЗСЗ"/>
        <s v="ЮЗ"/>
        <s v="ЮЮЗ"/>
        <s v="ЮВ"/>
        <s v="ЮЮВ"/>
        <s v="-"/>
        <s v="С"/>
        <s v="В"/>
        <s v="~"/>
        <s v="СВ"/>
        <s v="Ю"/>
      </sharedItems>
    </cacheField>
    <cacheField name="Средн. скор. м/с" numFmtId="0">
      <sharedItems containsString="0" containsBlank="1" containsNumber="1" containsInteger="1" minValue="0" maxValue="40" count="42">
        <n v="31"/>
        <n v="32"/>
        <n v="33"/>
        <n v="34"/>
        <n v="35"/>
        <n v="36"/>
        <n v="37"/>
        <n v="38"/>
        <n v="39"/>
        <n v="40"/>
        <n v="3"/>
        <n v="10"/>
        <n v="17"/>
        <n v="7"/>
        <n v="18"/>
        <n v="19"/>
        <n v="20"/>
        <n v="21"/>
        <n v="22"/>
        <n v="23"/>
        <n v="24"/>
        <n v="25"/>
        <n v="26"/>
        <n v="27"/>
        <n v="28"/>
        <n v="29"/>
        <n v="30"/>
        <n v="8"/>
        <n v="9"/>
        <n v="2"/>
        <n v="1"/>
        <n v="6"/>
        <n v="5"/>
        <n v="0"/>
        <n v="4"/>
        <n v="12"/>
        <n v="13"/>
        <n v="11"/>
        <m/>
        <n v="15"/>
        <n v="14" u="1"/>
        <n v="16" u="1"/>
      </sharedItems>
      <fieldGroup par="16"/>
    </cacheField>
    <cacheField name="Макс. порыв м/с" numFmtId="0">
      <sharedItems containsString="0" containsBlank="1" containsNumber="1" containsInteger="1" minValue="0" maxValue="29"/>
    </cacheField>
    <cacheField name="Т. Средн. ° С" numFmtId="0">
      <sharedItems containsSemiMixedTypes="0" containsString="0" containsNumber="1" minValue="-19.3" maxValue="1.8" count="132">
        <n v="-14.8"/>
        <n v="-14.1"/>
        <n v="-13.5"/>
        <n v="-13.9"/>
        <n v="-13.2"/>
        <n v="-12.8"/>
        <n v="-13.3"/>
        <n v="-13.6"/>
        <n v="-14.6"/>
        <n v="-15.8"/>
        <n v="-16.7"/>
        <n v="-15.6"/>
        <n v="-14.5"/>
        <n v="-12.4"/>
        <n v="-12.3"/>
        <n v="-11.6"/>
        <n v="-13"/>
        <n v="-12.1"/>
        <n v="-12.9"/>
        <n v="-15.5"/>
        <n v="-16"/>
        <n v="-15"/>
        <n v="-14.7"/>
        <n v="-15.7"/>
        <n v="-19.3"/>
        <n v="-17.899999999999999"/>
        <n v="-18.600000000000001"/>
        <n v="-18.899999999999999"/>
        <n v="-17.8"/>
        <n v="-17.100000000000001"/>
        <n v="-16.3"/>
        <n v="-17.5"/>
        <n v="-16.2"/>
        <n v="-13.8"/>
        <n v="-14.4"/>
        <n v="-12.7"/>
        <n v="-13.1"/>
        <n v="-4"/>
        <n v="-11.7"/>
        <n v="-9.9"/>
        <n v="-7.6"/>
        <n v="-9.1"/>
        <n v="-3.1"/>
        <n v="-4.2"/>
        <n v="-5.8"/>
        <n v="-6.7"/>
        <n v="-7.1"/>
        <n v="-11.5"/>
        <n v="-10.3"/>
        <n v="-6.9"/>
        <n v="-7"/>
        <n v="-8.1"/>
        <n v="-7.8"/>
        <n v="-10.4"/>
        <n v="-9.6999999999999993"/>
        <n v="-6.1"/>
        <n v="-7.3"/>
        <n v="-5.5"/>
        <n v="-7.7"/>
        <n v="-8.1999999999999993"/>
        <n v="-12"/>
        <n v="-6.6"/>
        <n v="-8.3000000000000007"/>
        <n v="-9.6"/>
        <n v="-12.2"/>
        <n v="-8.6999999999999993"/>
        <n v="-11"/>
        <n v="-10.9"/>
        <n v="-12.6"/>
        <n v="-11.3"/>
        <n v="-13.4"/>
        <n v="-11.4"/>
        <n v="-4.8"/>
        <n v="-4.3"/>
        <n v="-5.7"/>
        <n v="-3.9"/>
        <n v="-3.2"/>
        <n v="-1.8"/>
        <n v="1.5"/>
        <n v="-4.5"/>
        <n v="-6.4"/>
        <n v="-7.2"/>
        <n v="-3.5"/>
        <n v="-4.9000000000000004"/>
        <n v="-5.3"/>
        <n v="-5.2"/>
        <n v="-4.4000000000000004"/>
        <n v="-6"/>
        <n v="-6.5"/>
        <n v="-2.8"/>
        <n v="-8"/>
        <n v="-9.3000000000000007"/>
        <n v="-6.3"/>
        <n v="-7.4"/>
        <n v="-4.0999999999999996"/>
        <n v="-2.5"/>
        <n v="-5.9"/>
        <n v="-7.9"/>
        <n v="-6.8"/>
        <n v="-11.1"/>
        <n v="-11.9"/>
        <n v="-10.6"/>
        <n v="-9"/>
        <n v="-9.1999999999999993"/>
        <n v="-8.5"/>
        <n v="-8.4"/>
        <n v="-8.6"/>
        <n v="-1.6"/>
        <n v="0.5"/>
        <n v="0.9"/>
        <n v="0.4"/>
        <n v="-0.6"/>
        <n v="-1.9"/>
        <n v="-3.8"/>
        <n v="-10.199999999999999"/>
        <n v="-10.5"/>
        <n v="-16.100000000000001"/>
        <n v="-15.2"/>
        <n v="-16.8"/>
        <n v="-17.3"/>
        <n v="-16.399999999999999"/>
        <n v="-15.1"/>
        <n v="-10.1"/>
        <n v="-6.2"/>
        <n v="-4.5999999999999996"/>
        <n v="-3.7"/>
        <n v="-5.6"/>
        <n v="-7.5"/>
        <n v="-0.9"/>
        <n v="0.8"/>
        <n v="0.2"/>
        <n v="1.8"/>
      </sharedItems>
      <fieldGroup base="5">
        <rangePr autoStart="0" autoEnd="0" startNum="-30" endNum="30" groupInterval="5"/>
        <groupItems count="14">
          <s v="&lt;-30"/>
          <s v="-30--25"/>
          <s v="-25--20"/>
          <s v="-20--15"/>
          <s v="-15--10"/>
          <s v="-10--5"/>
          <s v="-5-0"/>
          <s v="0-5"/>
          <s v="5-10"/>
          <s v="10-15"/>
          <s v="15-20"/>
          <s v="20-25"/>
          <s v="25-30"/>
          <s v="&gt;30"/>
        </groupItems>
      </fieldGroup>
    </cacheField>
    <cacheField name="Т. Макс. ° С" numFmtId="0">
      <sharedItems containsNonDate="0" containsString="0" containsBlank="1"/>
    </cacheField>
    <cacheField name="Т. Мин. ° С" numFmtId="0">
      <sharedItems containsNonDate="0" containsString="0" containsBlank="1"/>
    </cacheField>
    <cacheField name="Явления" numFmtId="49">
      <sharedItems/>
    </cacheField>
    <cacheField name="Высота снега см" numFmtId="0">
      <sharedItems containsSemiMixedTypes="0" containsString="0" containsNumber="1" containsInteger="1" minValue="86" maxValue="135"/>
    </cacheField>
    <cacheField name="Δ высоты снега см" numFmtId="0">
      <sharedItems containsSemiMixedTypes="0" containsString="0" containsNumber="1" containsInteger="1" minValue="-45" maxValue="15"/>
    </cacheField>
    <cacheField name="Осадки в срок мм" numFmtId="0">
      <sharedItems containsSemiMixedTypes="0" containsString="0" containsNumber="1" minValue="0" maxValue="11"/>
    </cacheField>
    <cacheField name="Сум. осад. с начала месяца мм" numFmtId="0">
      <sharedItems containsSemiMixedTypes="0" containsString="0" containsNumber="1" minValue="0" maxValue="43.149999999999991"/>
    </cacheField>
    <cacheField name="Давление гПа" numFmtId="0">
      <sharedItems containsSemiMixedTypes="0" containsString="0" containsNumber="1" minValue="893.8" maxValue="957.1"/>
    </cacheField>
    <cacheField name="Влажность %" numFmtId="0">
      <sharedItems containsSemiMixedTypes="0" containsString="0" containsNumber="1" containsInteger="1" minValue="37" maxValue="95"/>
    </cacheField>
    <cacheField name="рекомендации" numFmtId="49">
      <sharedItems/>
    </cacheField>
    <cacheField name="Средн. скор. м/с2" numFmtId="0" databaseField="0">
      <fieldGroup base="3">
        <discretePr count="42">
          <x v="12"/>
          <x v="12"/>
          <x v="12"/>
          <x v="12"/>
          <x v="13"/>
          <x v="13"/>
          <x v="13"/>
          <x v="13"/>
          <x v="13"/>
          <x v="13"/>
          <x v="1"/>
          <x v="5"/>
          <x v="8"/>
          <x v="3"/>
          <x v="9"/>
          <x v="9"/>
          <x v="9"/>
          <x v="10"/>
          <x v="10"/>
          <x v="10"/>
          <x v="10"/>
          <x v="11"/>
          <x v="11"/>
          <x v="11"/>
          <x v="11"/>
          <x v="12"/>
          <x v="12"/>
          <x v="4"/>
          <x v="4"/>
          <x v="1"/>
          <x v="0"/>
          <x v="3"/>
          <x v="2"/>
          <x v="0"/>
          <x v="2"/>
          <x v="6"/>
          <x v="6"/>
          <x v="5"/>
          <x v="14"/>
          <x v="7"/>
          <x v="7"/>
          <x v="8"/>
        </discretePr>
        <groupItems count="15">
          <s v="Группа1"/>
          <s v="Группа2"/>
          <s v="Группа3"/>
          <s v="Группа4"/>
          <s v="Группа5"/>
          <s v="Группа6"/>
          <s v="Группа7"/>
          <s v="Группа8"/>
          <s v="Группа9"/>
          <s v="Группа10"/>
          <s v="Группа11"/>
          <s v="Группа12"/>
          <s v="Группа13"/>
          <s v="Группа14"/>
          <m/>
        </groupItems>
      </fieldGroup>
    </cacheField>
  </cacheFields>
  <extLst>
    <ext xmlns:x14="http://schemas.microsoft.com/office/spreadsheetml/2009/9/main" uri="{725AE2AE-9491-48be-B2B4-4EB974FC3084}">
      <x14:pivotCacheDefinition pivotCacheId="39650503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Щербин Иван Сергеевич" refreshedDate="45187.830226157406" createdVersion="7" refreshedVersion="7" minRefreshableVersion="3" recordCount="248" xr:uid="{993939F0-0B30-40E9-8369-1887FB722BAC}">
  <cacheSource type="worksheet">
    <worksheetSource ref="A1:P249" sheet="Рудник для сводной "/>
  </cacheSource>
  <cacheFields count="17">
    <cacheField name="Дата" numFmtId="14">
      <sharedItems containsSemiMixedTypes="0" containsNonDate="0" containsDate="1" containsString="0" minDate="2023-03-01T00:00:00" maxDate="2023-04-01T00:00:00" count="31"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</sharedItems>
      <fieldGroup par="16"/>
    </cacheField>
    <cacheField name="Время" numFmtId="167">
      <sharedItems/>
    </cacheField>
    <cacheField name="Направление, румб" numFmtId="49">
      <sharedItems/>
    </cacheField>
    <cacheField name="Средн. скор. м/с" numFmtId="0">
      <sharedItems containsString="0" containsBlank="1" containsNumber="1" containsInteger="1" minValue="0" maxValue="40"/>
    </cacheField>
    <cacheField name="Макс. порыв м/с" numFmtId="0">
      <sharedItems containsString="0" containsBlank="1" containsNumber="1" containsInteger="1" minValue="0" maxValue="29"/>
    </cacheField>
    <cacheField name="Т. Средн. ° С" numFmtId="0">
      <sharedItems containsSemiMixedTypes="0" containsString="0" containsNumber="1" minValue="-19.3" maxValue="1.8"/>
    </cacheField>
    <cacheField name="Т. Макс. ° С" numFmtId="0">
      <sharedItems containsNonDate="0" containsString="0" containsBlank="1"/>
    </cacheField>
    <cacheField name="Т. Мин. ° С" numFmtId="0">
      <sharedItems containsNonDate="0" containsString="0" containsBlank="1"/>
    </cacheField>
    <cacheField name="Явления" numFmtId="49">
      <sharedItems/>
    </cacheField>
    <cacheField name="Высота снега см" numFmtId="0">
      <sharedItems containsSemiMixedTypes="0" containsString="0" containsNumber="1" containsInteger="1" minValue="86" maxValue="135"/>
    </cacheField>
    <cacheField name="Δ высоты снега см" numFmtId="0">
      <sharedItems containsSemiMixedTypes="0" containsString="0" containsNumber="1" containsInteger="1" minValue="-45" maxValue="15"/>
    </cacheField>
    <cacheField name="Осадки в срок мм" numFmtId="0">
      <sharedItems containsSemiMixedTypes="0" containsString="0" containsNumber="1" minValue="0" maxValue="11"/>
    </cacheField>
    <cacheField name="Сум. осад. с начала месяца мм" numFmtId="0">
      <sharedItems containsSemiMixedTypes="0" containsString="0" containsNumber="1" minValue="0" maxValue="43.149999999999991"/>
    </cacheField>
    <cacheField name="Давление гПа" numFmtId="0">
      <sharedItems containsSemiMixedTypes="0" containsString="0" containsNumber="1" minValue="893.8" maxValue="957.1"/>
    </cacheField>
    <cacheField name="Влажность %" numFmtId="0">
      <sharedItems containsSemiMixedTypes="0" containsString="0" containsNumber="1" containsInteger="1" minValue="37" maxValue="95"/>
    </cacheField>
    <cacheField name="рекомендации" numFmtId="49">
      <sharedItems/>
    </cacheField>
    <cacheField name="Дата2" numFmtId="0" databaseField="0">
      <fieldGroup base="0">
        <discretePr count="31">
          <x v="0"/>
          <x v="0"/>
          <x v="0"/>
          <x v="0"/>
          <x v="0"/>
          <x v="0"/>
          <x v="0"/>
          <x v="0"/>
          <x v="0"/>
          <x v="0"/>
          <x v="1"/>
          <x v="1"/>
          <x v="1"/>
          <x v="1"/>
          <x v="1"/>
          <x v="1"/>
          <x v="1"/>
          <x v="1"/>
          <x v="1"/>
          <x v="1"/>
          <x v="1"/>
          <x v="2"/>
          <x v="2"/>
          <x v="2"/>
          <x v="2"/>
          <x v="2"/>
          <x v="2"/>
          <x v="2"/>
          <x v="2"/>
          <x v="2"/>
          <x v="2"/>
        </discretePr>
        <groupItems count="3">
          <s v="Группа1"/>
          <s v="Группа2"/>
          <s v="Группа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Щербин Иван Сергеевич" refreshedDate="45187.832736111108" createdVersion="7" refreshedVersion="7" minRefreshableVersion="3" recordCount="248" xr:uid="{5EAFADC9-DC44-40A6-8076-CE54225AB08E}">
  <cacheSource type="worksheet">
    <worksheetSource ref="A1:P249" sheet="Рудник для сводной "/>
  </cacheSource>
  <cacheFields count="17">
    <cacheField name="Дата" numFmtId="14">
      <sharedItems containsSemiMixedTypes="0" containsNonDate="0" containsDate="1" containsString="0" minDate="2023-03-01T00:00:00" maxDate="2023-04-01T00:00:00" count="31"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</sharedItems>
    </cacheField>
    <cacheField name="Время" numFmtId="167">
      <sharedItems count="8">
        <s v="0:00"/>
        <s v="3:00"/>
        <s v="6:00"/>
        <s v="9:00"/>
        <s v="12:00"/>
        <s v="15:00"/>
        <s v="18:00"/>
        <s v="21:00"/>
      </sharedItems>
      <fieldGroup par="16"/>
    </cacheField>
    <cacheField name="Направление, румб" numFmtId="49">
      <sharedItems/>
    </cacheField>
    <cacheField name="Средн. скор. м/с" numFmtId="0">
      <sharedItems containsString="0" containsBlank="1" containsNumber="1" containsInteger="1" minValue="0" maxValue="40"/>
    </cacheField>
    <cacheField name="Макс. порыв м/с" numFmtId="0">
      <sharedItems containsString="0" containsBlank="1" containsNumber="1" containsInteger="1" minValue="0" maxValue="29"/>
    </cacheField>
    <cacheField name="Т. Средн. ° С" numFmtId="0">
      <sharedItems containsSemiMixedTypes="0" containsString="0" containsNumber="1" minValue="-19.3" maxValue="1.8"/>
    </cacheField>
    <cacheField name="Т. Макс. ° С" numFmtId="0">
      <sharedItems containsNonDate="0" containsString="0" containsBlank="1"/>
    </cacheField>
    <cacheField name="Т. Мин. ° С" numFmtId="0">
      <sharedItems containsNonDate="0" containsString="0" containsBlank="1"/>
    </cacheField>
    <cacheField name="Явления" numFmtId="49">
      <sharedItems/>
    </cacheField>
    <cacheField name="Высота снега см" numFmtId="0">
      <sharedItems containsSemiMixedTypes="0" containsString="0" containsNumber="1" containsInteger="1" minValue="86" maxValue="135"/>
    </cacheField>
    <cacheField name="Δ высоты снега см" numFmtId="0">
      <sharedItems containsSemiMixedTypes="0" containsString="0" containsNumber="1" containsInteger="1" minValue="-45" maxValue="15"/>
    </cacheField>
    <cacheField name="Осадки в срок мм" numFmtId="0">
      <sharedItems containsSemiMixedTypes="0" containsString="0" containsNumber="1" minValue="0" maxValue="11"/>
    </cacheField>
    <cacheField name="Сум. осад. с начала месяца мм" numFmtId="0">
      <sharedItems containsSemiMixedTypes="0" containsString="0" containsNumber="1" minValue="0" maxValue="43.149999999999991"/>
    </cacheField>
    <cacheField name="Давление гПа" numFmtId="0">
      <sharedItems containsSemiMixedTypes="0" containsString="0" containsNumber="1" minValue="893.8" maxValue="957.1"/>
    </cacheField>
    <cacheField name="Влажность %" numFmtId="0">
      <sharedItems containsSemiMixedTypes="0" containsString="0" containsNumber="1" containsInteger="1" minValue="37" maxValue="95"/>
    </cacheField>
    <cacheField name="рекомендации" numFmtId="49">
      <sharedItems/>
    </cacheField>
    <cacheField name="Время2" numFmtId="0" databaseField="0">
      <fieldGroup base="1">
        <discretePr count="8">
          <x v="1"/>
          <x v="1"/>
          <x v="1"/>
          <x v="0"/>
          <x v="0"/>
          <x v="0"/>
          <x v="0"/>
          <x v="1"/>
        </discretePr>
        <groupItems count="2">
          <s v="Группа1"/>
          <s v="Группа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Щербин Иван Сергеевич" refreshedDate="45187.837839351851" createdVersion="7" refreshedVersion="7" minRefreshableVersion="3" recordCount="248" xr:uid="{C57D1669-23A1-4ED9-97FB-C69200651471}">
  <cacheSource type="worksheet">
    <worksheetSource ref="A1:P249" sheet="Рудник для сводной "/>
  </cacheSource>
  <cacheFields count="16">
    <cacheField name="Дата" numFmtId="14">
      <sharedItems containsSemiMixedTypes="0" containsNonDate="0" containsDate="1" containsString="0" minDate="2023-03-01T00:00:00" maxDate="2023-04-01T00:00:00" count="31"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</sharedItems>
    </cacheField>
    <cacheField name="Время" numFmtId="167">
      <sharedItems count="8">
        <s v="0:00"/>
        <s v="3:00"/>
        <s v="6:00"/>
        <s v="9:00"/>
        <s v="12:00"/>
        <s v="15:00"/>
        <s v="18:00"/>
        <s v="21:00"/>
      </sharedItems>
    </cacheField>
    <cacheField name="Направление, румб" numFmtId="49">
      <sharedItems/>
    </cacheField>
    <cacheField name="Средн. скор. м/с" numFmtId="0">
      <sharedItems containsString="0" containsBlank="1" containsNumber="1" containsInteger="1" minValue="0" maxValue="40"/>
    </cacheField>
    <cacheField name="Макс. порыв м/с" numFmtId="0">
      <sharedItems containsString="0" containsBlank="1" containsNumber="1" containsInteger="1" minValue="0" maxValue="29"/>
    </cacheField>
    <cacheField name="Т. Средн. ° С" numFmtId="0">
      <sharedItems containsSemiMixedTypes="0" containsString="0" containsNumber="1" minValue="-19.3" maxValue="1.8"/>
    </cacheField>
    <cacheField name="Т. Макс. ° С" numFmtId="0">
      <sharedItems containsNonDate="0" containsString="0" containsBlank="1"/>
    </cacheField>
    <cacheField name="Т. Мин. ° С" numFmtId="0">
      <sharedItems containsNonDate="0" containsString="0" containsBlank="1"/>
    </cacheField>
    <cacheField name="Явления" numFmtId="49">
      <sharedItems/>
    </cacheField>
    <cacheField name="Высота снега см" numFmtId="0">
      <sharedItems containsSemiMixedTypes="0" containsString="0" containsNumber="1" containsInteger="1" minValue="86" maxValue="135"/>
    </cacheField>
    <cacheField name="Δ высоты снега см" numFmtId="0">
      <sharedItems containsSemiMixedTypes="0" containsString="0" containsNumber="1" containsInteger="1" minValue="-45" maxValue="15"/>
    </cacheField>
    <cacheField name="Осадки в срок мм" numFmtId="0">
      <sharedItems containsSemiMixedTypes="0" containsString="0" containsNumber="1" minValue="0" maxValue="11"/>
    </cacheField>
    <cacheField name="Сум. осад. с начала месяца мм" numFmtId="0">
      <sharedItems containsSemiMixedTypes="0" containsString="0" containsNumber="1" minValue="0" maxValue="43.149999999999991"/>
    </cacheField>
    <cacheField name="Давление гПа" numFmtId="0">
      <sharedItems containsSemiMixedTypes="0" containsString="0" containsNumber="1" minValue="893.8" maxValue="957.1"/>
    </cacheField>
    <cacheField name="Влажность %" numFmtId="0">
      <sharedItems containsSemiMixedTypes="0" containsString="0" containsNumber="1" containsInteger="1" minValue="37" maxValue="95"/>
    </cacheField>
    <cacheField name="рекомендации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8">
  <r>
    <x v="0"/>
    <x v="0"/>
    <s v="З"/>
    <n v="31"/>
    <n v="9"/>
    <x v="0"/>
    <m/>
    <m/>
    <s v="~"/>
    <n v="91"/>
    <n v="0"/>
    <n v="0"/>
    <n v="0"/>
    <n v="914.7"/>
    <n v="46"/>
    <s v="-"/>
  </r>
  <r>
    <x v="0"/>
    <x v="1"/>
    <s v="З"/>
    <n v="32"/>
    <n v="12"/>
    <x v="1"/>
    <m/>
    <m/>
    <s v="м"/>
    <n v="91"/>
    <n v="0"/>
    <n v="10"/>
    <n v="10"/>
    <n v="914.8"/>
    <n v="54"/>
    <s v="-"/>
  </r>
  <r>
    <x v="0"/>
    <x v="2"/>
    <s v="ЗЮЗ"/>
    <n v="33"/>
    <n v="9"/>
    <x v="2"/>
    <m/>
    <m/>
    <s v="м"/>
    <n v="92"/>
    <n v="1"/>
    <n v="0.1"/>
    <n v="10.1"/>
    <n v="915.6"/>
    <n v="68"/>
    <s v="-"/>
  </r>
  <r>
    <x v="0"/>
    <x v="3"/>
    <s v="ЗЮЗ"/>
    <n v="34"/>
    <n v="10"/>
    <x v="3"/>
    <m/>
    <m/>
    <s v="м"/>
    <n v="91"/>
    <n v="-1"/>
    <n v="0.2"/>
    <n v="10.299999999999999"/>
    <n v="916.6"/>
    <n v="67"/>
    <s v="-"/>
  </r>
  <r>
    <x v="0"/>
    <x v="4"/>
    <s v="ЗЮЗ"/>
    <n v="35"/>
    <n v="9"/>
    <x v="4"/>
    <m/>
    <m/>
    <s v="м"/>
    <n v="90"/>
    <n v="-1"/>
    <n v="0.3"/>
    <n v="10.6"/>
    <n v="917.1"/>
    <n v="58"/>
    <s v="-"/>
  </r>
  <r>
    <x v="0"/>
    <x v="5"/>
    <s v="З"/>
    <n v="36"/>
    <n v="7"/>
    <x v="5"/>
    <m/>
    <m/>
    <s v="~"/>
    <n v="91"/>
    <n v="1"/>
    <n v="0.2"/>
    <n v="10.799999999999999"/>
    <n v="916.4"/>
    <n v="46"/>
    <s v="-"/>
  </r>
  <r>
    <x v="0"/>
    <x v="6"/>
    <s v="З"/>
    <n v="37"/>
    <n v="2"/>
    <x v="6"/>
    <m/>
    <m/>
    <s v="~"/>
    <n v="91"/>
    <n v="0"/>
    <n v="0.5"/>
    <n v="11.299999999999999"/>
    <n v="916.5"/>
    <n v="49"/>
    <s v="-"/>
  </r>
  <r>
    <x v="0"/>
    <x v="7"/>
    <s v="З"/>
    <n v="38"/>
    <n v="7"/>
    <x v="2"/>
    <m/>
    <m/>
    <s v="~"/>
    <n v="91"/>
    <n v="0"/>
    <n v="0.6"/>
    <n v="11.899999999999999"/>
    <n v="916.8"/>
    <n v="60"/>
    <s v="-"/>
  </r>
  <r>
    <x v="1"/>
    <x v="0"/>
    <s v="З"/>
    <n v="39"/>
    <n v="10"/>
    <x v="7"/>
    <m/>
    <m/>
    <s v="м"/>
    <n v="91"/>
    <n v="0"/>
    <n v="0.1"/>
    <n v="11.999999999999998"/>
    <n v="917.3"/>
    <n v="68"/>
    <s v="-"/>
  </r>
  <r>
    <x v="1"/>
    <x v="1"/>
    <s v="З"/>
    <n v="40"/>
    <n v="10"/>
    <x v="8"/>
    <m/>
    <m/>
    <s v="м"/>
    <n v="90"/>
    <n v="-1"/>
    <n v="0.85"/>
    <n v="12.849999999999998"/>
    <n v="918.2"/>
    <n v="66"/>
    <s v="-"/>
  </r>
  <r>
    <x v="1"/>
    <x v="2"/>
    <s v="З"/>
    <n v="3"/>
    <n v="11"/>
    <x v="9"/>
    <m/>
    <m/>
    <s v="м"/>
    <n v="90"/>
    <n v="0"/>
    <n v="0"/>
    <n v="12.849999999999998"/>
    <n v="919.1"/>
    <n v="55"/>
    <s v="-"/>
  </r>
  <r>
    <x v="1"/>
    <x v="3"/>
    <s v="З"/>
    <n v="10"/>
    <n v="13"/>
    <x v="10"/>
    <m/>
    <m/>
    <s v="м"/>
    <n v="89"/>
    <n v="-1"/>
    <n v="0"/>
    <n v="12.849999999999998"/>
    <n v="921.6"/>
    <n v="54"/>
    <s v="-"/>
  </r>
  <r>
    <x v="1"/>
    <x v="4"/>
    <s v="З"/>
    <n v="17"/>
    <n v="13"/>
    <x v="11"/>
    <m/>
    <m/>
    <s v="м"/>
    <n v="90"/>
    <n v="1"/>
    <n v="0.5"/>
    <n v="13.349999999999998"/>
    <n v="924.5"/>
    <n v="53"/>
    <s v="-"/>
  </r>
  <r>
    <x v="1"/>
    <x v="5"/>
    <s v="З"/>
    <n v="7"/>
    <n v="10"/>
    <x v="8"/>
    <m/>
    <m/>
    <s v="м"/>
    <n v="90"/>
    <n v="0"/>
    <n v="0.6"/>
    <n v="13.949999999999998"/>
    <n v="926.1"/>
    <n v="52"/>
    <s v="-"/>
  </r>
  <r>
    <x v="1"/>
    <x v="6"/>
    <s v="З"/>
    <n v="18"/>
    <n v="17"/>
    <x v="3"/>
    <m/>
    <m/>
    <s v="м"/>
    <n v="91"/>
    <n v="1"/>
    <n v="0.5"/>
    <n v="14.449999999999998"/>
    <n v="928.1"/>
    <n v="60"/>
    <s v="-"/>
  </r>
  <r>
    <x v="1"/>
    <x v="7"/>
    <s v="З"/>
    <n v="19"/>
    <n v="10"/>
    <x v="12"/>
    <m/>
    <m/>
    <s v="м"/>
    <n v="91"/>
    <n v="0"/>
    <n v="6"/>
    <n v="20.449999999999996"/>
    <n v="931.1"/>
    <n v="48"/>
    <s v="-"/>
  </r>
  <r>
    <x v="2"/>
    <x v="0"/>
    <s v="З"/>
    <n v="20"/>
    <n v="7"/>
    <x v="8"/>
    <m/>
    <m/>
    <s v="~"/>
    <n v="90"/>
    <n v="-1"/>
    <n v="5.2"/>
    <n v="25.649999999999995"/>
    <n v="932.7"/>
    <n v="45"/>
    <s v="-"/>
  </r>
  <r>
    <x v="2"/>
    <x v="1"/>
    <s v="З"/>
    <n v="21"/>
    <n v="6"/>
    <x v="7"/>
    <m/>
    <m/>
    <s v="~"/>
    <n v="91"/>
    <n v="1"/>
    <n v="0"/>
    <n v="25.649999999999995"/>
    <n v="932.3"/>
    <n v="41"/>
    <s v="-"/>
  </r>
  <r>
    <x v="2"/>
    <x v="2"/>
    <s v="З"/>
    <n v="22"/>
    <n v="8"/>
    <x v="5"/>
    <m/>
    <m/>
    <s v="~"/>
    <n v="91"/>
    <n v="0"/>
    <n v="0.5"/>
    <n v="26.149999999999995"/>
    <n v="930.7"/>
    <n v="38"/>
    <s v="-"/>
  </r>
  <r>
    <x v="2"/>
    <x v="3"/>
    <s v="З"/>
    <n v="23"/>
    <n v="7"/>
    <x v="13"/>
    <m/>
    <m/>
    <s v="~"/>
    <n v="92"/>
    <n v="1"/>
    <n v="0"/>
    <n v="26.149999999999995"/>
    <n v="929.5"/>
    <n v="39"/>
    <s v="-"/>
  </r>
  <r>
    <x v="2"/>
    <x v="4"/>
    <s v="З"/>
    <n v="24"/>
    <n v="2"/>
    <x v="14"/>
    <m/>
    <m/>
    <s v="~"/>
    <n v="92"/>
    <n v="0"/>
    <n v="0"/>
    <n v="26.149999999999995"/>
    <n v="927.9"/>
    <n v="49"/>
    <s v="-"/>
  </r>
  <r>
    <x v="2"/>
    <x v="5"/>
    <s v="З"/>
    <n v="25"/>
    <n v="1"/>
    <x v="15"/>
    <m/>
    <m/>
    <s v="~"/>
    <n v="92"/>
    <n v="0"/>
    <n v="0"/>
    <n v="26.149999999999995"/>
    <n v="925"/>
    <n v="46"/>
    <s v="-"/>
  </r>
  <r>
    <x v="2"/>
    <x v="6"/>
    <s v="З"/>
    <n v="26"/>
    <n v="2"/>
    <x v="16"/>
    <m/>
    <m/>
    <s v="то"/>
    <n v="90"/>
    <n v="-2"/>
    <n v="0"/>
    <n v="26.149999999999995"/>
    <n v="922.9"/>
    <n v="76"/>
    <s v="-"/>
  </r>
  <r>
    <x v="2"/>
    <x v="7"/>
    <s v="СЗ"/>
    <n v="27"/>
    <n v="3"/>
    <x v="14"/>
    <m/>
    <m/>
    <s v="то"/>
    <n v="91"/>
    <n v="1"/>
    <n v="0"/>
    <n v="26.149999999999995"/>
    <n v="921.6"/>
    <n v="79"/>
    <s v="-"/>
  </r>
  <r>
    <x v="3"/>
    <x v="0"/>
    <s v="СЗ"/>
    <n v="28"/>
    <n v="3"/>
    <x v="17"/>
    <m/>
    <m/>
    <s v="то"/>
    <n v="92"/>
    <n v="1"/>
    <n v="0"/>
    <n v="26.149999999999995"/>
    <n v="920.2"/>
    <n v="73"/>
    <s v="-"/>
  </r>
  <r>
    <x v="3"/>
    <x v="1"/>
    <s v="СЗ"/>
    <n v="29"/>
    <n v="6"/>
    <x v="5"/>
    <m/>
    <m/>
    <s v="~"/>
    <n v="92"/>
    <n v="0"/>
    <n v="0"/>
    <n v="26.149999999999995"/>
    <n v="920.3"/>
    <n v="69"/>
    <s v="-"/>
  </r>
  <r>
    <x v="3"/>
    <x v="2"/>
    <s v="СЗ"/>
    <n v="30"/>
    <n v="13"/>
    <x v="18"/>
    <m/>
    <m/>
    <s v="м"/>
    <n v="90"/>
    <n v="-2"/>
    <n v="0"/>
    <n v="26.149999999999995"/>
    <n v="920.5"/>
    <n v="68"/>
    <s v="-"/>
  </r>
  <r>
    <x v="3"/>
    <x v="3"/>
    <s v="СЗ"/>
    <n v="8"/>
    <n v="12"/>
    <x v="19"/>
    <m/>
    <m/>
    <s v="м"/>
    <n v="90"/>
    <n v="0"/>
    <n v="0"/>
    <n v="26.149999999999995"/>
    <n v="921.5"/>
    <n v="64"/>
    <s v="-"/>
  </r>
  <r>
    <x v="3"/>
    <x v="4"/>
    <s v="СЗ"/>
    <n v="9"/>
    <n v="18"/>
    <x v="20"/>
    <m/>
    <m/>
    <s v="м"/>
    <n v="89"/>
    <n v="-1"/>
    <n v="1"/>
    <n v="27.149999999999995"/>
    <n v="921.6"/>
    <n v="67"/>
    <s v="-"/>
  </r>
  <r>
    <x v="3"/>
    <x v="5"/>
    <s v="СЗ"/>
    <n v="9"/>
    <n v="15"/>
    <x v="21"/>
    <m/>
    <m/>
    <s v="м"/>
    <n v="89"/>
    <n v="0"/>
    <n v="0"/>
    <n v="27.149999999999995"/>
    <n v="921.4"/>
    <n v="64"/>
    <s v="-"/>
  </r>
  <r>
    <x v="3"/>
    <x v="6"/>
    <s v="СЗ"/>
    <n v="9"/>
    <n v="14"/>
    <x v="22"/>
    <m/>
    <m/>
    <s v="~"/>
    <n v="89"/>
    <n v="0"/>
    <n v="0"/>
    <n v="27.149999999999995"/>
    <n v="922.3"/>
    <n v="55"/>
    <s v="-"/>
  </r>
  <r>
    <x v="3"/>
    <x v="7"/>
    <s v="ЗСЗ"/>
    <n v="2"/>
    <n v="4"/>
    <x v="23"/>
    <m/>
    <m/>
    <s v="~"/>
    <n v="90"/>
    <n v="1"/>
    <n v="0"/>
    <n v="27.149999999999995"/>
    <n v="923.5"/>
    <n v="50"/>
    <s v="-"/>
  </r>
  <r>
    <x v="4"/>
    <x v="0"/>
    <s v="ЗСЗ"/>
    <n v="1"/>
    <n v="2"/>
    <x v="24"/>
    <m/>
    <m/>
    <s v="~"/>
    <n v="88"/>
    <n v="-2"/>
    <n v="0"/>
    <n v="27.149999999999995"/>
    <n v="923.8"/>
    <n v="56"/>
    <s v="-"/>
  </r>
  <r>
    <x v="4"/>
    <x v="1"/>
    <s v="ЗСЗ"/>
    <n v="3"/>
    <n v="5"/>
    <x v="25"/>
    <m/>
    <m/>
    <s v="~"/>
    <n v="88"/>
    <n v="0"/>
    <n v="0"/>
    <n v="27.149999999999995"/>
    <n v="923.2"/>
    <n v="54"/>
    <s v="-"/>
  </r>
  <r>
    <x v="4"/>
    <x v="2"/>
    <s v="З"/>
    <n v="6"/>
    <n v="9"/>
    <x v="26"/>
    <m/>
    <m/>
    <s v="~"/>
    <n v="88"/>
    <n v="0"/>
    <n v="0"/>
    <n v="27.149999999999995"/>
    <n v="922.9"/>
    <n v="55"/>
    <s v="-"/>
  </r>
  <r>
    <x v="4"/>
    <x v="3"/>
    <s v="З"/>
    <n v="6"/>
    <n v="10"/>
    <x v="27"/>
    <m/>
    <m/>
    <s v="~"/>
    <n v="87"/>
    <n v="-1"/>
    <n v="0"/>
    <n v="27.149999999999995"/>
    <n v="922.9"/>
    <n v="54"/>
    <s v="-"/>
  </r>
  <r>
    <x v="4"/>
    <x v="4"/>
    <s v="З"/>
    <n v="6"/>
    <n v="9"/>
    <x v="28"/>
    <m/>
    <m/>
    <s v="~"/>
    <n v="88"/>
    <n v="1"/>
    <n v="0"/>
    <n v="27.149999999999995"/>
    <n v="922.5"/>
    <n v="53"/>
    <s v="-"/>
  </r>
  <r>
    <x v="4"/>
    <x v="5"/>
    <s v="З"/>
    <n v="8"/>
    <n v="12"/>
    <x v="29"/>
    <m/>
    <m/>
    <s v="~"/>
    <n v="88"/>
    <n v="0"/>
    <n v="5"/>
    <n v="32.149999999999991"/>
    <n v="921.4"/>
    <n v="64"/>
    <s v="-"/>
  </r>
  <r>
    <x v="4"/>
    <x v="6"/>
    <s v="З"/>
    <n v="9"/>
    <n v="13"/>
    <x v="10"/>
    <m/>
    <m/>
    <s v="~"/>
    <n v="88"/>
    <n v="0"/>
    <n v="0"/>
    <n v="32.149999999999991"/>
    <n v="921.2"/>
    <n v="48"/>
    <s v="-"/>
  </r>
  <r>
    <x v="4"/>
    <x v="7"/>
    <s v="З"/>
    <n v="6"/>
    <n v="12"/>
    <x v="30"/>
    <m/>
    <m/>
    <s v="м"/>
    <n v="89"/>
    <n v="1"/>
    <n v="0"/>
    <n v="32.149999999999991"/>
    <n v="922.3"/>
    <n v="44"/>
    <s v="-"/>
  </r>
  <r>
    <x v="5"/>
    <x v="0"/>
    <s v="З"/>
    <n v="2"/>
    <n v="6"/>
    <x v="31"/>
    <m/>
    <m/>
    <s v="~"/>
    <n v="88"/>
    <n v="-1"/>
    <n v="0"/>
    <n v="32.149999999999991"/>
    <n v="922.3"/>
    <n v="43"/>
    <s v="-"/>
  </r>
  <r>
    <x v="5"/>
    <x v="1"/>
    <s v="З"/>
    <n v="3"/>
    <n v="10"/>
    <x v="32"/>
    <m/>
    <m/>
    <s v="~"/>
    <n v="89"/>
    <n v="1"/>
    <n v="0"/>
    <n v="32.149999999999991"/>
    <n v="922"/>
    <n v="42"/>
    <s v="-"/>
  </r>
  <r>
    <x v="5"/>
    <x v="2"/>
    <s v="З"/>
    <n v="3"/>
    <n v="7"/>
    <x v="12"/>
    <m/>
    <m/>
    <s v="~"/>
    <n v="90"/>
    <n v="1"/>
    <n v="11"/>
    <n v="43.149999999999991"/>
    <n v="922.4"/>
    <n v="39"/>
    <s v="-"/>
  </r>
  <r>
    <x v="5"/>
    <x v="3"/>
    <s v="ЗЮЗ"/>
    <n v="1"/>
    <n v="1"/>
    <x v="33"/>
    <m/>
    <m/>
    <s v="~"/>
    <n v="91"/>
    <n v="1"/>
    <n v="0"/>
    <n v="43.149999999999991"/>
    <n v="922.1"/>
    <n v="40"/>
    <s v="-"/>
  </r>
  <r>
    <x v="5"/>
    <x v="4"/>
    <s v="ЗЮЗ"/>
    <n v="1"/>
    <n v="2"/>
    <x v="34"/>
    <m/>
    <m/>
    <s v="~"/>
    <n v="90"/>
    <n v="-1"/>
    <n v="0"/>
    <n v="43.149999999999991"/>
    <n v="920.8"/>
    <n v="44"/>
    <s v="-"/>
  </r>
  <r>
    <x v="5"/>
    <x v="5"/>
    <s v="ЗЮЗ"/>
    <n v="1"/>
    <n v="2"/>
    <x v="35"/>
    <m/>
    <m/>
    <s v="то"/>
    <n v="91"/>
    <n v="1"/>
    <n v="0"/>
    <n v="43.149999999999991"/>
    <n v="919.7"/>
    <n v="46"/>
    <s v="-"/>
  </r>
  <r>
    <x v="5"/>
    <x v="6"/>
    <s v="З"/>
    <n v="1"/>
    <n v="2"/>
    <x v="36"/>
    <m/>
    <m/>
    <s v="~"/>
    <n v="91"/>
    <n v="0"/>
    <n v="0"/>
    <n v="43.149999999999991"/>
    <n v="919.8"/>
    <n v="57"/>
    <s v="-"/>
  </r>
  <r>
    <x v="5"/>
    <x v="7"/>
    <s v="З"/>
    <n v="2"/>
    <n v="3"/>
    <x v="6"/>
    <m/>
    <m/>
    <s v="~"/>
    <n v="91"/>
    <n v="0"/>
    <n v="0"/>
    <n v="43.149999999999991"/>
    <n v="920.5"/>
    <n v="56"/>
    <s v="-"/>
  </r>
  <r>
    <x v="6"/>
    <x v="0"/>
    <s v="З"/>
    <n v="5"/>
    <n v="8"/>
    <x v="37"/>
    <m/>
    <m/>
    <s v="м"/>
    <n v="91"/>
    <n v="0"/>
    <n v="0"/>
    <n v="43.149999999999991"/>
    <n v="920.9"/>
    <n v="59"/>
    <s v="-"/>
  </r>
  <r>
    <x v="6"/>
    <x v="1"/>
    <s v="З"/>
    <n v="2"/>
    <n v="2"/>
    <x v="38"/>
    <m/>
    <m/>
    <s v="~"/>
    <n v="92"/>
    <n v="1"/>
    <n v="0"/>
    <n v="43.149999999999991"/>
    <n v="921.8"/>
    <n v="63"/>
    <s v="-"/>
  </r>
  <r>
    <x v="6"/>
    <x v="2"/>
    <s v="З"/>
    <n v="3"/>
    <n v="4"/>
    <x v="39"/>
    <m/>
    <m/>
    <s v="~"/>
    <n v="93"/>
    <n v="1"/>
    <n v="0"/>
    <n v="43.149999999999991"/>
    <n v="922.2"/>
    <n v="67"/>
    <s v="-"/>
  </r>
  <r>
    <x v="6"/>
    <x v="3"/>
    <s v="ЗЮЗ"/>
    <n v="3"/>
    <n v="4"/>
    <x v="40"/>
    <m/>
    <m/>
    <s v="~"/>
    <n v="94"/>
    <n v="1"/>
    <n v="0"/>
    <n v="43.149999999999991"/>
    <n v="922"/>
    <n v="71"/>
    <s v="-"/>
  </r>
  <r>
    <x v="6"/>
    <x v="4"/>
    <s v="ЮЗ"/>
    <n v="1"/>
    <n v="2"/>
    <x v="41"/>
    <m/>
    <m/>
    <s v="~"/>
    <n v="91"/>
    <n v="-3"/>
    <n v="0"/>
    <n v="43.149999999999991"/>
    <n v="922.2"/>
    <n v="69"/>
    <s v="-"/>
  </r>
  <r>
    <x v="6"/>
    <x v="5"/>
    <s v="ЗЮЗ"/>
    <n v="8"/>
    <n v="12"/>
    <x v="42"/>
    <m/>
    <m/>
    <s v="м"/>
    <n v="95"/>
    <n v="4"/>
    <n v="0"/>
    <n v="43.149999999999991"/>
    <n v="922.7"/>
    <n v="69"/>
    <s v="-"/>
  </r>
  <r>
    <x v="6"/>
    <x v="6"/>
    <s v="ЗЮЗ"/>
    <n v="6"/>
    <n v="10"/>
    <x v="43"/>
    <m/>
    <m/>
    <s v="~"/>
    <n v="95"/>
    <n v="0"/>
    <n v="0"/>
    <n v="43.149999999999991"/>
    <n v="925.5"/>
    <n v="69"/>
    <s v="-"/>
  </r>
  <r>
    <x v="6"/>
    <x v="7"/>
    <s v="З"/>
    <n v="6"/>
    <n v="8"/>
    <x v="44"/>
    <m/>
    <m/>
    <s v="~"/>
    <n v="94"/>
    <n v="-1"/>
    <n v="0"/>
    <n v="43.149999999999991"/>
    <n v="928.2"/>
    <n v="66"/>
    <s v="-"/>
  </r>
  <r>
    <x v="7"/>
    <x v="0"/>
    <s v="З"/>
    <n v="10"/>
    <n v="15"/>
    <x v="45"/>
    <m/>
    <m/>
    <s v="~"/>
    <n v="93"/>
    <n v="-1"/>
    <n v="0"/>
    <n v="43.149999999999991"/>
    <n v="929"/>
    <n v="57"/>
    <s v="-"/>
  </r>
  <r>
    <x v="7"/>
    <x v="1"/>
    <s v="ЗЮЗ"/>
    <n v="9"/>
    <n v="12"/>
    <x v="46"/>
    <m/>
    <m/>
    <s v="~"/>
    <n v="93"/>
    <n v="0"/>
    <n v="0"/>
    <n v="43.149999999999991"/>
    <n v="930.3"/>
    <n v="52"/>
    <s v="-"/>
  </r>
  <r>
    <x v="7"/>
    <x v="2"/>
    <s v="ЗЮЗ"/>
    <n v="1"/>
    <n v="3"/>
    <x v="47"/>
    <m/>
    <m/>
    <s v="~"/>
    <n v="90"/>
    <n v="-3"/>
    <n v="0"/>
    <n v="43.149999999999991"/>
    <n v="931.9"/>
    <n v="71"/>
    <s v="-"/>
  </r>
  <r>
    <x v="7"/>
    <x v="3"/>
    <s v="ЮЗ"/>
    <n v="1"/>
    <n v="2"/>
    <x v="48"/>
    <m/>
    <m/>
    <s v="~"/>
    <n v="91"/>
    <n v="1"/>
    <n v="0"/>
    <n v="43.149999999999991"/>
    <n v="932.8"/>
    <n v="66"/>
    <s v="-"/>
  </r>
  <r>
    <x v="7"/>
    <x v="4"/>
    <s v="ЮЮЗ"/>
    <n v="1"/>
    <n v="2"/>
    <x v="49"/>
    <m/>
    <m/>
    <s v="~"/>
    <n v="93"/>
    <n v="2"/>
    <n v="0"/>
    <n v="43.149999999999991"/>
    <n v="932.9"/>
    <n v="70"/>
    <s v="-"/>
  </r>
  <r>
    <x v="7"/>
    <x v="5"/>
    <s v="ЮВ"/>
    <n v="1"/>
    <n v="2"/>
    <x v="50"/>
    <m/>
    <m/>
    <s v="~"/>
    <n v="93"/>
    <n v="0"/>
    <n v="0"/>
    <n v="43.149999999999991"/>
    <n v="932.3"/>
    <n v="73"/>
    <s v="-"/>
  </r>
  <r>
    <x v="7"/>
    <x v="6"/>
    <s v="ЮВ"/>
    <n v="0"/>
    <n v="1"/>
    <x v="51"/>
    <m/>
    <m/>
    <s v="то"/>
    <n v="90"/>
    <n v="-3"/>
    <n v="0"/>
    <n v="43.149999999999991"/>
    <n v="931.7"/>
    <n v="91"/>
    <s v="-"/>
  </r>
  <r>
    <x v="7"/>
    <x v="7"/>
    <s v="ЮВ"/>
    <n v="1"/>
    <n v="1"/>
    <x v="52"/>
    <m/>
    <m/>
    <s v="то"/>
    <n v="95"/>
    <n v="5"/>
    <n v="0"/>
    <n v="43.149999999999991"/>
    <n v="931.4"/>
    <n v="91"/>
    <s v="-"/>
  </r>
  <r>
    <x v="8"/>
    <x v="0"/>
    <s v="ЮЗ"/>
    <n v="0"/>
    <n v="1"/>
    <x v="46"/>
    <m/>
    <m/>
    <s v="то"/>
    <n v="99"/>
    <n v="4"/>
    <n v="0"/>
    <n v="43.149999999999991"/>
    <n v="930.8"/>
    <n v="89"/>
    <s v="-"/>
  </r>
  <r>
    <x v="8"/>
    <x v="1"/>
    <s v="З"/>
    <n v="2"/>
    <n v="3"/>
    <x v="53"/>
    <m/>
    <m/>
    <s v="~"/>
    <n v="98"/>
    <n v="-1"/>
    <n v="0"/>
    <n v="43.149999999999991"/>
    <n v="930.9"/>
    <n v="86"/>
    <s v="-"/>
  </r>
  <r>
    <x v="8"/>
    <x v="2"/>
    <s v="ЗСЗ"/>
    <n v="1"/>
    <n v="3"/>
    <x v="54"/>
    <m/>
    <m/>
    <s v="~"/>
    <n v="98"/>
    <n v="0"/>
    <n v="0"/>
    <n v="43.149999999999991"/>
    <n v="932"/>
    <n v="83"/>
    <s v="-"/>
  </r>
  <r>
    <x v="8"/>
    <x v="3"/>
    <s v="З"/>
    <n v="6"/>
    <n v="9"/>
    <x v="55"/>
    <m/>
    <m/>
    <s v="м"/>
    <n v="101"/>
    <n v="3"/>
    <n v="0"/>
    <n v="43.149999999999991"/>
    <n v="934"/>
    <n v="71"/>
    <s v="-"/>
  </r>
  <r>
    <x v="8"/>
    <x v="4"/>
    <s v="З"/>
    <n v="0"/>
    <n v="1"/>
    <x v="56"/>
    <m/>
    <m/>
    <s v="~"/>
    <n v="100"/>
    <n v="-1"/>
    <n v="0"/>
    <n v="43.149999999999991"/>
    <n v="935.6"/>
    <n v="88"/>
    <s v="-"/>
  </r>
  <r>
    <x v="8"/>
    <x v="5"/>
    <s v="ЗЮЗ"/>
    <n v="0"/>
    <n v="1"/>
    <x v="57"/>
    <m/>
    <m/>
    <s v="~"/>
    <n v="101"/>
    <n v="1"/>
    <n v="0"/>
    <n v="43.149999999999991"/>
    <n v="935.6"/>
    <n v="78"/>
    <s v="-"/>
  </r>
  <r>
    <x v="8"/>
    <x v="6"/>
    <s v="ЗЮЗ"/>
    <n v="2"/>
    <n v="2"/>
    <x v="50"/>
    <m/>
    <m/>
    <s v="~"/>
    <n v="100"/>
    <n v="-1"/>
    <n v="0"/>
    <n v="43.149999999999991"/>
    <n v="936.7"/>
    <n v="93"/>
    <s v="-"/>
  </r>
  <r>
    <x v="8"/>
    <x v="7"/>
    <s v="ЗЮЗ"/>
    <n v="1"/>
    <n v="3"/>
    <x v="58"/>
    <m/>
    <m/>
    <s v="~"/>
    <n v="97"/>
    <n v="-3"/>
    <n v="0"/>
    <n v="43.149999999999991"/>
    <n v="938.5"/>
    <n v="93"/>
    <s v="-"/>
  </r>
  <r>
    <x v="9"/>
    <x v="0"/>
    <s v="З"/>
    <n v="2"/>
    <n v="4"/>
    <x v="59"/>
    <m/>
    <m/>
    <s v="м"/>
    <n v="102"/>
    <n v="5"/>
    <n v="0"/>
    <n v="43.149999999999991"/>
    <n v="940.6"/>
    <n v="71"/>
    <s v="-"/>
  </r>
  <r>
    <x v="9"/>
    <x v="1"/>
    <s v="З"/>
    <n v="3"/>
    <n v="4"/>
    <x v="15"/>
    <m/>
    <m/>
    <s v="м"/>
    <n v="99"/>
    <n v="-3"/>
    <n v="0"/>
    <n v="43.149999999999991"/>
    <n v="942.8"/>
    <n v="79"/>
    <s v="-"/>
  </r>
  <r>
    <x v="9"/>
    <x v="2"/>
    <s v="З"/>
    <n v="4"/>
    <n v="4"/>
    <x v="60"/>
    <m/>
    <m/>
    <s v="~"/>
    <n v="99"/>
    <n v="0"/>
    <n v="0"/>
    <n v="43.149999999999991"/>
    <n v="944.4"/>
    <n v="71"/>
    <s v="-"/>
  </r>
  <r>
    <x v="9"/>
    <x v="3"/>
    <s v="З"/>
    <n v="3"/>
    <n v="4"/>
    <x v="54"/>
    <m/>
    <m/>
    <s v="~"/>
    <n v="101"/>
    <n v="2"/>
    <n v="0"/>
    <n v="43.149999999999991"/>
    <n v="945.9"/>
    <n v="65"/>
    <s v="-"/>
  </r>
  <r>
    <x v="9"/>
    <x v="4"/>
    <s v="ЮЗ"/>
    <n v="2"/>
    <n v="3"/>
    <x v="52"/>
    <m/>
    <m/>
    <s v="~"/>
    <n v="102"/>
    <n v="1"/>
    <n v="0"/>
    <n v="43.149999999999991"/>
    <n v="946.8"/>
    <n v="67"/>
    <s v="-"/>
  </r>
  <r>
    <x v="9"/>
    <x v="5"/>
    <s v="ЮЗ"/>
    <n v="1"/>
    <n v="1"/>
    <x v="61"/>
    <m/>
    <m/>
    <s v="~"/>
    <n v="102"/>
    <n v="0"/>
    <n v="0"/>
    <n v="43.149999999999991"/>
    <n v="947"/>
    <n v="65"/>
    <s v="-"/>
  </r>
  <r>
    <x v="9"/>
    <x v="6"/>
    <s v="ЮЮВ"/>
    <n v="1"/>
    <n v="1"/>
    <x v="52"/>
    <m/>
    <m/>
    <s v="то"/>
    <n v="102"/>
    <n v="0"/>
    <n v="0"/>
    <n v="43.149999999999991"/>
    <n v="947.7"/>
    <n v="85"/>
    <s v="-"/>
  </r>
  <r>
    <x v="9"/>
    <x v="7"/>
    <s v="-"/>
    <n v="0"/>
    <n v="0"/>
    <x v="62"/>
    <m/>
    <m/>
    <s v="то"/>
    <n v="96"/>
    <n v="-6"/>
    <n v="0"/>
    <n v="43.149999999999991"/>
    <n v="948.4"/>
    <n v="88"/>
    <s v="-"/>
  </r>
  <r>
    <x v="10"/>
    <x v="0"/>
    <s v="ЮВ"/>
    <n v="2"/>
    <n v="3"/>
    <x v="59"/>
    <m/>
    <m/>
    <s v="то"/>
    <n v="101"/>
    <n v="5"/>
    <n v="0"/>
    <n v="43.149999999999991"/>
    <n v="948.4"/>
    <n v="86"/>
    <s v="-"/>
  </r>
  <r>
    <x v="10"/>
    <x v="1"/>
    <s v="ЮВ"/>
    <n v="1"/>
    <n v="2"/>
    <x v="62"/>
    <m/>
    <m/>
    <s v="~"/>
    <n v="101"/>
    <n v="0"/>
    <n v="0"/>
    <n v="43.149999999999991"/>
    <n v="947.9"/>
    <n v="85"/>
    <s v="-"/>
  </r>
  <r>
    <x v="10"/>
    <x v="2"/>
    <s v="ЮЗ"/>
    <n v="1"/>
    <n v="2"/>
    <x v="63"/>
    <m/>
    <m/>
    <s v="~"/>
    <n v="100"/>
    <n v="-1"/>
    <n v="0"/>
    <n v="43.149999999999991"/>
    <n v="948.3"/>
    <n v="86"/>
    <s v="-"/>
  </r>
  <r>
    <x v="10"/>
    <x v="3"/>
    <s v="З"/>
    <n v="3"/>
    <n v="4"/>
    <x v="64"/>
    <m/>
    <m/>
    <s v="~"/>
    <n v="99"/>
    <n v="-1"/>
    <n v="0"/>
    <n v="43.149999999999991"/>
    <n v="948.7"/>
    <n v="84"/>
    <s v="-"/>
  </r>
  <r>
    <x v="10"/>
    <x v="4"/>
    <s v="З"/>
    <n v="3"/>
    <n v="3"/>
    <x v="65"/>
    <m/>
    <m/>
    <s v="~"/>
    <n v="99"/>
    <n v="0"/>
    <n v="0"/>
    <n v="43.149999999999991"/>
    <n v="948.7"/>
    <n v="75"/>
    <s v="-"/>
  </r>
  <r>
    <x v="10"/>
    <x v="5"/>
    <s v="З"/>
    <n v="0"/>
    <n v="1"/>
    <x v="56"/>
    <m/>
    <m/>
    <s v="~"/>
    <n v="100"/>
    <n v="1"/>
    <n v="0"/>
    <n v="43.149999999999991"/>
    <n v="948.1"/>
    <n v="70"/>
    <s v="-"/>
  </r>
  <r>
    <x v="10"/>
    <x v="6"/>
    <s v="З"/>
    <n v="2"/>
    <n v="3"/>
    <x v="53"/>
    <m/>
    <m/>
    <s v="~"/>
    <n v="100"/>
    <n v="0"/>
    <n v="0"/>
    <n v="43.149999999999991"/>
    <n v="949.1"/>
    <n v="74"/>
    <s v="-"/>
  </r>
  <r>
    <x v="10"/>
    <x v="7"/>
    <s v="З"/>
    <n v="3"/>
    <n v="3"/>
    <x v="66"/>
    <m/>
    <m/>
    <s v="~"/>
    <n v="100"/>
    <n v="0"/>
    <n v="0"/>
    <n v="43.149999999999991"/>
    <n v="950.5"/>
    <n v="73"/>
    <s v="-"/>
  </r>
  <r>
    <x v="11"/>
    <x v="0"/>
    <s v="З"/>
    <n v="3"/>
    <n v="4"/>
    <x v="67"/>
    <m/>
    <m/>
    <s v="~"/>
    <n v="100"/>
    <n v="0"/>
    <n v="0"/>
    <n v="43.149999999999991"/>
    <n v="950.6"/>
    <n v="63"/>
    <s v="-"/>
  </r>
  <r>
    <x v="11"/>
    <x v="1"/>
    <s v="ЗСЗ"/>
    <n v="4"/>
    <n v="4"/>
    <x v="17"/>
    <m/>
    <m/>
    <s v="~"/>
    <n v="99"/>
    <n v="-1"/>
    <n v="0"/>
    <n v="43.149999999999991"/>
    <n v="950.3"/>
    <n v="55"/>
    <s v="-"/>
  </r>
  <r>
    <x v="11"/>
    <x v="2"/>
    <s v="ЗСЗ"/>
    <n v="3"/>
    <n v="4"/>
    <x v="16"/>
    <m/>
    <m/>
    <s v="~"/>
    <n v="97"/>
    <n v="-2"/>
    <n v="0"/>
    <n v="43.149999999999991"/>
    <n v="950.8"/>
    <n v="55"/>
    <s v="-"/>
  </r>
  <r>
    <x v="11"/>
    <x v="3"/>
    <s v="З"/>
    <n v="3"/>
    <n v="4"/>
    <x v="68"/>
    <m/>
    <m/>
    <s v="~"/>
    <n v="97"/>
    <n v="0"/>
    <n v="0"/>
    <n v="43.149999999999991"/>
    <n v="951.7"/>
    <n v="50"/>
    <s v="-"/>
  </r>
  <r>
    <x v="11"/>
    <x v="4"/>
    <s v="З"/>
    <n v="2"/>
    <n v="3"/>
    <x v="48"/>
    <m/>
    <m/>
    <s v="~"/>
    <n v="99"/>
    <n v="2"/>
    <n v="0"/>
    <n v="43.149999999999991"/>
    <n v="951.5"/>
    <n v="50"/>
    <s v="-"/>
  </r>
  <r>
    <x v="11"/>
    <x v="5"/>
    <s v="З"/>
    <n v="2"/>
    <n v="3"/>
    <x v="59"/>
    <m/>
    <m/>
    <s v="~"/>
    <n v="98"/>
    <n v="-1"/>
    <n v="0"/>
    <n v="43.149999999999991"/>
    <n v="950.7"/>
    <n v="52"/>
    <s v="-"/>
  </r>
  <r>
    <x v="11"/>
    <x v="6"/>
    <s v="З"/>
    <n v="4"/>
    <n v="5"/>
    <x v="69"/>
    <m/>
    <m/>
    <s v="~"/>
    <n v="95"/>
    <n v="-3"/>
    <n v="0"/>
    <n v="43.149999999999991"/>
    <n v="951.5"/>
    <n v="57"/>
    <s v="-"/>
  </r>
  <r>
    <x v="11"/>
    <x v="7"/>
    <s v="З"/>
    <n v="1"/>
    <n v="2"/>
    <x v="35"/>
    <m/>
    <m/>
    <s v="~"/>
    <n v="95"/>
    <n v="0"/>
    <n v="0"/>
    <n v="43.149999999999991"/>
    <n v="952.3"/>
    <n v="65"/>
    <s v="-"/>
  </r>
  <r>
    <x v="12"/>
    <x v="0"/>
    <s v="ЗЮЗ"/>
    <n v="2"/>
    <n v="3"/>
    <x v="70"/>
    <m/>
    <m/>
    <s v="~"/>
    <n v="94"/>
    <n v="-1"/>
    <n v="0"/>
    <n v="43.149999999999991"/>
    <n v="952"/>
    <n v="67"/>
    <s v="-"/>
  </r>
  <r>
    <x v="12"/>
    <x v="1"/>
    <s v="ЗЮЗ"/>
    <n v="2"/>
    <n v="4"/>
    <x v="38"/>
    <m/>
    <m/>
    <s v="~"/>
    <n v="96"/>
    <n v="2"/>
    <n v="0"/>
    <n v="43.149999999999991"/>
    <n v="951.3"/>
    <n v="70"/>
    <s v="-"/>
  </r>
  <r>
    <x v="12"/>
    <x v="2"/>
    <s v="З"/>
    <n v="1"/>
    <n v="2"/>
    <x v="71"/>
    <m/>
    <m/>
    <s v="~"/>
    <n v="97"/>
    <n v="1"/>
    <n v="0"/>
    <n v="43.149999999999991"/>
    <n v="951.6"/>
    <n v="70"/>
    <s v="-"/>
  </r>
  <r>
    <x v="12"/>
    <x v="3"/>
    <s v="З"/>
    <n v="1"/>
    <n v="1"/>
    <x v="54"/>
    <m/>
    <m/>
    <s v="~"/>
    <n v="100"/>
    <n v="3"/>
    <n v="0"/>
    <n v="43.149999999999991"/>
    <n v="952.7"/>
    <n v="64"/>
    <s v="-"/>
  </r>
  <r>
    <x v="12"/>
    <x v="4"/>
    <s v="С"/>
    <n v="1"/>
    <n v="2"/>
    <x v="44"/>
    <m/>
    <m/>
    <s v="~"/>
    <n v="102"/>
    <n v="2"/>
    <n v="0"/>
    <n v="43.149999999999991"/>
    <n v="953"/>
    <n v="60"/>
    <s v="-"/>
  </r>
  <r>
    <x v="12"/>
    <x v="5"/>
    <s v="З"/>
    <n v="1"/>
    <n v="2"/>
    <x v="72"/>
    <m/>
    <m/>
    <s v="~"/>
    <n v="102"/>
    <n v="0"/>
    <n v="0"/>
    <n v="43.149999999999991"/>
    <n v="952.4"/>
    <n v="70"/>
    <s v="-"/>
  </r>
  <r>
    <x v="12"/>
    <x v="6"/>
    <s v="З"/>
    <n v="1"/>
    <n v="2"/>
    <x v="73"/>
    <m/>
    <m/>
    <s v="~"/>
    <n v="103"/>
    <n v="1"/>
    <n v="0"/>
    <n v="43.149999999999991"/>
    <n v="952.3"/>
    <n v="76"/>
    <s v="-"/>
  </r>
  <r>
    <x v="12"/>
    <x v="7"/>
    <s v="З"/>
    <n v="2"/>
    <n v="3"/>
    <x v="72"/>
    <m/>
    <m/>
    <s v="~"/>
    <n v="102"/>
    <n v="-1"/>
    <n v="0"/>
    <n v="43.149999999999991"/>
    <n v="953.7"/>
    <n v="74"/>
    <s v="-"/>
  </r>
  <r>
    <x v="13"/>
    <x v="0"/>
    <s v="З"/>
    <n v="3"/>
    <n v="5"/>
    <x v="74"/>
    <m/>
    <m/>
    <s v="~"/>
    <n v="101"/>
    <n v="-1"/>
    <n v="0"/>
    <n v="43.149999999999991"/>
    <n v="953.9"/>
    <n v="77"/>
    <s v="-"/>
  </r>
  <r>
    <x v="13"/>
    <x v="1"/>
    <s v="З"/>
    <n v="3"/>
    <n v="4"/>
    <x v="75"/>
    <m/>
    <m/>
    <s v="~"/>
    <n v="103"/>
    <n v="2"/>
    <n v="0"/>
    <n v="43.149999999999991"/>
    <n v="954.4"/>
    <n v="72"/>
    <s v="-"/>
  </r>
  <r>
    <x v="13"/>
    <x v="2"/>
    <s v="З"/>
    <n v="3"/>
    <n v="3"/>
    <x v="76"/>
    <m/>
    <m/>
    <s v="~"/>
    <n v="102"/>
    <n v="-1"/>
    <n v="0"/>
    <n v="43.149999999999991"/>
    <n v="954.6"/>
    <n v="69"/>
    <s v="-"/>
  </r>
  <r>
    <x v="13"/>
    <x v="3"/>
    <s v="З"/>
    <n v="3"/>
    <n v="4"/>
    <x v="76"/>
    <m/>
    <m/>
    <s v="~"/>
    <n v="102"/>
    <n v="0"/>
    <n v="0"/>
    <n v="43.149999999999991"/>
    <n v="955.3"/>
    <n v="69"/>
    <s v="-"/>
  </r>
  <r>
    <x v="13"/>
    <x v="4"/>
    <s v="З"/>
    <n v="1"/>
    <n v="2"/>
    <x v="77"/>
    <m/>
    <m/>
    <s v="~"/>
    <n v="102"/>
    <n v="0"/>
    <n v="0"/>
    <n v="43.149999999999991"/>
    <n v="955.8"/>
    <n v="68"/>
    <s v="-"/>
  </r>
  <r>
    <x v="13"/>
    <x v="5"/>
    <s v="З"/>
    <n v="0"/>
    <n v="1"/>
    <x v="78"/>
    <m/>
    <m/>
    <s v="~"/>
    <n v="104"/>
    <n v="2"/>
    <n v="0"/>
    <n v="43.149999999999991"/>
    <n v="955.4"/>
    <n v="57"/>
    <s v="-"/>
  </r>
  <r>
    <x v="13"/>
    <x v="6"/>
    <s v="З"/>
    <n v="2"/>
    <n v="3"/>
    <x v="79"/>
    <m/>
    <m/>
    <s v="~"/>
    <n v="100"/>
    <n v="-4"/>
    <n v="0"/>
    <n v="43.149999999999991"/>
    <n v="956.1"/>
    <n v="78"/>
    <s v="-"/>
  </r>
  <r>
    <x v="13"/>
    <x v="7"/>
    <s v="З"/>
    <n v="3"/>
    <n v="4"/>
    <x v="57"/>
    <m/>
    <m/>
    <s v="~"/>
    <n v="100"/>
    <n v="0"/>
    <n v="0"/>
    <n v="43.149999999999991"/>
    <n v="957.1"/>
    <n v="79"/>
    <s v="-"/>
  </r>
  <r>
    <x v="14"/>
    <x v="0"/>
    <s v="З"/>
    <n v="2"/>
    <n v="3"/>
    <x v="80"/>
    <m/>
    <m/>
    <s v="~"/>
    <n v="100"/>
    <n v="0"/>
    <n v="0"/>
    <n v="43.149999999999991"/>
    <n v="956.9"/>
    <n v="78"/>
    <s v="-"/>
  </r>
  <r>
    <x v="14"/>
    <x v="1"/>
    <s v="ЗЮЗ"/>
    <n v="2"/>
    <n v="3"/>
    <x v="58"/>
    <m/>
    <m/>
    <s v="~"/>
    <n v="99"/>
    <n v="-1"/>
    <n v="0"/>
    <n v="43.149999999999991"/>
    <n v="955.9"/>
    <n v="82"/>
    <s v="-"/>
  </r>
  <r>
    <x v="14"/>
    <x v="2"/>
    <s v="ЗЮЗ"/>
    <n v="1"/>
    <n v="3"/>
    <x v="81"/>
    <m/>
    <m/>
    <s v="~"/>
    <n v="98"/>
    <n v="-1"/>
    <n v="0"/>
    <n v="43.149999999999991"/>
    <n v="955.2"/>
    <n v="78"/>
    <s v="-"/>
  </r>
  <r>
    <x v="14"/>
    <x v="3"/>
    <s v="ЗЮЗ"/>
    <n v="3"/>
    <n v="4"/>
    <x v="44"/>
    <m/>
    <m/>
    <s v="~"/>
    <n v="99"/>
    <n v="1"/>
    <n v="0"/>
    <n v="43.149999999999991"/>
    <n v="955.5"/>
    <n v="74"/>
    <s v="-"/>
  </r>
  <r>
    <x v="14"/>
    <x v="4"/>
    <s v="З"/>
    <n v="1"/>
    <n v="2"/>
    <x v="82"/>
    <m/>
    <m/>
    <s v="~"/>
    <n v="100"/>
    <n v="1"/>
    <n v="0"/>
    <n v="43.149999999999991"/>
    <n v="954.6"/>
    <n v="72"/>
    <s v="-"/>
  </r>
  <r>
    <x v="14"/>
    <x v="5"/>
    <s v="З"/>
    <n v="2"/>
    <n v="3"/>
    <x v="73"/>
    <m/>
    <m/>
    <s v="~"/>
    <n v="100"/>
    <n v="0"/>
    <n v="0"/>
    <n v="43.149999999999991"/>
    <n v="953.2"/>
    <n v="81"/>
    <s v="-"/>
  </r>
  <r>
    <x v="14"/>
    <x v="6"/>
    <s v="З"/>
    <n v="2"/>
    <n v="3"/>
    <x v="83"/>
    <m/>
    <m/>
    <s v="~"/>
    <n v="99"/>
    <n v="-1"/>
    <n v="0"/>
    <n v="43.149999999999991"/>
    <n v="952.6"/>
    <n v="75"/>
    <s v="-"/>
  </r>
  <r>
    <x v="14"/>
    <x v="7"/>
    <s v="З"/>
    <n v="2"/>
    <n v="5"/>
    <x v="84"/>
    <m/>
    <m/>
    <s v="~"/>
    <n v="99"/>
    <n v="0"/>
    <n v="0"/>
    <n v="43.149999999999991"/>
    <n v="952.1"/>
    <n v="69"/>
    <s v="-"/>
  </r>
  <r>
    <x v="15"/>
    <x v="0"/>
    <s v="З"/>
    <n v="2"/>
    <n v="4"/>
    <x v="85"/>
    <m/>
    <m/>
    <s v="~"/>
    <n v="99"/>
    <n v="0"/>
    <n v="0"/>
    <n v="43.149999999999991"/>
    <n v="951.3"/>
    <n v="61"/>
    <s v="-"/>
  </r>
  <r>
    <x v="15"/>
    <x v="1"/>
    <s v="З"/>
    <n v="0"/>
    <n v="1"/>
    <x v="86"/>
    <m/>
    <m/>
    <s v="~"/>
    <n v="99"/>
    <n v="0"/>
    <n v="0"/>
    <n v="43.149999999999991"/>
    <n v="950.5"/>
    <n v="57"/>
    <s v="-"/>
  </r>
  <r>
    <x v="15"/>
    <x v="2"/>
    <s v="З"/>
    <n v="1"/>
    <n v="2"/>
    <x v="87"/>
    <m/>
    <m/>
    <s v="~"/>
    <n v="98"/>
    <n v="-1"/>
    <n v="0"/>
    <n v="43.149999999999991"/>
    <n v="950.1"/>
    <n v="67"/>
    <s v="-"/>
  </r>
  <r>
    <x v="15"/>
    <x v="3"/>
    <s v="З"/>
    <n v="1"/>
    <n v="2"/>
    <x v="88"/>
    <m/>
    <m/>
    <s v="~"/>
    <n v="98"/>
    <n v="0"/>
    <n v="0"/>
    <n v="43.149999999999991"/>
    <n v="950.4"/>
    <n v="70"/>
    <s v="-"/>
  </r>
  <r>
    <x v="15"/>
    <x v="4"/>
    <s v="ЗЮЗ"/>
    <n v="1"/>
    <n v="2"/>
    <x v="37"/>
    <m/>
    <m/>
    <s v="~"/>
    <n v="99"/>
    <n v="1"/>
    <n v="0"/>
    <n v="43.149999999999991"/>
    <n v="950"/>
    <n v="59"/>
    <s v="-"/>
  </r>
  <r>
    <x v="15"/>
    <x v="5"/>
    <s v="ЗЮЗ"/>
    <n v="1"/>
    <n v="2"/>
    <x v="89"/>
    <m/>
    <m/>
    <s v="~"/>
    <n v="100"/>
    <n v="1"/>
    <n v="0"/>
    <n v="43.149999999999991"/>
    <n v="948.4"/>
    <n v="61"/>
    <s v="-"/>
  </r>
  <r>
    <x v="15"/>
    <x v="6"/>
    <s v="ЗЮЗ"/>
    <n v="2"/>
    <n v="3"/>
    <x v="55"/>
    <m/>
    <m/>
    <s v="~"/>
    <n v="98"/>
    <n v="-2"/>
    <n v="0"/>
    <n v="43.149999999999991"/>
    <n v="948"/>
    <n v="77"/>
    <s v="-"/>
  </r>
  <r>
    <x v="15"/>
    <x v="7"/>
    <s v="ЮЗ"/>
    <n v="3"/>
    <n v="3"/>
    <x v="90"/>
    <m/>
    <m/>
    <s v="~"/>
    <n v="97"/>
    <n v="-1"/>
    <n v="0"/>
    <n v="43.149999999999991"/>
    <n v="947.4"/>
    <n v="79"/>
    <s v="-"/>
  </r>
  <r>
    <x v="16"/>
    <x v="0"/>
    <s v="ЮЗ"/>
    <n v="3"/>
    <n v="3"/>
    <x v="39"/>
    <m/>
    <m/>
    <s v="~"/>
    <n v="97"/>
    <n v="0"/>
    <n v="0"/>
    <n v="43.149999999999991"/>
    <n v="945.8"/>
    <n v="83"/>
    <s v="-"/>
  </r>
  <r>
    <x v="16"/>
    <x v="1"/>
    <s v="ЮЗ"/>
    <n v="2"/>
    <n v="3"/>
    <x v="91"/>
    <m/>
    <m/>
    <s v="~"/>
    <n v="97"/>
    <n v="0"/>
    <n v="0"/>
    <n v="43.149999999999991"/>
    <n v="944"/>
    <n v="79"/>
    <s v="-"/>
  </r>
  <r>
    <x v="16"/>
    <x v="2"/>
    <s v="ЮЗ"/>
    <n v="1"/>
    <n v="3"/>
    <x v="60"/>
    <m/>
    <m/>
    <s v="~"/>
    <n v="96"/>
    <n v="-1"/>
    <n v="0"/>
    <n v="43.149999999999991"/>
    <n v="942.2"/>
    <n v="91"/>
    <s v="-"/>
  </r>
  <r>
    <x v="16"/>
    <x v="3"/>
    <s v="ЮЗ"/>
    <n v="1"/>
    <n v="2"/>
    <x v="69"/>
    <m/>
    <m/>
    <s v="~"/>
    <n v="97"/>
    <n v="1"/>
    <n v="0"/>
    <n v="43.149999999999991"/>
    <n v="940.5"/>
    <n v="84"/>
    <s v="-"/>
  </r>
  <r>
    <x v="16"/>
    <x v="4"/>
    <s v="З"/>
    <n v="1"/>
    <n v="1"/>
    <x v="92"/>
    <m/>
    <m/>
    <s v="~"/>
    <n v="99"/>
    <n v="2"/>
    <n v="0"/>
    <n v="43.149999999999991"/>
    <n v="938.5"/>
    <n v="70"/>
    <s v="-"/>
  </r>
  <r>
    <x v="16"/>
    <x v="5"/>
    <s v="З"/>
    <n v="0"/>
    <n v="1"/>
    <x v="86"/>
    <m/>
    <m/>
    <s v="~"/>
    <n v="100"/>
    <n v="1"/>
    <n v="0"/>
    <n v="43.149999999999991"/>
    <n v="936.2"/>
    <n v="66"/>
    <s v="-"/>
  </r>
  <r>
    <x v="16"/>
    <x v="6"/>
    <s v="З"/>
    <n v="1"/>
    <n v="2"/>
    <x v="88"/>
    <m/>
    <m/>
    <s v="~"/>
    <n v="99"/>
    <n v="-1"/>
    <n v="0"/>
    <n v="43.149999999999991"/>
    <n v="935.3"/>
    <n v="84"/>
    <s v="-"/>
  </r>
  <r>
    <x v="16"/>
    <x v="7"/>
    <s v="З"/>
    <n v="1"/>
    <n v="2"/>
    <x v="51"/>
    <m/>
    <m/>
    <s v="~"/>
    <n v="98"/>
    <n v="-1"/>
    <n v="0"/>
    <n v="43.149999999999991"/>
    <n v="934"/>
    <n v="85"/>
    <s v="-"/>
  </r>
  <r>
    <x v="17"/>
    <x v="0"/>
    <s v="З"/>
    <n v="1"/>
    <n v="2"/>
    <x v="93"/>
    <m/>
    <m/>
    <s v="~"/>
    <n v="99"/>
    <n v="1"/>
    <n v="0"/>
    <n v="43.149999999999991"/>
    <n v="932"/>
    <n v="88"/>
    <s v="-"/>
  </r>
  <r>
    <x v="17"/>
    <x v="1"/>
    <s v="ЗЮЗ"/>
    <n v="1"/>
    <n v="2"/>
    <x v="56"/>
    <m/>
    <m/>
    <s v="~"/>
    <n v="99"/>
    <n v="0"/>
    <n v="0"/>
    <n v="43.149999999999991"/>
    <n v="929.5"/>
    <n v="79"/>
    <s v="-"/>
  </r>
  <r>
    <x v="17"/>
    <x v="2"/>
    <s v="ЗЮЗ"/>
    <n v="1"/>
    <n v="3"/>
    <x v="86"/>
    <m/>
    <m/>
    <s v="~"/>
    <n v="100"/>
    <n v="1"/>
    <n v="0"/>
    <n v="43.149999999999991"/>
    <n v="926.6"/>
    <n v="74"/>
    <s v="-"/>
  </r>
  <r>
    <x v="17"/>
    <x v="3"/>
    <s v="ЮЗ"/>
    <n v="2"/>
    <n v="3"/>
    <x v="44"/>
    <m/>
    <m/>
    <s v="т"/>
    <n v="100"/>
    <n v="0"/>
    <n v="0"/>
    <n v="43.149999999999991"/>
    <n v="924.6"/>
    <n v="91"/>
    <s v="-"/>
  </r>
  <r>
    <x v="17"/>
    <x v="4"/>
    <s v="ЮЗ"/>
    <n v="2"/>
    <n v="3"/>
    <x v="94"/>
    <m/>
    <m/>
    <s v="т, то"/>
    <n v="101"/>
    <n v="1"/>
    <n v="0"/>
    <n v="43.149999999999991"/>
    <n v="920.5"/>
    <n v="92"/>
    <s v="-"/>
  </r>
  <r>
    <x v="17"/>
    <x v="5"/>
    <s v="ЮЗ"/>
    <n v="1"/>
    <n v="2"/>
    <x v="95"/>
    <m/>
    <m/>
    <s v="~"/>
    <n v="100"/>
    <n v="-1"/>
    <n v="0"/>
    <n v="43.149999999999991"/>
    <n v="916.1"/>
    <n v="95"/>
    <s v="-"/>
  </r>
  <r>
    <x v="17"/>
    <x v="6"/>
    <s v="ЗЮЗ"/>
    <n v="12"/>
    <n v="18"/>
    <x v="37"/>
    <m/>
    <m/>
    <s v="т, то, м"/>
    <n v="101"/>
    <n v="1"/>
    <n v="0"/>
    <n v="43.149999999999991"/>
    <n v="914.5"/>
    <n v="88"/>
    <s v="-"/>
  </r>
  <r>
    <x v="17"/>
    <x v="7"/>
    <s v="З"/>
    <n v="13"/>
    <n v="20"/>
    <x v="96"/>
    <m/>
    <m/>
    <s v="м"/>
    <n v="99"/>
    <n v="-2"/>
    <n v="0"/>
    <n v="43.149999999999991"/>
    <n v="916"/>
    <n v="68"/>
    <s v="-"/>
  </r>
  <r>
    <x v="18"/>
    <x v="0"/>
    <s v="З"/>
    <n v="12"/>
    <n v="19"/>
    <x v="56"/>
    <m/>
    <m/>
    <s v="м"/>
    <n v="99"/>
    <n v="0"/>
    <n v="0"/>
    <n v="43.149999999999991"/>
    <n v="916.9"/>
    <n v="75"/>
    <s v="-"/>
  </r>
  <r>
    <x v="18"/>
    <x v="1"/>
    <s v="З"/>
    <n v="10"/>
    <n v="15"/>
    <x v="97"/>
    <m/>
    <m/>
    <s v="м"/>
    <n v="98"/>
    <n v="-1"/>
    <n v="0"/>
    <n v="43.149999999999991"/>
    <n v="917.2"/>
    <n v="61"/>
    <s v="-"/>
  </r>
  <r>
    <x v="18"/>
    <x v="2"/>
    <s v="З"/>
    <n v="9"/>
    <n v="14"/>
    <x v="65"/>
    <m/>
    <m/>
    <s v="~"/>
    <n v="98"/>
    <n v="0"/>
    <n v="0"/>
    <n v="43.149999999999991"/>
    <n v="917.7"/>
    <n v="59"/>
    <s v="-"/>
  </r>
  <r>
    <x v="18"/>
    <x v="3"/>
    <s v="З"/>
    <n v="10"/>
    <n v="15"/>
    <x v="91"/>
    <m/>
    <m/>
    <s v="~"/>
    <n v="97"/>
    <n v="-1"/>
    <n v="0"/>
    <n v="43.149999999999991"/>
    <n v="917.3"/>
    <n v="57"/>
    <s v="-"/>
  </r>
  <r>
    <x v="18"/>
    <x v="4"/>
    <s v="З"/>
    <n v="9"/>
    <n v="12"/>
    <x v="62"/>
    <m/>
    <m/>
    <s v="~"/>
    <n v="98"/>
    <n v="1"/>
    <n v="0"/>
    <n v="43.149999999999991"/>
    <n v="917.4"/>
    <n v="57"/>
    <s v="-"/>
  </r>
  <r>
    <x v="18"/>
    <x v="5"/>
    <s v="З"/>
    <n v="6"/>
    <n v="9"/>
    <x v="98"/>
    <m/>
    <m/>
    <s v="~"/>
    <n v="99"/>
    <n v="1"/>
    <n v="0"/>
    <n v="43.149999999999991"/>
    <n v="915.5"/>
    <n v="48"/>
    <s v="-"/>
  </r>
  <r>
    <x v="18"/>
    <x v="6"/>
    <s v="З"/>
    <n v="2"/>
    <n v="3"/>
    <x v="51"/>
    <m/>
    <m/>
    <s v="~"/>
    <n v="99"/>
    <n v="0"/>
    <n v="0"/>
    <n v="43.149999999999991"/>
    <n v="913.8"/>
    <n v="46"/>
    <s v="-"/>
  </r>
  <r>
    <x v="18"/>
    <x v="7"/>
    <s v="З"/>
    <n v="4"/>
    <n v="4"/>
    <x v="67"/>
    <m/>
    <m/>
    <s v="~"/>
    <n v="98"/>
    <n v="-1"/>
    <n v="0"/>
    <n v="43.149999999999991"/>
    <n v="912.2"/>
    <n v="52"/>
    <s v="-"/>
  </r>
  <r>
    <x v="19"/>
    <x v="0"/>
    <s v="ЗСЗ"/>
    <n v="2"/>
    <n v="3"/>
    <x v="99"/>
    <m/>
    <m/>
    <s v="~"/>
    <n v="98"/>
    <n v="0"/>
    <n v="0"/>
    <n v="43.149999999999991"/>
    <n v="909.7"/>
    <n v="46"/>
    <s v="-"/>
  </r>
  <r>
    <x v="19"/>
    <x v="1"/>
    <s v="СЗ"/>
    <n v="3"/>
    <n v="4"/>
    <x v="100"/>
    <m/>
    <m/>
    <s v="~"/>
    <n v="97"/>
    <n v="-1"/>
    <n v="0"/>
    <n v="43.149999999999991"/>
    <n v="908"/>
    <n v="50"/>
    <s v="-"/>
  </r>
  <r>
    <x v="19"/>
    <x v="2"/>
    <s v="ЗСЗ"/>
    <n v="1"/>
    <n v="2"/>
    <x v="100"/>
    <m/>
    <m/>
    <s v="~"/>
    <n v="97"/>
    <n v="0"/>
    <n v="0"/>
    <n v="43.149999999999991"/>
    <n v="906.9"/>
    <n v="51"/>
    <s v="-"/>
  </r>
  <r>
    <x v="19"/>
    <x v="3"/>
    <s v="З"/>
    <n v="2"/>
    <n v="5"/>
    <x v="101"/>
    <m/>
    <m/>
    <s v="~"/>
    <n v="98"/>
    <n v="1"/>
    <n v="0"/>
    <n v="43.149999999999991"/>
    <n v="907.1"/>
    <n v="54"/>
    <s v="-"/>
  </r>
  <r>
    <x v="19"/>
    <x v="4"/>
    <s v="З"/>
    <n v="6"/>
    <n v="8"/>
    <x v="59"/>
    <m/>
    <m/>
    <s v="~"/>
    <n v="99"/>
    <n v="1"/>
    <n v="0"/>
    <n v="43.149999999999991"/>
    <n v="907.3"/>
    <n v="61"/>
    <s v="-"/>
  </r>
  <r>
    <x v="19"/>
    <x v="5"/>
    <s v="З"/>
    <n v="7"/>
    <n v="9"/>
    <x v="90"/>
    <m/>
    <m/>
    <s v="~"/>
    <n v="99"/>
    <n v="0"/>
    <n v="0"/>
    <n v="43.149999999999991"/>
    <n v="906.5"/>
    <n v="58"/>
    <s v="-"/>
  </r>
  <r>
    <x v="19"/>
    <x v="6"/>
    <s v="З"/>
    <n v="3"/>
    <n v="4"/>
    <x v="102"/>
    <m/>
    <m/>
    <s v="~"/>
    <n v="98"/>
    <n v="-1"/>
    <n v="0"/>
    <n v="43.149999999999991"/>
    <n v="906"/>
    <n v="56"/>
    <s v="-"/>
  </r>
  <r>
    <x v="19"/>
    <x v="7"/>
    <s v="З"/>
    <n v="3"/>
    <n v="4"/>
    <x v="47"/>
    <m/>
    <m/>
    <s v="~"/>
    <n v="97"/>
    <n v="-1"/>
    <n v="0"/>
    <n v="43.149999999999991"/>
    <n v="906.3"/>
    <n v="65"/>
    <s v="-"/>
  </r>
  <r>
    <x v="20"/>
    <x v="0"/>
    <s v="З"/>
    <n v="3"/>
    <n v="4"/>
    <x v="71"/>
    <m/>
    <m/>
    <s v="~"/>
    <n v="97"/>
    <n v="0"/>
    <n v="0"/>
    <n v="43.149999999999991"/>
    <n v="906.2"/>
    <n v="60"/>
    <s v="-"/>
  </r>
  <r>
    <x v="20"/>
    <x v="1"/>
    <s v="ЗСЗ"/>
    <n v="5"/>
    <n v="7"/>
    <x v="103"/>
    <m/>
    <m/>
    <s v="~"/>
    <n v="98"/>
    <n v="1"/>
    <n v="0"/>
    <n v="43.149999999999991"/>
    <n v="908"/>
    <n v="55"/>
    <s v="-"/>
  </r>
  <r>
    <x v="20"/>
    <x v="2"/>
    <s v="ЗСЗ"/>
    <n v="8"/>
    <n v="14"/>
    <x v="104"/>
    <m/>
    <m/>
    <s v="~"/>
    <n v="98"/>
    <n v="0"/>
    <n v="0"/>
    <n v="43.149999999999991"/>
    <n v="911"/>
    <n v="72"/>
    <s v="-"/>
  </r>
  <r>
    <x v="20"/>
    <x v="3"/>
    <s v="ЗСЗ"/>
    <n v="13"/>
    <n v="19"/>
    <x v="103"/>
    <m/>
    <m/>
    <s v="то, м"/>
    <n v="97"/>
    <n v="-1"/>
    <n v="0"/>
    <n v="43.149999999999991"/>
    <n v="914.6"/>
    <n v="73"/>
    <s v="-"/>
  </r>
  <r>
    <x v="20"/>
    <x v="4"/>
    <s v="ЗСЗ"/>
    <n v="11"/>
    <n v="17"/>
    <x v="59"/>
    <m/>
    <m/>
    <s v="м"/>
    <n v="96"/>
    <n v="-1"/>
    <n v="0"/>
    <n v="43.149999999999991"/>
    <n v="918.4"/>
    <n v="67"/>
    <s v="-"/>
  </r>
  <r>
    <x v="20"/>
    <x v="5"/>
    <s v="ЗСЗ"/>
    <n v="13"/>
    <n v="20"/>
    <x v="81"/>
    <m/>
    <m/>
    <s v="~"/>
    <n v="96"/>
    <n v="0"/>
    <n v="0"/>
    <n v="43.149999999999991"/>
    <n v="921.3"/>
    <n v="60"/>
    <s v="-"/>
  </r>
  <r>
    <x v="20"/>
    <x v="6"/>
    <s v="З"/>
    <n v="8"/>
    <n v="16"/>
    <x v="105"/>
    <m/>
    <m/>
    <s v="~"/>
    <n v="96"/>
    <n v="0"/>
    <n v="0"/>
    <n v="43.149999999999991"/>
    <n v="924.7"/>
    <n v="54"/>
    <s v="-"/>
  </r>
  <r>
    <x v="20"/>
    <x v="7"/>
    <s v="З"/>
    <n v="9"/>
    <n v="18"/>
    <x v="106"/>
    <m/>
    <m/>
    <s v="~"/>
    <n v="95"/>
    <n v="-1"/>
    <n v="0"/>
    <n v="43.149999999999991"/>
    <n v="928.6"/>
    <n v="50"/>
    <s v="-"/>
  </r>
  <r>
    <x v="21"/>
    <x v="0"/>
    <s v="З"/>
    <n v="8"/>
    <n v="11"/>
    <x v="52"/>
    <m/>
    <m/>
    <s v="~"/>
    <n v="95"/>
    <n v="0"/>
    <n v="0"/>
    <n v="43.149999999999991"/>
    <n v="930"/>
    <n v="47"/>
    <s v="-"/>
  </r>
  <r>
    <x v="21"/>
    <x v="1"/>
    <s v="З"/>
    <n v="7"/>
    <n v="14"/>
    <x v="88"/>
    <m/>
    <m/>
    <s v="~"/>
    <n v="96"/>
    <n v="1"/>
    <n v="0"/>
    <n v="43.149999999999991"/>
    <n v="930.2"/>
    <n v="54"/>
    <s v="-"/>
  </r>
  <r>
    <x v="21"/>
    <x v="2"/>
    <s v="З"/>
    <n v="11"/>
    <n v="20"/>
    <x v="87"/>
    <m/>
    <m/>
    <s v="~"/>
    <n v="94"/>
    <n v="-2"/>
    <n v="0"/>
    <n v="43.149999999999991"/>
    <n v="930.1"/>
    <n v="63"/>
    <s v="-"/>
  </r>
  <r>
    <x v="21"/>
    <x v="3"/>
    <s v="З"/>
    <n v="11"/>
    <n v="18"/>
    <x v="37"/>
    <m/>
    <m/>
    <s v="~"/>
    <n v="95"/>
    <n v="1"/>
    <n v="0"/>
    <n v="43.149999999999991"/>
    <n v="929"/>
    <n v="63"/>
    <s v="-"/>
  </r>
  <r>
    <x v="21"/>
    <x v="4"/>
    <s v="З"/>
    <n v="9"/>
    <n v="14"/>
    <x v="107"/>
    <m/>
    <m/>
    <s v="~"/>
    <n v="95"/>
    <n v="0"/>
    <n v="0"/>
    <n v="43.149999999999991"/>
    <n v="928.2"/>
    <n v="55"/>
    <s v="-"/>
  </r>
  <r>
    <x v="21"/>
    <x v="5"/>
    <s v="З"/>
    <n v="7"/>
    <n v="12"/>
    <x v="108"/>
    <m/>
    <m/>
    <s v="~"/>
    <n v="97"/>
    <n v="2"/>
    <n v="0"/>
    <n v="43.149999999999991"/>
    <n v="926.2"/>
    <n v="50"/>
    <s v="-"/>
  </r>
  <r>
    <x v="21"/>
    <x v="6"/>
    <s v="З"/>
    <n v="8"/>
    <n v="15"/>
    <x v="109"/>
    <m/>
    <m/>
    <s v="~"/>
    <n v="97"/>
    <n v="0"/>
    <n v="0"/>
    <n v="43.149999999999991"/>
    <n v="925.7"/>
    <n v="52"/>
    <s v="-"/>
  </r>
  <r>
    <x v="21"/>
    <x v="7"/>
    <s v="З"/>
    <n v="8"/>
    <n v="13"/>
    <x v="110"/>
    <m/>
    <m/>
    <s v="~"/>
    <n v="97"/>
    <n v="0"/>
    <n v="0"/>
    <n v="43.149999999999991"/>
    <n v="926.6"/>
    <n v="59"/>
    <s v="-"/>
  </r>
  <r>
    <x v="22"/>
    <x v="0"/>
    <s v="З"/>
    <n v="8"/>
    <n v="15"/>
    <x v="111"/>
    <m/>
    <m/>
    <s v="~"/>
    <n v="96"/>
    <n v="-1"/>
    <n v="0"/>
    <n v="43.149999999999991"/>
    <n v="927"/>
    <n v="65"/>
    <s v="-"/>
  </r>
  <r>
    <x v="22"/>
    <x v="1"/>
    <s v="З"/>
    <n v="9"/>
    <n v="14"/>
    <x v="77"/>
    <m/>
    <m/>
    <s v="~"/>
    <n v="96"/>
    <n v="0"/>
    <n v="0"/>
    <n v="43.149999999999991"/>
    <n v="926.9"/>
    <n v="71"/>
    <s v="-"/>
  </r>
  <r>
    <x v="22"/>
    <x v="2"/>
    <s v="З"/>
    <n v="8"/>
    <n v="12"/>
    <x v="112"/>
    <m/>
    <m/>
    <s v="~"/>
    <n v="96"/>
    <n v="0"/>
    <n v="0"/>
    <n v="43.149999999999991"/>
    <n v="926.9"/>
    <n v="74"/>
    <s v="-"/>
  </r>
  <r>
    <x v="22"/>
    <x v="3"/>
    <s v="ЗЮЗ"/>
    <n v="8"/>
    <n v="13"/>
    <x v="89"/>
    <m/>
    <m/>
    <s v="~"/>
    <n v="95"/>
    <n v="-1"/>
    <n v="0"/>
    <n v="43.149999999999991"/>
    <n v="927.2"/>
    <n v="78"/>
    <s v="-"/>
  </r>
  <r>
    <x v="22"/>
    <x v="4"/>
    <s v="ЮЗ"/>
    <n v="4"/>
    <n v="12"/>
    <x v="113"/>
    <m/>
    <m/>
    <s v="то"/>
    <n v="94"/>
    <n v="-1"/>
    <n v="0"/>
    <n v="43.149999999999991"/>
    <n v="927.9"/>
    <n v="77"/>
    <s v="-"/>
  </r>
  <r>
    <x v="22"/>
    <x v="5"/>
    <s v="ЮВ"/>
    <n v="4"/>
    <n v="6"/>
    <x v="49"/>
    <m/>
    <m/>
    <s v="то"/>
    <n v="93"/>
    <n v="-1"/>
    <n v="0"/>
    <n v="43.149999999999991"/>
    <n v="927.4"/>
    <n v="91"/>
    <s v="-"/>
  </r>
  <r>
    <x v="22"/>
    <x v="6"/>
    <s v="В"/>
    <n v="3"/>
    <n v="4"/>
    <x v="62"/>
    <m/>
    <m/>
    <s v="то"/>
    <n v="91"/>
    <n v="-2"/>
    <n v="0"/>
    <n v="43.149999999999991"/>
    <n v="928.1"/>
    <n v="91"/>
    <s v="-"/>
  </r>
  <r>
    <x v="22"/>
    <x v="7"/>
    <s v="В"/>
    <n v="2"/>
    <n v="3"/>
    <x v="63"/>
    <m/>
    <m/>
    <s v="то"/>
    <n v="97"/>
    <n v="6"/>
    <n v="0"/>
    <n v="43.149999999999991"/>
    <n v="928.4"/>
    <n v="91"/>
    <s v="-"/>
  </r>
  <r>
    <x v="23"/>
    <x v="0"/>
    <s v="В"/>
    <n v="0"/>
    <n v="1"/>
    <x v="114"/>
    <m/>
    <m/>
    <s v="то"/>
    <n v="101"/>
    <n v="4"/>
    <n v="0"/>
    <n v="43.149999999999991"/>
    <n v="927.4"/>
    <n v="90"/>
    <s v="-"/>
  </r>
  <r>
    <x v="23"/>
    <x v="1"/>
    <s v="В"/>
    <n v="0"/>
    <n v="1"/>
    <x v="101"/>
    <m/>
    <m/>
    <s v="то"/>
    <n v="103"/>
    <n v="2"/>
    <n v="0"/>
    <n v="43.149999999999991"/>
    <n v="926.9"/>
    <n v="90"/>
    <s v="-"/>
  </r>
  <r>
    <x v="23"/>
    <x v="2"/>
    <s v="В"/>
    <n v="0"/>
    <n v="2"/>
    <x v="66"/>
    <m/>
    <m/>
    <s v="то"/>
    <n v="100"/>
    <n v="-3"/>
    <n v="0"/>
    <n v="43.149999999999991"/>
    <n v="926"/>
    <n v="89"/>
    <s v="-"/>
  </r>
  <r>
    <x v="23"/>
    <x v="3"/>
    <s v="~"/>
    <n v="0"/>
    <n v="0"/>
    <x v="115"/>
    <m/>
    <m/>
    <s v="то"/>
    <n v="103"/>
    <n v="3"/>
    <n v="0"/>
    <n v="43.149999999999991"/>
    <n v="925.2"/>
    <n v="90"/>
    <s v="-"/>
  </r>
  <r>
    <x v="23"/>
    <x v="4"/>
    <s v="В"/>
    <n v="0"/>
    <n v="1"/>
    <x v="90"/>
    <m/>
    <m/>
    <s v="то"/>
    <n v="107"/>
    <n v="4"/>
    <n v="0"/>
    <n v="43.149999999999991"/>
    <n v="922.9"/>
    <n v="86"/>
    <s v="-"/>
  </r>
  <r>
    <x v="23"/>
    <x v="5"/>
    <s v="В"/>
    <n v="1"/>
    <n v="2"/>
    <x v="106"/>
    <m/>
    <m/>
    <s v="то"/>
    <n v="115"/>
    <n v="8"/>
    <n v="0"/>
    <n v="43.149999999999991"/>
    <n v="919.1"/>
    <n v="84"/>
    <s v="-"/>
  </r>
  <r>
    <x v="23"/>
    <x v="6"/>
    <s v="СЗ"/>
    <n v="1"/>
    <n v="2"/>
    <x v="105"/>
    <m/>
    <m/>
    <s v="то"/>
    <n v="130"/>
    <n v="15"/>
    <n v="0"/>
    <n v="43.149999999999991"/>
    <n v="914.5"/>
    <n v="86"/>
    <s v="-"/>
  </r>
  <r>
    <x v="23"/>
    <x v="7"/>
    <s v="СВ"/>
    <n v="5"/>
    <n v="8"/>
    <x v="39"/>
    <m/>
    <m/>
    <s v="то"/>
    <n v="135"/>
    <n v="5"/>
    <n v="0"/>
    <n v="43.149999999999991"/>
    <n v="910"/>
    <n v="80"/>
    <s v="-"/>
  </r>
  <r>
    <x v="24"/>
    <x v="0"/>
    <s v="СВ"/>
    <n v="2"/>
    <n v="3"/>
    <x v="63"/>
    <m/>
    <m/>
    <s v="то"/>
    <n v="132"/>
    <n v="-3"/>
    <n v="0"/>
    <n v="43.149999999999991"/>
    <n v="905.7"/>
    <n v="80"/>
    <s v="-"/>
  </r>
  <r>
    <x v="24"/>
    <x v="1"/>
    <s v="СЗ"/>
    <n v="0"/>
    <n v="1"/>
    <x v="53"/>
    <m/>
    <m/>
    <s v="то"/>
    <n v="132"/>
    <n v="0"/>
    <n v="0"/>
    <n v="43.149999999999991"/>
    <n v="902"/>
    <n v="89"/>
    <s v="-"/>
  </r>
  <r>
    <x v="24"/>
    <x v="2"/>
    <s v="З"/>
    <n v="2"/>
    <n v="5"/>
    <x v="64"/>
    <m/>
    <m/>
    <s v="то"/>
    <n v="134"/>
    <n v="2"/>
    <n v="0"/>
    <n v="43.149999999999991"/>
    <n v="898.2"/>
    <n v="81"/>
    <s v="-"/>
  </r>
  <r>
    <x v="24"/>
    <x v="3"/>
    <s v="З"/>
    <n v="2"/>
    <n v="3"/>
    <x v="7"/>
    <m/>
    <m/>
    <s v="то"/>
    <n v="133"/>
    <n v="-1"/>
    <n v="0"/>
    <n v="43.149999999999991"/>
    <n v="895.1"/>
    <n v="76"/>
    <s v="-"/>
  </r>
  <r>
    <x v="24"/>
    <x v="4"/>
    <s v="З"/>
    <n v="7"/>
    <n v="22"/>
    <x v="116"/>
    <m/>
    <m/>
    <s v="м"/>
    <n v="88"/>
    <n v="-45"/>
    <n v="0"/>
    <n v="43.149999999999991"/>
    <n v="893.8"/>
    <n v="82"/>
    <s v="-"/>
  </r>
  <r>
    <x v="24"/>
    <x v="5"/>
    <s v="З"/>
    <m/>
    <m/>
    <x v="36"/>
    <m/>
    <m/>
    <s v="м"/>
    <n v="89"/>
    <n v="1"/>
    <n v="0"/>
    <n v="43.149999999999991"/>
    <n v="895"/>
    <n v="84"/>
    <s v="-"/>
  </r>
  <r>
    <x v="24"/>
    <x v="6"/>
    <s v="З"/>
    <n v="22"/>
    <n v="29"/>
    <x v="117"/>
    <m/>
    <m/>
    <s v="м"/>
    <n v="87"/>
    <n v="-2"/>
    <n v="0"/>
    <n v="43.149999999999991"/>
    <n v="896.4"/>
    <n v="82"/>
    <s v="-"/>
  </r>
  <r>
    <x v="24"/>
    <x v="7"/>
    <s v="З"/>
    <n v="20"/>
    <n v="26"/>
    <x v="118"/>
    <m/>
    <m/>
    <s v="м"/>
    <n v="86"/>
    <n v="-1"/>
    <n v="0"/>
    <n v="43.149999999999991"/>
    <n v="901.1"/>
    <n v="77"/>
    <s v="-"/>
  </r>
  <r>
    <x v="25"/>
    <x v="0"/>
    <s v="З"/>
    <n v="15"/>
    <n v="22"/>
    <x v="119"/>
    <m/>
    <m/>
    <s v="м"/>
    <n v="86"/>
    <n v="0"/>
    <n v="0"/>
    <n v="43.149999999999991"/>
    <n v="905.1"/>
    <n v="74"/>
    <s v="-"/>
  </r>
  <r>
    <x v="25"/>
    <x v="1"/>
    <s v="З"/>
    <n v="21"/>
    <n v="21"/>
    <x v="120"/>
    <m/>
    <m/>
    <s v="м"/>
    <n v="86"/>
    <n v="0"/>
    <n v="0"/>
    <n v="43.149999999999991"/>
    <n v="907.8"/>
    <n v="68"/>
    <s v="-"/>
  </r>
  <r>
    <x v="25"/>
    <x v="2"/>
    <s v="З"/>
    <n v="18"/>
    <n v="18"/>
    <x v="20"/>
    <m/>
    <m/>
    <s v="м"/>
    <n v="87"/>
    <n v="1"/>
    <n v="0"/>
    <n v="43.149999999999991"/>
    <n v="910"/>
    <n v="80"/>
    <s v="-"/>
  </r>
  <r>
    <x v="25"/>
    <x v="3"/>
    <s v="З"/>
    <m/>
    <m/>
    <x v="121"/>
    <m/>
    <m/>
    <s v="м"/>
    <n v="87"/>
    <n v="0"/>
    <n v="0"/>
    <n v="43.149999999999991"/>
    <n v="912.1"/>
    <n v="60"/>
    <s v="-"/>
  </r>
  <r>
    <x v="25"/>
    <x v="4"/>
    <s v="З"/>
    <m/>
    <m/>
    <x v="70"/>
    <m/>
    <m/>
    <s v="м"/>
    <n v="88"/>
    <n v="1"/>
    <n v="0"/>
    <n v="43.149999999999991"/>
    <n v="914.3"/>
    <n v="68"/>
    <s v="-"/>
  </r>
  <r>
    <x v="25"/>
    <x v="5"/>
    <s v="З"/>
    <m/>
    <m/>
    <x v="15"/>
    <m/>
    <m/>
    <s v="м"/>
    <n v="89"/>
    <n v="1"/>
    <n v="0"/>
    <n v="43.149999999999991"/>
    <n v="916.2"/>
    <n v="60"/>
    <s v="-"/>
  </r>
  <r>
    <x v="25"/>
    <x v="6"/>
    <s v="З"/>
    <m/>
    <m/>
    <x v="67"/>
    <m/>
    <m/>
    <s v="м"/>
    <n v="89"/>
    <n v="0"/>
    <n v="0"/>
    <n v="43.149999999999991"/>
    <n v="918.6"/>
    <n v="56"/>
    <s v="-"/>
  </r>
  <r>
    <x v="25"/>
    <x v="7"/>
    <s v="З"/>
    <m/>
    <m/>
    <x v="114"/>
    <m/>
    <m/>
    <s v="~"/>
    <n v="89"/>
    <n v="0"/>
    <n v="0"/>
    <n v="43.149999999999991"/>
    <n v="921.9"/>
    <n v="48"/>
    <s v="-"/>
  </r>
  <r>
    <x v="26"/>
    <x v="0"/>
    <s v="З"/>
    <n v="2"/>
    <n v="4"/>
    <x v="122"/>
    <m/>
    <m/>
    <s v="~"/>
    <n v="88"/>
    <n v="-1"/>
    <n v="0"/>
    <n v="43.149999999999991"/>
    <n v="924.8"/>
    <n v="74"/>
    <s v="-"/>
  </r>
  <r>
    <x v="26"/>
    <x v="1"/>
    <s v="З"/>
    <n v="6"/>
    <n v="8"/>
    <x v="41"/>
    <m/>
    <m/>
    <s v="~"/>
    <n v="89"/>
    <n v="1"/>
    <n v="0"/>
    <n v="43.149999999999991"/>
    <n v="927.5"/>
    <n v="54"/>
    <s v="-"/>
  </r>
  <r>
    <x v="26"/>
    <x v="2"/>
    <s v="З"/>
    <n v="4"/>
    <n v="6"/>
    <x v="105"/>
    <m/>
    <m/>
    <s v="~"/>
    <n v="90"/>
    <n v="1"/>
    <n v="0"/>
    <n v="43.149999999999991"/>
    <n v="931.2"/>
    <n v="43"/>
    <s v="-"/>
  </r>
  <r>
    <x v="26"/>
    <x v="3"/>
    <s v="З"/>
    <n v="7"/>
    <n v="12"/>
    <x v="106"/>
    <m/>
    <m/>
    <s v="~"/>
    <n v="90"/>
    <n v="0"/>
    <n v="0"/>
    <n v="43.149999999999991"/>
    <n v="934"/>
    <n v="50"/>
    <s v="-"/>
  </r>
  <r>
    <x v="26"/>
    <x v="4"/>
    <s v="З"/>
    <n v="6"/>
    <n v="12"/>
    <x v="123"/>
    <m/>
    <m/>
    <s v="~"/>
    <n v="91"/>
    <n v="1"/>
    <n v="0"/>
    <n v="43.149999999999991"/>
    <n v="936.5"/>
    <n v="51"/>
    <s v="-"/>
  </r>
  <r>
    <x v="26"/>
    <x v="5"/>
    <s v="З"/>
    <n v="7"/>
    <n v="11"/>
    <x v="124"/>
    <m/>
    <m/>
    <s v="~"/>
    <n v="92"/>
    <n v="1"/>
    <n v="0"/>
    <n v="43.149999999999991"/>
    <n v="936.1"/>
    <n v="54"/>
    <s v="-"/>
  </r>
  <r>
    <x v="26"/>
    <x v="6"/>
    <s v="З"/>
    <n v="1"/>
    <n v="2"/>
    <x v="55"/>
    <m/>
    <m/>
    <s v="~"/>
    <n v="92"/>
    <n v="0"/>
    <n v="0"/>
    <n v="43.149999999999991"/>
    <n v="936.5"/>
    <n v="55"/>
    <s v="-"/>
  </r>
  <r>
    <x v="26"/>
    <x v="7"/>
    <s v="З"/>
    <n v="2"/>
    <n v="3"/>
    <x v="62"/>
    <m/>
    <m/>
    <s v="~"/>
    <n v="91"/>
    <n v="-1"/>
    <n v="0"/>
    <n v="43.149999999999991"/>
    <n v="935.9"/>
    <n v="58"/>
    <s v="-"/>
  </r>
  <r>
    <x v="27"/>
    <x v="0"/>
    <s v="З"/>
    <n v="2"/>
    <n v="4"/>
    <x v="52"/>
    <m/>
    <m/>
    <s v="~"/>
    <n v="92"/>
    <n v="1"/>
    <n v="0"/>
    <n v="43.149999999999991"/>
    <n v="934.4"/>
    <n v="60"/>
    <s v="-"/>
  </r>
  <r>
    <x v="27"/>
    <x v="1"/>
    <s v="З"/>
    <n v="2"/>
    <n v="3"/>
    <x v="105"/>
    <m/>
    <m/>
    <s v="то"/>
    <n v="91"/>
    <n v="-1"/>
    <n v="0"/>
    <n v="43.149999999999991"/>
    <n v="930.6"/>
    <n v="67"/>
    <s v="-"/>
  </r>
  <r>
    <x v="27"/>
    <x v="2"/>
    <s v="З"/>
    <n v="1"/>
    <n v="1"/>
    <x v="59"/>
    <m/>
    <m/>
    <s v="то"/>
    <n v="90"/>
    <n v="-1"/>
    <n v="0"/>
    <n v="43.149999999999991"/>
    <n v="927.6"/>
    <n v="88"/>
    <s v="-"/>
  </r>
  <r>
    <x v="27"/>
    <x v="3"/>
    <s v="ЗЮЗ"/>
    <n v="0"/>
    <n v="1"/>
    <x v="49"/>
    <m/>
    <m/>
    <s v="то"/>
    <n v="93"/>
    <n v="3"/>
    <n v="0"/>
    <n v="43.149999999999991"/>
    <n v="923.2"/>
    <n v="90"/>
    <s v="-"/>
  </r>
  <r>
    <x v="27"/>
    <x v="4"/>
    <s v="Ю"/>
    <n v="1"/>
    <n v="2"/>
    <x v="72"/>
    <m/>
    <m/>
    <s v="то"/>
    <n v="102"/>
    <n v="9"/>
    <n v="0"/>
    <n v="43.149999999999991"/>
    <n v="918.3"/>
    <n v="82"/>
    <s v="-"/>
  </r>
  <r>
    <x v="27"/>
    <x v="5"/>
    <s v="В"/>
    <n v="7"/>
    <n v="10"/>
    <x v="125"/>
    <m/>
    <m/>
    <s v="м"/>
    <n v="105"/>
    <n v="3"/>
    <n v="0"/>
    <n v="43.149999999999991"/>
    <n v="916.2"/>
    <n v="70"/>
    <s v="-"/>
  </r>
  <r>
    <x v="27"/>
    <x v="6"/>
    <s v="В"/>
    <n v="6"/>
    <n v="12"/>
    <x v="112"/>
    <m/>
    <m/>
    <s v="~"/>
    <n v="109"/>
    <n v="4"/>
    <n v="0"/>
    <n v="43.149999999999991"/>
    <n v="917"/>
    <n v="47"/>
    <s v="-"/>
  </r>
  <r>
    <x v="27"/>
    <x v="7"/>
    <s v="В"/>
    <n v="7"/>
    <n v="11"/>
    <x v="72"/>
    <m/>
    <m/>
    <s v="~"/>
    <n v="107"/>
    <n v="-2"/>
    <n v="0"/>
    <n v="43.149999999999991"/>
    <n v="920.4"/>
    <n v="75"/>
    <s v="-"/>
  </r>
  <r>
    <x v="28"/>
    <x v="0"/>
    <s v="СВ"/>
    <n v="8"/>
    <n v="10"/>
    <x v="84"/>
    <m/>
    <m/>
    <s v="~"/>
    <n v="107"/>
    <n v="0"/>
    <n v="0"/>
    <n v="43.149999999999991"/>
    <n v="923.4"/>
    <n v="74"/>
    <s v="-"/>
  </r>
  <r>
    <x v="28"/>
    <x v="1"/>
    <s v="ЗСЗ"/>
    <n v="7"/>
    <n v="12"/>
    <x v="74"/>
    <m/>
    <m/>
    <s v="м"/>
    <n v="106"/>
    <n v="-1"/>
    <n v="0"/>
    <n v="43.149999999999991"/>
    <n v="925"/>
    <n v="79"/>
    <s v="-"/>
  </r>
  <r>
    <x v="28"/>
    <x v="2"/>
    <s v="З"/>
    <n v="9"/>
    <n v="15"/>
    <x v="50"/>
    <m/>
    <m/>
    <s v="м"/>
    <n v="94"/>
    <n v="-12"/>
    <n v="0"/>
    <n v="43.149999999999991"/>
    <n v="926.7"/>
    <n v="72"/>
    <s v="-"/>
  </r>
  <r>
    <x v="28"/>
    <x v="3"/>
    <s v="Ю"/>
    <n v="12"/>
    <n v="17"/>
    <x v="105"/>
    <m/>
    <m/>
    <s v="~"/>
    <n v="89"/>
    <n v="-5"/>
    <n v="0"/>
    <n v="43.149999999999991"/>
    <n v="928"/>
    <n v="71"/>
    <s v="-"/>
  </r>
  <r>
    <x v="28"/>
    <x v="4"/>
    <s v="Ю"/>
    <n v="10"/>
    <n v="14"/>
    <x v="61"/>
    <m/>
    <m/>
    <s v="~"/>
    <n v="91"/>
    <n v="2"/>
    <n v="0"/>
    <n v="43.149999999999991"/>
    <n v="929.4"/>
    <n v="57"/>
    <s v="-"/>
  </r>
  <r>
    <x v="28"/>
    <x v="5"/>
    <s v="Ю"/>
    <n v="11"/>
    <n v="16"/>
    <x v="87"/>
    <m/>
    <m/>
    <s v="~"/>
    <n v="91"/>
    <n v="0"/>
    <n v="0"/>
    <n v="43.149999999999991"/>
    <n v="929.3"/>
    <n v="57"/>
    <s v="-"/>
  </r>
  <r>
    <x v="28"/>
    <x v="6"/>
    <s v="Ю"/>
    <n v="9"/>
    <n v="13"/>
    <x v="126"/>
    <m/>
    <m/>
    <s v="~"/>
    <n v="92"/>
    <n v="1"/>
    <n v="0"/>
    <n v="43.149999999999991"/>
    <n v="929.9"/>
    <n v="49"/>
    <s v="-"/>
  </r>
  <r>
    <x v="28"/>
    <x v="7"/>
    <s v="Ю"/>
    <n v="9"/>
    <n v="13"/>
    <x v="74"/>
    <m/>
    <m/>
    <s v="~"/>
    <n v="91"/>
    <n v="-1"/>
    <n v="0"/>
    <n v="43.149999999999991"/>
    <n v="931.2"/>
    <n v="51"/>
    <s v="-"/>
  </r>
  <r>
    <x v="29"/>
    <x v="0"/>
    <s v="Ю"/>
    <n v="9"/>
    <n v="16"/>
    <x v="123"/>
    <m/>
    <m/>
    <s v="~"/>
    <n v="91"/>
    <n v="0"/>
    <n v="0"/>
    <n v="43.149999999999991"/>
    <n v="932"/>
    <n v="49"/>
    <s v="-"/>
  </r>
  <r>
    <x v="29"/>
    <x v="1"/>
    <s v="Ю"/>
    <n v="10"/>
    <n v="15"/>
    <x v="61"/>
    <m/>
    <m/>
    <s v="~"/>
    <n v="90"/>
    <n v="-1"/>
    <n v="0"/>
    <n v="43.149999999999991"/>
    <n v="932.1"/>
    <n v="52"/>
    <s v="-"/>
  </r>
  <r>
    <x v="29"/>
    <x v="2"/>
    <s v="Ю"/>
    <n v="9"/>
    <n v="13"/>
    <x v="61"/>
    <m/>
    <m/>
    <s v="~"/>
    <n v="91"/>
    <n v="1"/>
    <n v="0"/>
    <n v="43.149999999999991"/>
    <n v="932.8"/>
    <n v="47"/>
    <s v="-"/>
  </r>
  <r>
    <x v="29"/>
    <x v="3"/>
    <s v="Ю"/>
    <n v="3"/>
    <n v="7"/>
    <x v="93"/>
    <m/>
    <m/>
    <s v="~"/>
    <n v="90"/>
    <n v="-1"/>
    <n v="0"/>
    <n v="43.149999999999991"/>
    <n v="933.9"/>
    <n v="45"/>
    <s v="-"/>
  </r>
  <r>
    <x v="29"/>
    <x v="4"/>
    <s v="Ю"/>
    <n v="4"/>
    <n v="8"/>
    <x v="113"/>
    <m/>
    <m/>
    <s v="~"/>
    <n v="92"/>
    <n v="2"/>
    <n v="0"/>
    <n v="43.149999999999991"/>
    <n v="934.4"/>
    <n v="49"/>
    <s v="-"/>
  </r>
  <r>
    <x v="29"/>
    <x v="5"/>
    <s v="Ю"/>
    <n v="1"/>
    <n v="2"/>
    <x v="125"/>
    <m/>
    <m/>
    <s v="~"/>
    <n v="93"/>
    <n v="1"/>
    <n v="0"/>
    <n v="43.149999999999991"/>
    <n v="934.6"/>
    <n v="52"/>
    <s v="-"/>
  </r>
  <r>
    <x v="29"/>
    <x v="6"/>
    <s v="Ю"/>
    <n v="1"/>
    <n v="2"/>
    <x v="86"/>
    <m/>
    <m/>
    <s v="~"/>
    <n v="92"/>
    <n v="-1"/>
    <n v="0"/>
    <n v="43.149999999999991"/>
    <n v="935.7"/>
    <n v="64"/>
    <s v="-"/>
  </r>
  <r>
    <x v="29"/>
    <x v="7"/>
    <s v="Ю"/>
    <n v="1"/>
    <n v="2"/>
    <x v="127"/>
    <m/>
    <m/>
    <s v="~"/>
    <n v="91"/>
    <n v="-1"/>
    <n v="0"/>
    <n v="43.149999999999991"/>
    <n v="937.6"/>
    <n v="67"/>
    <s v="-"/>
  </r>
  <r>
    <x v="30"/>
    <x v="0"/>
    <s v="Ю"/>
    <n v="1"/>
    <n v="2"/>
    <x v="46"/>
    <m/>
    <m/>
    <s v="~"/>
    <n v="91"/>
    <n v="0"/>
    <n v="0"/>
    <n v="43.149999999999991"/>
    <n v="938.6"/>
    <n v="59"/>
    <s v="-"/>
  </r>
  <r>
    <x v="30"/>
    <x v="1"/>
    <s v="Ю"/>
    <n v="1"/>
    <n v="3"/>
    <x v="81"/>
    <m/>
    <m/>
    <s v="~"/>
    <n v="91"/>
    <n v="0"/>
    <n v="0"/>
    <n v="43.149999999999991"/>
    <n v="939.3"/>
    <n v="58"/>
    <s v="-"/>
  </r>
  <r>
    <x v="30"/>
    <x v="2"/>
    <s v="Ю"/>
    <n v="1"/>
    <n v="2"/>
    <x v="88"/>
    <m/>
    <m/>
    <s v="~"/>
    <n v="91"/>
    <n v="0"/>
    <n v="0"/>
    <n v="43.149999999999991"/>
    <n v="939.7"/>
    <n v="59"/>
    <s v="-"/>
  </r>
  <r>
    <x v="30"/>
    <x v="3"/>
    <s v="Ю"/>
    <n v="2"/>
    <n v="4"/>
    <x v="61"/>
    <m/>
    <m/>
    <s v="~"/>
    <n v="91"/>
    <n v="0"/>
    <n v="0"/>
    <n v="43.149999999999991"/>
    <n v="940.7"/>
    <n v="60"/>
    <s v="-"/>
  </r>
  <r>
    <x v="30"/>
    <x v="4"/>
    <s v="Ю"/>
    <n v="1"/>
    <n v="3"/>
    <x v="128"/>
    <m/>
    <m/>
    <s v="~"/>
    <n v="94"/>
    <n v="3"/>
    <n v="0"/>
    <n v="43.149999999999991"/>
    <n v="941"/>
    <n v="51"/>
    <s v="-"/>
  </r>
  <r>
    <x v="30"/>
    <x v="5"/>
    <s v="Ю"/>
    <n v="4"/>
    <n v="9"/>
    <x v="129"/>
    <m/>
    <m/>
    <s v="~"/>
    <n v="95"/>
    <n v="1"/>
    <n v="0"/>
    <n v="43.149999999999991"/>
    <n v="941.1"/>
    <n v="50"/>
    <s v="-"/>
  </r>
  <r>
    <x v="30"/>
    <x v="6"/>
    <s v="Ю"/>
    <n v="3"/>
    <n v="5"/>
    <x v="130"/>
    <m/>
    <m/>
    <s v="~"/>
    <n v="95"/>
    <n v="0"/>
    <n v="0"/>
    <n v="43.149999999999991"/>
    <n v="941.2"/>
    <n v="52"/>
    <s v="-"/>
  </r>
  <r>
    <x v="30"/>
    <x v="7"/>
    <s v="Ю"/>
    <n v="3"/>
    <n v="7"/>
    <x v="131"/>
    <m/>
    <m/>
    <s v="~"/>
    <n v="95"/>
    <n v="0"/>
    <n v="0"/>
    <n v="43.149999999999991"/>
    <n v="941.9"/>
    <n v="37"/>
    <s v="-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8">
  <r>
    <x v="0"/>
    <x v="0"/>
    <x v="0"/>
    <x v="0"/>
    <n v="9"/>
    <x v="0"/>
    <m/>
    <m/>
    <s v="~"/>
    <n v="91"/>
    <n v="0"/>
    <n v="0"/>
    <n v="0"/>
    <n v="914.7"/>
    <n v="46"/>
    <s v="-"/>
  </r>
  <r>
    <x v="0"/>
    <x v="1"/>
    <x v="0"/>
    <x v="1"/>
    <n v="12"/>
    <x v="1"/>
    <m/>
    <m/>
    <s v="м"/>
    <n v="91"/>
    <n v="0"/>
    <n v="10"/>
    <n v="10"/>
    <n v="914.8"/>
    <n v="54"/>
    <s v="-"/>
  </r>
  <r>
    <x v="0"/>
    <x v="2"/>
    <x v="1"/>
    <x v="2"/>
    <n v="9"/>
    <x v="2"/>
    <m/>
    <m/>
    <s v="м"/>
    <n v="92"/>
    <n v="1"/>
    <n v="0.1"/>
    <n v="10.1"/>
    <n v="915.6"/>
    <n v="68"/>
    <s v="-"/>
  </r>
  <r>
    <x v="0"/>
    <x v="3"/>
    <x v="1"/>
    <x v="3"/>
    <n v="10"/>
    <x v="3"/>
    <m/>
    <m/>
    <s v="м"/>
    <n v="91"/>
    <n v="-1"/>
    <n v="0.2"/>
    <n v="10.299999999999999"/>
    <n v="916.6"/>
    <n v="67"/>
    <s v="-"/>
  </r>
  <r>
    <x v="0"/>
    <x v="4"/>
    <x v="1"/>
    <x v="4"/>
    <n v="9"/>
    <x v="4"/>
    <m/>
    <m/>
    <s v="м"/>
    <n v="90"/>
    <n v="-1"/>
    <n v="0.3"/>
    <n v="10.6"/>
    <n v="917.1"/>
    <n v="58"/>
    <s v="-"/>
  </r>
  <r>
    <x v="0"/>
    <x v="5"/>
    <x v="0"/>
    <x v="5"/>
    <n v="7"/>
    <x v="5"/>
    <m/>
    <m/>
    <s v="~"/>
    <n v="91"/>
    <n v="1"/>
    <n v="0.2"/>
    <n v="10.799999999999999"/>
    <n v="916.4"/>
    <n v="46"/>
    <s v="-"/>
  </r>
  <r>
    <x v="0"/>
    <x v="6"/>
    <x v="0"/>
    <x v="6"/>
    <n v="2"/>
    <x v="6"/>
    <m/>
    <m/>
    <s v="~"/>
    <n v="91"/>
    <n v="0"/>
    <n v="0.5"/>
    <n v="11.299999999999999"/>
    <n v="916.5"/>
    <n v="49"/>
    <s v="-"/>
  </r>
  <r>
    <x v="0"/>
    <x v="7"/>
    <x v="0"/>
    <x v="7"/>
    <n v="7"/>
    <x v="2"/>
    <m/>
    <m/>
    <s v="~"/>
    <n v="91"/>
    <n v="0"/>
    <n v="0.6"/>
    <n v="11.899999999999999"/>
    <n v="916.8"/>
    <n v="60"/>
    <s v="-"/>
  </r>
  <r>
    <x v="1"/>
    <x v="0"/>
    <x v="0"/>
    <x v="8"/>
    <n v="10"/>
    <x v="7"/>
    <m/>
    <m/>
    <s v="м"/>
    <n v="91"/>
    <n v="0"/>
    <n v="0.1"/>
    <n v="11.999999999999998"/>
    <n v="917.3"/>
    <n v="68"/>
    <s v="-"/>
  </r>
  <r>
    <x v="1"/>
    <x v="1"/>
    <x v="0"/>
    <x v="9"/>
    <n v="10"/>
    <x v="8"/>
    <m/>
    <m/>
    <s v="м"/>
    <n v="90"/>
    <n v="-1"/>
    <n v="0.85"/>
    <n v="12.849999999999998"/>
    <n v="918.2"/>
    <n v="66"/>
    <s v="-"/>
  </r>
  <r>
    <x v="1"/>
    <x v="2"/>
    <x v="0"/>
    <x v="10"/>
    <n v="11"/>
    <x v="9"/>
    <m/>
    <m/>
    <s v="м"/>
    <n v="90"/>
    <n v="0"/>
    <n v="0"/>
    <n v="12.849999999999998"/>
    <n v="919.1"/>
    <n v="55"/>
    <s v="-"/>
  </r>
  <r>
    <x v="1"/>
    <x v="3"/>
    <x v="0"/>
    <x v="11"/>
    <n v="13"/>
    <x v="10"/>
    <m/>
    <m/>
    <s v="м"/>
    <n v="89"/>
    <n v="-1"/>
    <n v="0"/>
    <n v="12.849999999999998"/>
    <n v="921.6"/>
    <n v="54"/>
    <s v="-"/>
  </r>
  <r>
    <x v="1"/>
    <x v="4"/>
    <x v="0"/>
    <x v="12"/>
    <n v="13"/>
    <x v="11"/>
    <m/>
    <m/>
    <s v="м"/>
    <n v="90"/>
    <n v="1"/>
    <n v="0.5"/>
    <n v="13.349999999999998"/>
    <n v="924.5"/>
    <n v="53"/>
    <s v="-"/>
  </r>
  <r>
    <x v="1"/>
    <x v="5"/>
    <x v="0"/>
    <x v="13"/>
    <n v="10"/>
    <x v="8"/>
    <m/>
    <m/>
    <s v="м"/>
    <n v="90"/>
    <n v="0"/>
    <n v="0.6"/>
    <n v="13.949999999999998"/>
    <n v="926.1"/>
    <n v="52"/>
    <s v="-"/>
  </r>
  <r>
    <x v="1"/>
    <x v="6"/>
    <x v="0"/>
    <x v="14"/>
    <n v="17"/>
    <x v="3"/>
    <m/>
    <m/>
    <s v="м"/>
    <n v="91"/>
    <n v="1"/>
    <n v="0.5"/>
    <n v="14.449999999999998"/>
    <n v="928.1"/>
    <n v="60"/>
    <s v="-"/>
  </r>
  <r>
    <x v="1"/>
    <x v="7"/>
    <x v="0"/>
    <x v="15"/>
    <n v="10"/>
    <x v="12"/>
    <m/>
    <m/>
    <s v="м"/>
    <n v="91"/>
    <n v="0"/>
    <n v="6"/>
    <n v="20.449999999999996"/>
    <n v="931.1"/>
    <n v="48"/>
    <s v="-"/>
  </r>
  <r>
    <x v="2"/>
    <x v="0"/>
    <x v="0"/>
    <x v="16"/>
    <n v="7"/>
    <x v="8"/>
    <m/>
    <m/>
    <s v="~"/>
    <n v="90"/>
    <n v="-1"/>
    <n v="5.2"/>
    <n v="25.649999999999995"/>
    <n v="932.7"/>
    <n v="45"/>
    <s v="-"/>
  </r>
  <r>
    <x v="2"/>
    <x v="1"/>
    <x v="0"/>
    <x v="17"/>
    <n v="6"/>
    <x v="7"/>
    <m/>
    <m/>
    <s v="~"/>
    <n v="91"/>
    <n v="1"/>
    <n v="0"/>
    <n v="25.649999999999995"/>
    <n v="932.3"/>
    <n v="41"/>
    <s v="-"/>
  </r>
  <r>
    <x v="2"/>
    <x v="2"/>
    <x v="0"/>
    <x v="18"/>
    <n v="8"/>
    <x v="5"/>
    <m/>
    <m/>
    <s v="~"/>
    <n v="91"/>
    <n v="0"/>
    <n v="0.5"/>
    <n v="26.149999999999995"/>
    <n v="930.7"/>
    <n v="38"/>
    <s v="-"/>
  </r>
  <r>
    <x v="2"/>
    <x v="3"/>
    <x v="0"/>
    <x v="19"/>
    <n v="7"/>
    <x v="13"/>
    <m/>
    <m/>
    <s v="~"/>
    <n v="92"/>
    <n v="1"/>
    <n v="0"/>
    <n v="26.149999999999995"/>
    <n v="929.5"/>
    <n v="39"/>
    <s v="-"/>
  </r>
  <r>
    <x v="2"/>
    <x v="4"/>
    <x v="0"/>
    <x v="20"/>
    <n v="2"/>
    <x v="14"/>
    <m/>
    <m/>
    <s v="~"/>
    <n v="92"/>
    <n v="0"/>
    <n v="0"/>
    <n v="26.149999999999995"/>
    <n v="927.9"/>
    <n v="49"/>
    <s v="-"/>
  </r>
  <r>
    <x v="2"/>
    <x v="5"/>
    <x v="0"/>
    <x v="21"/>
    <n v="1"/>
    <x v="15"/>
    <m/>
    <m/>
    <s v="~"/>
    <n v="92"/>
    <n v="0"/>
    <n v="0"/>
    <n v="26.149999999999995"/>
    <n v="925"/>
    <n v="46"/>
    <s v="-"/>
  </r>
  <r>
    <x v="2"/>
    <x v="6"/>
    <x v="0"/>
    <x v="22"/>
    <n v="2"/>
    <x v="16"/>
    <m/>
    <m/>
    <s v="то"/>
    <n v="90"/>
    <n v="-2"/>
    <n v="0"/>
    <n v="26.149999999999995"/>
    <n v="922.9"/>
    <n v="76"/>
    <s v="-"/>
  </r>
  <r>
    <x v="2"/>
    <x v="7"/>
    <x v="2"/>
    <x v="23"/>
    <n v="3"/>
    <x v="14"/>
    <m/>
    <m/>
    <s v="то"/>
    <n v="91"/>
    <n v="1"/>
    <n v="0"/>
    <n v="26.149999999999995"/>
    <n v="921.6"/>
    <n v="79"/>
    <s v="-"/>
  </r>
  <r>
    <x v="3"/>
    <x v="0"/>
    <x v="2"/>
    <x v="24"/>
    <n v="3"/>
    <x v="17"/>
    <m/>
    <m/>
    <s v="то"/>
    <n v="92"/>
    <n v="1"/>
    <n v="0"/>
    <n v="26.149999999999995"/>
    <n v="920.2"/>
    <n v="73"/>
    <s v="-"/>
  </r>
  <r>
    <x v="3"/>
    <x v="1"/>
    <x v="2"/>
    <x v="25"/>
    <n v="6"/>
    <x v="5"/>
    <m/>
    <m/>
    <s v="~"/>
    <n v="92"/>
    <n v="0"/>
    <n v="0"/>
    <n v="26.149999999999995"/>
    <n v="920.3"/>
    <n v="69"/>
    <s v="-"/>
  </r>
  <r>
    <x v="3"/>
    <x v="2"/>
    <x v="2"/>
    <x v="26"/>
    <n v="13"/>
    <x v="18"/>
    <m/>
    <m/>
    <s v="м"/>
    <n v="90"/>
    <n v="-2"/>
    <n v="0"/>
    <n v="26.149999999999995"/>
    <n v="920.5"/>
    <n v="68"/>
    <s v="-"/>
  </r>
  <r>
    <x v="3"/>
    <x v="3"/>
    <x v="2"/>
    <x v="27"/>
    <n v="12"/>
    <x v="19"/>
    <m/>
    <m/>
    <s v="м"/>
    <n v="90"/>
    <n v="0"/>
    <n v="0"/>
    <n v="26.149999999999995"/>
    <n v="921.5"/>
    <n v="64"/>
    <s v="-"/>
  </r>
  <r>
    <x v="3"/>
    <x v="4"/>
    <x v="2"/>
    <x v="28"/>
    <n v="18"/>
    <x v="20"/>
    <m/>
    <m/>
    <s v="м"/>
    <n v="89"/>
    <n v="-1"/>
    <n v="1"/>
    <n v="27.149999999999995"/>
    <n v="921.6"/>
    <n v="67"/>
    <s v="-"/>
  </r>
  <r>
    <x v="3"/>
    <x v="5"/>
    <x v="2"/>
    <x v="28"/>
    <n v="15"/>
    <x v="21"/>
    <m/>
    <m/>
    <s v="м"/>
    <n v="89"/>
    <n v="0"/>
    <n v="0"/>
    <n v="27.149999999999995"/>
    <n v="921.4"/>
    <n v="64"/>
    <s v="-"/>
  </r>
  <r>
    <x v="3"/>
    <x v="6"/>
    <x v="2"/>
    <x v="28"/>
    <n v="14"/>
    <x v="22"/>
    <m/>
    <m/>
    <s v="~"/>
    <n v="89"/>
    <n v="0"/>
    <n v="0"/>
    <n v="27.149999999999995"/>
    <n v="922.3"/>
    <n v="55"/>
    <s v="-"/>
  </r>
  <r>
    <x v="3"/>
    <x v="7"/>
    <x v="3"/>
    <x v="29"/>
    <n v="4"/>
    <x v="23"/>
    <m/>
    <m/>
    <s v="~"/>
    <n v="90"/>
    <n v="1"/>
    <n v="0"/>
    <n v="27.149999999999995"/>
    <n v="923.5"/>
    <n v="50"/>
    <s v="-"/>
  </r>
  <r>
    <x v="4"/>
    <x v="0"/>
    <x v="3"/>
    <x v="30"/>
    <n v="2"/>
    <x v="24"/>
    <m/>
    <m/>
    <s v="~"/>
    <n v="88"/>
    <n v="-2"/>
    <n v="0"/>
    <n v="27.149999999999995"/>
    <n v="923.8"/>
    <n v="56"/>
    <s v="-"/>
  </r>
  <r>
    <x v="4"/>
    <x v="1"/>
    <x v="3"/>
    <x v="10"/>
    <n v="5"/>
    <x v="25"/>
    <m/>
    <m/>
    <s v="~"/>
    <n v="88"/>
    <n v="0"/>
    <n v="0"/>
    <n v="27.149999999999995"/>
    <n v="923.2"/>
    <n v="54"/>
    <s v="-"/>
  </r>
  <r>
    <x v="4"/>
    <x v="2"/>
    <x v="0"/>
    <x v="31"/>
    <n v="9"/>
    <x v="26"/>
    <m/>
    <m/>
    <s v="~"/>
    <n v="88"/>
    <n v="0"/>
    <n v="0"/>
    <n v="27.149999999999995"/>
    <n v="922.9"/>
    <n v="55"/>
    <s v="-"/>
  </r>
  <r>
    <x v="4"/>
    <x v="3"/>
    <x v="0"/>
    <x v="31"/>
    <n v="10"/>
    <x v="27"/>
    <m/>
    <m/>
    <s v="~"/>
    <n v="87"/>
    <n v="-1"/>
    <n v="0"/>
    <n v="27.149999999999995"/>
    <n v="922.9"/>
    <n v="54"/>
    <s v="-"/>
  </r>
  <r>
    <x v="4"/>
    <x v="4"/>
    <x v="0"/>
    <x v="31"/>
    <n v="9"/>
    <x v="28"/>
    <m/>
    <m/>
    <s v="~"/>
    <n v="88"/>
    <n v="1"/>
    <n v="0"/>
    <n v="27.149999999999995"/>
    <n v="922.5"/>
    <n v="53"/>
    <s v="-"/>
  </r>
  <r>
    <x v="4"/>
    <x v="5"/>
    <x v="0"/>
    <x v="27"/>
    <n v="12"/>
    <x v="29"/>
    <m/>
    <m/>
    <s v="~"/>
    <n v="88"/>
    <n v="0"/>
    <n v="5"/>
    <n v="32.149999999999991"/>
    <n v="921.4"/>
    <n v="64"/>
    <s v="-"/>
  </r>
  <r>
    <x v="4"/>
    <x v="6"/>
    <x v="0"/>
    <x v="28"/>
    <n v="13"/>
    <x v="10"/>
    <m/>
    <m/>
    <s v="~"/>
    <n v="88"/>
    <n v="0"/>
    <n v="0"/>
    <n v="32.149999999999991"/>
    <n v="921.2"/>
    <n v="48"/>
    <s v="-"/>
  </r>
  <r>
    <x v="4"/>
    <x v="7"/>
    <x v="0"/>
    <x v="31"/>
    <n v="12"/>
    <x v="30"/>
    <m/>
    <m/>
    <s v="м"/>
    <n v="89"/>
    <n v="1"/>
    <n v="0"/>
    <n v="32.149999999999991"/>
    <n v="922.3"/>
    <n v="44"/>
    <s v="-"/>
  </r>
  <r>
    <x v="5"/>
    <x v="0"/>
    <x v="0"/>
    <x v="29"/>
    <n v="6"/>
    <x v="31"/>
    <m/>
    <m/>
    <s v="~"/>
    <n v="88"/>
    <n v="-1"/>
    <n v="0"/>
    <n v="32.149999999999991"/>
    <n v="922.3"/>
    <n v="43"/>
    <s v="-"/>
  </r>
  <r>
    <x v="5"/>
    <x v="1"/>
    <x v="0"/>
    <x v="10"/>
    <n v="10"/>
    <x v="32"/>
    <m/>
    <m/>
    <s v="~"/>
    <n v="89"/>
    <n v="1"/>
    <n v="0"/>
    <n v="32.149999999999991"/>
    <n v="922"/>
    <n v="42"/>
    <s v="-"/>
  </r>
  <r>
    <x v="5"/>
    <x v="2"/>
    <x v="0"/>
    <x v="10"/>
    <n v="7"/>
    <x v="12"/>
    <m/>
    <m/>
    <s v="~"/>
    <n v="90"/>
    <n v="1"/>
    <n v="11"/>
    <n v="43.149999999999991"/>
    <n v="922.4"/>
    <n v="39"/>
    <s v="-"/>
  </r>
  <r>
    <x v="5"/>
    <x v="3"/>
    <x v="1"/>
    <x v="30"/>
    <n v="1"/>
    <x v="33"/>
    <m/>
    <m/>
    <s v="~"/>
    <n v="91"/>
    <n v="1"/>
    <n v="0"/>
    <n v="43.149999999999991"/>
    <n v="922.1"/>
    <n v="40"/>
    <s v="-"/>
  </r>
  <r>
    <x v="5"/>
    <x v="4"/>
    <x v="1"/>
    <x v="30"/>
    <n v="2"/>
    <x v="34"/>
    <m/>
    <m/>
    <s v="~"/>
    <n v="90"/>
    <n v="-1"/>
    <n v="0"/>
    <n v="43.149999999999991"/>
    <n v="920.8"/>
    <n v="44"/>
    <s v="-"/>
  </r>
  <r>
    <x v="5"/>
    <x v="5"/>
    <x v="1"/>
    <x v="30"/>
    <n v="2"/>
    <x v="35"/>
    <m/>
    <m/>
    <s v="то"/>
    <n v="91"/>
    <n v="1"/>
    <n v="0"/>
    <n v="43.149999999999991"/>
    <n v="919.7"/>
    <n v="46"/>
    <s v="-"/>
  </r>
  <r>
    <x v="5"/>
    <x v="6"/>
    <x v="0"/>
    <x v="30"/>
    <n v="2"/>
    <x v="36"/>
    <m/>
    <m/>
    <s v="~"/>
    <n v="91"/>
    <n v="0"/>
    <n v="0"/>
    <n v="43.149999999999991"/>
    <n v="919.8"/>
    <n v="57"/>
    <s v="-"/>
  </r>
  <r>
    <x v="5"/>
    <x v="7"/>
    <x v="0"/>
    <x v="29"/>
    <n v="3"/>
    <x v="6"/>
    <m/>
    <m/>
    <s v="~"/>
    <n v="91"/>
    <n v="0"/>
    <n v="0"/>
    <n v="43.149999999999991"/>
    <n v="920.5"/>
    <n v="56"/>
    <s v="-"/>
  </r>
  <r>
    <x v="6"/>
    <x v="0"/>
    <x v="0"/>
    <x v="32"/>
    <n v="8"/>
    <x v="37"/>
    <m/>
    <m/>
    <s v="м"/>
    <n v="91"/>
    <n v="0"/>
    <n v="0"/>
    <n v="43.149999999999991"/>
    <n v="920.9"/>
    <n v="59"/>
    <s v="-"/>
  </r>
  <r>
    <x v="6"/>
    <x v="1"/>
    <x v="0"/>
    <x v="29"/>
    <n v="2"/>
    <x v="38"/>
    <m/>
    <m/>
    <s v="~"/>
    <n v="92"/>
    <n v="1"/>
    <n v="0"/>
    <n v="43.149999999999991"/>
    <n v="921.8"/>
    <n v="63"/>
    <s v="-"/>
  </r>
  <r>
    <x v="6"/>
    <x v="2"/>
    <x v="0"/>
    <x v="10"/>
    <n v="4"/>
    <x v="39"/>
    <m/>
    <m/>
    <s v="~"/>
    <n v="93"/>
    <n v="1"/>
    <n v="0"/>
    <n v="43.149999999999991"/>
    <n v="922.2"/>
    <n v="67"/>
    <s v="-"/>
  </r>
  <r>
    <x v="6"/>
    <x v="3"/>
    <x v="1"/>
    <x v="10"/>
    <n v="4"/>
    <x v="40"/>
    <m/>
    <m/>
    <s v="~"/>
    <n v="94"/>
    <n v="1"/>
    <n v="0"/>
    <n v="43.149999999999991"/>
    <n v="922"/>
    <n v="71"/>
    <s v="-"/>
  </r>
  <r>
    <x v="6"/>
    <x v="4"/>
    <x v="4"/>
    <x v="30"/>
    <n v="2"/>
    <x v="41"/>
    <m/>
    <m/>
    <s v="~"/>
    <n v="91"/>
    <n v="-3"/>
    <n v="0"/>
    <n v="43.149999999999991"/>
    <n v="922.2"/>
    <n v="69"/>
    <s v="-"/>
  </r>
  <r>
    <x v="6"/>
    <x v="5"/>
    <x v="1"/>
    <x v="27"/>
    <n v="12"/>
    <x v="42"/>
    <m/>
    <m/>
    <s v="м"/>
    <n v="95"/>
    <n v="4"/>
    <n v="0"/>
    <n v="43.149999999999991"/>
    <n v="922.7"/>
    <n v="69"/>
    <s v="-"/>
  </r>
  <r>
    <x v="6"/>
    <x v="6"/>
    <x v="1"/>
    <x v="31"/>
    <n v="10"/>
    <x v="43"/>
    <m/>
    <m/>
    <s v="~"/>
    <n v="95"/>
    <n v="0"/>
    <n v="0"/>
    <n v="43.149999999999991"/>
    <n v="925.5"/>
    <n v="69"/>
    <s v="-"/>
  </r>
  <r>
    <x v="6"/>
    <x v="7"/>
    <x v="0"/>
    <x v="31"/>
    <n v="8"/>
    <x v="44"/>
    <m/>
    <m/>
    <s v="~"/>
    <n v="94"/>
    <n v="-1"/>
    <n v="0"/>
    <n v="43.149999999999991"/>
    <n v="928.2"/>
    <n v="66"/>
    <s v="-"/>
  </r>
  <r>
    <x v="7"/>
    <x v="0"/>
    <x v="0"/>
    <x v="11"/>
    <n v="15"/>
    <x v="45"/>
    <m/>
    <m/>
    <s v="~"/>
    <n v="93"/>
    <n v="-1"/>
    <n v="0"/>
    <n v="43.149999999999991"/>
    <n v="929"/>
    <n v="57"/>
    <s v="-"/>
  </r>
  <r>
    <x v="7"/>
    <x v="1"/>
    <x v="1"/>
    <x v="28"/>
    <n v="12"/>
    <x v="46"/>
    <m/>
    <m/>
    <s v="~"/>
    <n v="93"/>
    <n v="0"/>
    <n v="0"/>
    <n v="43.149999999999991"/>
    <n v="930.3"/>
    <n v="52"/>
    <s v="-"/>
  </r>
  <r>
    <x v="7"/>
    <x v="2"/>
    <x v="1"/>
    <x v="30"/>
    <n v="3"/>
    <x v="47"/>
    <m/>
    <m/>
    <s v="~"/>
    <n v="90"/>
    <n v="-3"/>
    <n v="0"/>
    <n v="43.149999999999991"/>
    <n v="931.9"/>
    <n v="71"/>
    <s v="-"/>
  </r>
  <r>
    <x v="7"/>
    <x v="3"/>
    <x v="4"/>
    <x v="30"/>
    <n v="2"/>
    <x v="48"/>
    <m/>
    <m/>
    <s v="~"/>
    <n v="91"/>
    <n v="1"/>
    <n v="0"/>
    <n v="43.149999999999991"/>
    <n v="932.8"/>
    <n v="66"/>
    <s v="-"/>
  </r>
  <r>
    <x v="7"/>
    <x v="4"/>
    <x v="5"/>
    <x v="30"/>
    <n v="2"/>
    <x v="49"/>
    <m/>
    <m/>
    <s v="~"/>
    <n v="93"/>
    <n v="2"/>
    <n v="0"/>
    <n v="43.149999999999991"/>
    <n v="932.9"/>
    <n v="70"/>
    <s v="-"/>
  </r>
  <r>
    <x v="7"/>
    <x v="5"/>
    <x v="6"/>
    <x v="30"/>
    <n v="2"/>
    <x v="50"/>
    <m/>
    <m/>
    <s v="~"/>
    <n v="93"/>
    <n v="0"/>
    <n v="0"/>
    <n v="43.149999999999991"/>
    <n v="932.3"/>
    <n v="73"/>
    <s v="-"/>
  </r>
  <r>
    <x v="7"/>
    <x v="6"/>
    <x v="6"/>
    <x v="33"/>
    <n v="1"/>
    <x v="51"/>
    <m/>
    <m/>
    <s v="то"/>
    <n v="90"/>
    <n v="-3"/>
    <n v="0"/>
    <n v="43.149999999999991"/>
    <n v="931.7"/>
    <n v="91"/>
    <s v="-"/>
  </r>
  <r>
    <x v="7"/>
    <x v="7"/>
    <x v="6"/>
    <x v="30"/>
    <n v="1"/>
    <x v="52"/>
    <m/>
    <m/>
    <s v="то"/>
    <n v="95"/>
    <n v="5"/>
    <n v="0"/>
    <n v="43.149999999999991"/>
    <n v="931.4"/>
    <n v="91"/>
    <s v="-"/>
  </r>
  <r>
    <x v="8"/>
    <x v="0"/>
    <x v="4"/>
    <x v="33"/>
    <n v="1"/>
    <x v="46"/>
    <m/>
    <m/>
    <s v="то"/>
    <n v="99"/>
    <n v="4"/>
    <n v="0"/>
    <n v="43.149999999999991"/>
    <n v="930.8"/>
    <n v="89"/>
    <s v="-"/>
  </r>
  <r>
    <x v="8"/>
    <x v="1"/>
    <x v="0"/>
    <x v="29"/>
    <n v="3"/>
    <x v="53"/>
    <m/>
    <m/>
    <s v="~"/>
    <n v="98"/>
    <n v="-1"/>
    <n v="0"/>
    <n v="43.149999999999991"/>
    <n v="930.9"/>
    <n v="86"/>
    <s v="-"/>
  </r>
  <r>
    <x v="8"/>
    <x v="2"/>
    <x v="3"/>
    <x v="30"/>
    <n v="3"/>
    <x v="54"/>
    <m/>
    <m/>
    <s v="~"/>
    <n v="98"/>
    <n v="0"/>
    <n v="0"/>
    <n v="43.149999999999991"/>
    <n v="932"/>
    <n v="83"/>
    <s v="-"/>
  </r>
  <r>
    <x v="8"/>
    <x v="3"/>
    <x v="0"/>
    <x v="31"/>
    <n v="9"/>
    <x v="55"/>
    <m/>
    <m/>
    <s v="м"/>
    <n v="101"/>
    <n v="3"/>
    <n v="0"/>
    <n v="43.149999999999991"/>
    <n v="934"/>
    <n v="71"/>
    <s v="-"/>
  </r>
  <r>
    <x v="8"/>
    <x v="4"/>
    <x v="0"/>
    <x v="33"/>
    <n v="1"/>
    <x v="56"/>
    <m/>
    <m/>
    <s v="~"/>
    <n v="100"/>
    <n v="-1"/>
    <n v="0"/>
    <n v="43.149999999999991"/>
    <n v="935.6"/>
    <n v="88"/>
    <s v="-"/>
  </r>
  <r>
    <x v="8"/>
    <x v="5"/>
    <x v="1"/>
    <x v="33"/>
    <n v="1"/>
    <x v="57"/>
    <m/>
    <m/>
    <s v="~"/>
    <n v="101"/>
    <n v="1"/>
    <n v="0"/>
    <n v="43.149999999999991"/>
    <n v="935.6"/>
    <n v="78"/>
    <s v="-"/>
  </r>
  <r>
    <x v="8"/>
    <x v="6"/>
    <x v="1"/>
    <x v="29"/>
    <n v="2"/>
    <x v="50"/>
    <m/>
    <m/>
    <s v="~"/>
    <n v="100"/>
    <n v="-1"/>
    <n v="0"/>
    <n v="43.149999999999991"/>
    <n v="936.7"/>
    <n v="93"/>
    <s v="-"/>
  </r>
  <r>
    <x v="8"/>
    <x v="7"/>
    <x v="1"/>
    <x v="30"/>
    <n v="3"/>
    <x v="58"/>
    <m/>
    <m/>
    <s v="~"/>
    <n v="97"/>
    <n v="-3"/>
    <n v="0"/>
    <n v="43.149999999999991"/>
    <n v="938.5"/>
    <n v="93"/>
    <s v="-"/>
  </r>
  <r>
    <x v="9"/>
    <x v="0"/>
    <x v="0"/>
    <x v="29"/>
    <n v="4"/>
    <x v="59"/>
    <m/>
    <m/>
    <s v="м"/>
    <n v="102"/>
    <n v="5"/>
    <n v="0"/>
    <n v="43.149999999999991"/>
    <n v="940.6"/>
    <n v="71"/>
    <s v="-"/>
  </r>
  <r>
    <x v="9"/>
    <x v="1"/>
    <x v="0"/>
    <x v="10"/>
    <n v="4"/>
    <x v="15"/>
    <m/>
    <m/>
    <s v="м"/>
    <n v="99"/>
    <n v="-3"/>
    <n v="0"/>
    <n v="43.149999999999991"/>
    <n v="942.8"/>
    <n v="79"/>
    <s v="-"/>
  </r>
  <r>
    <x v="9"/>
    <x v="2"/>
    <x v="0"/>
    <x v="34"/>
    <n v="4"/>
    <x v="60"/>
    <m/>
    <m/>
    <s v="~"/>
    <n v="99"/>
    <n v="0"/>
    <n v="0"/>
    <n v="43.149999999999991"/>
    <n v="944.4"/>
    <n v="71"/>
    <s v="-"/>
  </r>
  <r>
    <x v="9"/>
    <x v="3"/>
    <x v="0"/>
    <x v="10"/>
    <n v="4"/>
    <x v="54"/>
    <m/>
    <m/>
    <s v="~"/>
    <n v="101"/>
    <n v="2"/>
    <n v="0"/>
    <n v="43.149999999999991"/>
    <n v="945.9"/>
    <n v="65"/>
    <s v="-"/>
  </r>
  <r>
    <x v="9"/>
    <x v="4"/>
    <x v="4"/>
    <x v="29"/>
    <n v="3"/>
    <x v="52"/>
    <m/>
    <m/>
    <s v="~"/>
    <n v="102"/>
    <n v="1"/>
    <n v="0"/>
    <n v="43.149999999999991"/>
    <n v="946.8"/>
    <n v="67"/>
    <s v="-"/>
  </r>
  <r>
    <x v="9"/>
    <x v="5"/>
    <x v="4"/>
    <x v="30"/>
    <n v="1"/>
    <x v="61"/>
    <m/>
    <m/>
    <s v="~"/>
    <n v="102"/>
    <n v="0"/>
    <n v="0"/>
    <n v="43.149999999999991"/>
    <n v="947"/>
    <n v="65"/>
    <s v="-"/>
  </r>
  <r>
    <x v="9"/>
    <x v="6"/>
    <x v="7"/>
    <x v="30"/>
    <n v="1"/>
    <x v="52"/>
    <m/>
    <m/>
    <s v="то"/>
    <n v="102"/>
    <n v="0"/>
    <n v="0"/>
    <n v="43.149999999999991"/>
    <n v="947.7"/>
    <n v="85"/>
    <s v="-"/>
  </r>
  <r>
    <x v="9"/>
    <x v="7"/>
    <x v="8"/>
    <x v="33"/>
    <n v="0"/>
    <x v="62"/>
    <m/>
    <m/>
    <s v="то"/>
    <n v="96"/>
    <n v="-6"/>
    <n v="0"/>
    <n v="43.149999999999991"/>
    <n v="948.4"/>
    <n v="88"/>
    <s v="-"/>
  </r>
  <r>
    <x v="10"/>
    <x v="0"/>
    <x v="6"/>
    <x v="29"/>
    <n v="3"/>
    <x v="59"/>
    <m/>
    <m/>
    <s v="то"/>
    <n v="101"/>
    <n v="5"/>
    <n v="0"/>
    <n v="43.149999999999991"/>
    <n v="948.4"/>
    <n v="86"/>
    <s v="-"/>
  </r>
  <r>
    <x v="10"/>
    <x v="1"/>
    <x v="6"/>
    <x v="30"/>
    <n v="2"/>
    <x v="62"/>
    <m/>
    <m/>
    <s v="~"/>
    <n v="101"/>
    <n v="0"/>
    <n v="0"/>
    <n v="43.149999999999991"/>
    <n v="947.9"/>
    <n v="85"/>
    <s v="-"/>
  </r>
  <r>
    <x v="10"/>
    <x v="2"/>
    <x v="4"/>
    <x v="30"/>
    <n v="2"/>
    <x v="63"/>
    <m/>
    <m/>
    <s v="~"/>
    <n v="100"/>
    <n v="-1"/>
    <n v="0"/>
    <n v="43.149999999999991"/>
    <n v="948.3"/>
    <n v="86"/>
    <s v="-"/>
  </r>
  <r>
    <x v="10"/>
    <x v="3"/>
    <x v="0"/>
    <x v="10"/>
    <n v="4"/>
    <x v="64"/>
    <m/>
    <m/>
    <s v="~"/>
    <n v="99"/>
    <n v="-1"/>
    <n v="0"/>
    <n v="43.149999999999991"/>
    <n v="948.7"/>
    <n v="84"/>
    <s v="-"/>
  </r>
  <r>
    <x v="10"/>
    <x v="4"/>
    <x v="0"/>
    <x v="10"/>
    <n v="3"/>
    <x v="65"/>
    <m/>
    <m/>
    <s v="~"/>
    <n v="99"/>
    <n v="0"/>
    <n v="0"/>
    <n v="43.149999999999991"/>
    <n v="948.7"/>
    <n v="75"/>
    <s v="-"/>
  </r>
  <r>
    <x v="10"/>
    <x v="5"/>
    <x v="0"/>
    <x v="33"/>
    <n v="1"/>
    <x v="56"/>
    <m/>
    <m/>
    <s v="~"/>
    <n v="100"/>
    <n v="1"/>
    <n v="0"/>
    <n v="43.149999999999991"/>
    <n v="948.1"/>
    <n v="70"/>
    <s v="-"/>
  </r>
  <r>
    <x v="10"/>
    <x v="6"/>
    <x v="0"/>
    <x v="29"/>
    <n v="3"/>
    <x v="53"/>
    <m/>
    <m/>
    <s v="~"/>
    <n v="100"/>
    <n v="0"/>
    <n v="0"/>
    <n v="43.149999999999991"/>
    <n v="949.1"/>
    <n v="74"/>
    <s v="-"/>
  </r>
  <r>
    <x v="10"/>
    <x v="7"/>
    <x v="0"/>
    <x v="10"/>
    <n v="3"/>
    <x v="66"/>
    <m/>
    <m/>
    <s v="~"/>
    <n v="100"/>
    <n v="0"/>
    <n v="0"/>
    <n v="43.149999999999991"/>
    <n v="950.5"/>
    <n v="73"/>
    <s v="-"/>
  </r>
  <r>
    <x v="11"/>
    <x v="0"/>
    <x v="0"/>
    <x v="10"/>
    <n v="4"/>
    <x v="67"/>
    <m/>
    <m/>
    <s v="~"/>
    <n v="100"/>
    <n v="0"/>
    <n v="0"/>
    <n v="43.149999999999991"/>
    <n v="950.6"/>
    <n v="63"/>
    <s v="-"/>
  </r>
  <r>
    <x v="11"/>
    <x v="1"/>
    <x v="3"/>
    <x v="34"/>
    <n v="4"/>
    <x v="17"/>
    <m/>
    <m/>
    <s v="~"/>
    <n v="99"/>
    <n v="-1"/>
    <n v="0"/>
    <n v="43.149999999999991"/>
    <n v="950.3"/>
    <n v="55"/>
    <s v="-"/>
  </r>
  <r>
    <x v="11"/>
    <x v="2"/>
    <x v="3"/>
    <x v="10"/>
    <n v="4"/>
    <x v="16"/>
    <m/>
    <m/>
    <s v="~"/>
    <n v="97"/>
    <n v="-2"/>
    <n v="0"/>
    <n v="43.149999999999991"/>
    <n v="950.8"/>
    <n v="55"/>
    <s v="-"/>
  </r>
  <r>
    <x v="11"/>
    <x v="3"/>
    <x v="0"/>
    <x v="10"/>
    <n v="4"/>
    <x v="68"/>
    <m/>
    <m/>
    <s v="~"/>
    <n v="97"/>
    <n v="0"/>
    <n v="0"/>
    <n v="43.149999999999991"/>
    <n v="951.7"/>
    <n v="50"/>
    <s v="-"/>
  </r>
  <r>
    <x v="11"/>
    <x v="4"/>
    <x v="0"/>
    <x v="29"/>
    <n v="3"/>
    <x v="48"/>
    <m/>
    <m/>
    <s v="~"/>
    <n v="99"/>
    <n v="2"/>
    <n v="0"/>
    <n v="43.149999999999991"/>
    <n v="951.5"/>
    <n v="50"/>
    <s v="-"/>
  </r>
  <r>
    <x v="11"/>
    <x v="5"/>
    <x v="0"/>
    <x v="29"/>
    <n v="3"/>
    <x v="59"/>
    <m/>
    <m/>
    <s v="~"/>
    <n v="98"/>
    <n v="-1"/>
    <n v="0"/>
    <n v="43.149999999999991"/>
    <n v="950.7"/>
    <n v="52"/>
    <s v="-"/>
  </r>
  <r>
    <x v="11"/>
    <x v="6"/>
    <x v="0"/>
    <x v="34"/>
    <n v="5"/>
    <x v="69"/>
    <m/>
    <m/>
    <s v="~"/>
    <n v="95"/>
    <n v="-3"/>
    <n v="0"/>
    <n v="43.149999999999991"/>
    <n v="951.5"/>
    <n v="57"/>
    <s v="-"/>
  </r>
  <r>
    <x v="11"/>
    <x v="7"/>
    <x v="0"/>
    <x v="30"/>
    <n v="2"/>
    <x v="35"/>
    <m/>
    <m/>
    <s v="~"/>
    <n v="95"/>
    <n v="0"/>
    <n v="0"/>
    <n v="43.149999999999991"/>
    <n v="952.3"/>
    <n v="65"/>
    <s v="-"/>
  </r>
  <r>
    <x v="12"/>
    <x v="0"/>
    <x v="1"/>
    <x v="29"/>
    <n v="3"/>
    <x v="70"/>
    <m/>
    <m/>
    <s v="~"/>
    <n v="94"/>
    <n v="-1"/>
    <n v="0"/>
    <n v="43.149999999999991"/>
    <n v="952"/>
    <n v="67"/>
    <s v="-"/>
  </r>
  <r>
    <x v="12"/>
    <x v="1"/>
    <x v="1"/>
    <x v="29"/>
    <n v="4"/>
    <x v="38"/>
    <m/>
    <m/>
    <s v="~"/>
    <n v="96"/>
    <n v="2"/>
    <n v="0"/>
    <n v="43.149999999999991"/>
    <n v="951.3"/>
    <n v="70"/>
    <s v="-"/>
  </r>
  <r>
    <x v="12"/>
    <x v="2"/>
    <x v="0"/>
    <x v="30"/>
    <n v="2"/>
    <x v="71"/>
    <m/>
    <m/>
    <s v="~"/>
    <n v="97"/>
    <n v="1"/>
    <n v="0"/>
    <n v="43.149999999999991"/>
    <n v="951.6"/>
    <n v="70"/>
    <s v="-"/>
  </r>
  <r>
    <x v="12"/>
    <x v="3"/>
    <x v="0"/>
    <x v="30"/>
    <n v="1"/>
    <x v="54"/>
    <m/>
    <m/>
    <s v="~"/>
    <n v="100"/>
    <n v="3"/>
    <n v="0"/>
    <n v="43.149999999999991"/>
    <n v="952.7"/>
    <n v="64"/>
    <s v="-"/>
  </r>
  <r>
    <x v="12"/>
    <x v="4"/>
    <x v="9"/>
    <x v="30"/>
    <n v="2"/>
    <x v="44"/>
    <m/>
    <m/>
    <s v="~"/>
    <n v="102"/>
    <n v="2"/>
    <n v="0"/>
    <n v="43.149999999999991"/>
    <n v="953"/>
    <n v="60"/>
    <s v="-"/>
  </r>
  <r>
    <x v="12"/>
    <x v="5"/>
    <x v="0"/>
    <x v="30"/>
    <n v="2"/>
    <x v="72"/>
    <m/>
    <m/>
    <s v="~"/>
    <n v="102"/>
    <n v="0"/>
    <n v="0"/>
    <n v="43.149999999999991"/>
    <n v="952.4"/>
    <n v="70"/>
    <s v="-"/>
  </r>
  <r>
    <x v="12"/>
    <x v="6"/>
    <x v="0"/>
    <x v="30"/>
    <n v="2"/>
    <x v="73"/>
    <m/>
    <m/>
    <s v="~"/>
    <n v="103"/>
    <n v="1"/>
    <n v="0"/>
    <n v="43.149999999999991"/>
    <n v="952.3"/>
    <n v="76"/>
    <s v="-"/>
  </r>
  <r>
    <x v="12"/>
    <x v="7"/>
    <x v="0"/>
    <x v="29"/>
    <n v="3"/>
    <x v="72"/>
    <m/>
    <m/>
    <s v="~"/>
    <n v="102"/>
    <n v="-1"/>
    <n v="0"/>
    <n v="43.149999999999991"/>
    <n v="953.7"/>
    <n v="74"/>
    <s v="-"/>
  </r>
  <r>
    <x v="13"/>
    <x v="0"/>
    <x v="0"/>
    <x v="10"/>
    <n v="5"/>
    <x v="74"/>
    <m/>
    <m/>
    <s v="~"/>
    <n v="101"/>
    <n v="-1"/>
    <n v="0"/>
    <n v="43.149999999999991"/>
    <n v="953.9"/>
    <n v="77"/>
    <s v="-"/>
  </r>
  <r>
    <x v="13"/>
    <x v="1"/>
    <x v="0"/>
    <x v="10"/>
    <n v="4"/>
    <x v="75"/>
    <m/>
    <m/>
    <s v="~"/>
    <n v="103"/>
    <n v="2"/>
    <n v="0"/>
    <n v="43.149999999999991"/>
    <n v="954.4"/>
    <n v="72"/>
    <s v="-"/>
  </r>
  <r>
    <x v="13"/>
    <x v="2"/>
    <x v="0"/>
    <x v="10"/>
    <n v="3"/>
    <x v="76"/>
    <m/>
    <m/>
    <s v="~"/>
    <n v="102"/>
    <n v="-1"/>
    <n v="0"/>
    <n v="43.149999999999991"/>
    <n v="954.6"/>
    <n v="69"/>
    <s v="-"/>
  </r>
  <r>
    <x v="13"/>
    <x v="3"/>
    <x v="0"/>
    <x v="10"/>
    <n v="4"/>
    <x v="76"/>
    <m/>
    <m/>
    <s v="~"/>
    <n v="102"/>
    <n v="0"/>
    <n v="0"/>
    <n v="43.149999999999991"/>
    <n v="955.3"/>
    <n v="69"/>
    <s v="-"/>
  </r>
  <r>
    <x v="13"/>
    <x v="4"/>
    <x v="0"/>
    <x v="30"/>
    <n v="2"/>
    <x v="77"/>
    <m/>
    <m/>
    <s v="~"/>
    <n v="102"/>
    <n v="0"/>
    <n v="0"/>
    <n v="43.149999999999991"/>
    <n v="955.8"/>
    <n v="68"/>
    <s v="-"/>
  </r>
  <r>
    <x v="13"/>
    <x v="5"/>
    <x v="0"/>
    <x v="33"/>
    <n v="1"/>
    <x v="78"/>
    <m/>
    <m/>
    <s v="~"/>
    <n v="104"/>
    <n v="2"/>
    <n v="0"/>
    <n v="43.149999999999991"/>
    <n v="955.4"/>
    <n v="57"/>
    <s v="-"/>
  </r>
  <r>
    <x v="13"/>
    <x v="6"/>
    <x v="0"/>
    <x v="29"/>
    <n v="3"/>
    <x v="79"/>
    <m/>
    <m/>
    <s v="~"/>
    <n v="100"/>
    <n v="-4"/>
    <n v="0"/>
    <n v="43.149999999999991"/>
    <n v="956.1"/>
    <n v="78"/>
    <s v="-"/>
  </r>
  <r>
    <x v="13"/>
    <x v="7"/>
    <x v="0"/>
    <x v="10"/>
    <n v="4"/>
    <x v="57"/>
    <m/>
    <m/>
    <s v="~"/>
    <n v="100"/>
    <n v="0"/>
    <n v="0"/>
    <n v="43.149999999999991"/>
    <n v="957.1"/>
    <n v="79"/>
    <s v="-"/>
  </r>
  <r>
    <x v="14"/>
    <x v="0"/>
    <x v="0"/>
    <x v="29"/>
    <n v="3"/>
    <x v="80"/>
    <m/>
    <m/>
    <s v="~"/>
    <n v="100"/>
    <n v="0"/>
    <n v="0"/>
    <n v="43.149999999999991"/>
    <n v="956.9"/>
    <n v="78"/>
    <s v="-"/>
  </r>
  <r>
    <x v="14"/>
    <x v="1"/>
    <x v="1"/>
    <x v="29"/>
    <n v="3"/>
    <x v="58"/>
    <m/>
    <m/>
    <s v="~"/>
    <n v="99"/>
    <n v="-1"/>
    <n v="0"/>
    <n v="43.149999999999991"/>
    <n v="955.9"/>
    <n v="82"/>
    <s v="-"/>
  </r>
  <r>
    <x v="14"/>
    <x v="2"/>
    <x v="1"/>
    <x v="30"/>
    <n v="3"/>
    <x v="81"/>
    <m/>
    <m/>
    <s v="~"/>
    <n v="98"/>
    <n v="-1"/>
    <n v="0"/>
    <n v="43.149999999999991"/>
    <n v="955.2"/>
    <n v="78"/>
    <s v="-"/>
  </r>
  <r>
    <x v="14"/>
    <x v="3"/>
    <x v="1"/>
    <x v="10"/>
    <n v="4"/>
    <x v="44"/>
    <m/>
    <m/>
    <s v="~"/>
    <n v="99"/>
    <n v="1"/>
    <n v="0"/>
    <n v="43.149999999999991"/>
    <n v="955.5"/>
    <n v="74"/>
    <s v="-"/>
  </r>
  <r>
    <x v="14"/>
    <x v="4"/>
    <x v="0"/>
    <x v="30"/>
    <n v="2"/>
    <x v="82"/>
    <m/>
    <m/>
    <s v="~"/>
    <n v="100"/>
    <n v="1"/>
    <n v="0"/>
    <n v="43.149999999999991"/>
    <n v="954.6"/>
    <n v="72"/>
    <s v="-"/>
  </r>
  <r>
    <x v="14"/>
    <x v="5"/>
    <x v="0"/>
    <x v="29"/>
    <n v="3"/>
    <x v="73"/>
    <m/>
    <m/>
    <s v="~"/>
    <n v="100"/>
    <n v="0"/>
    <n v="0"/>
    <n v="43.149999999999991"/>
    <n v="953.2"/>
    <n v="81"/>
    <s v="-"/>
  </r>
  <r>
    <x v="14"/>
    <x v="6"/>
    <x v="0"/>
    <x v="29"/>
    <n v="3"/>
    <x v="83"/>
    <m/>
    <m/>
    <s v="~"/>
    <n v="99"/>
    <n v="-1"/>
    <n v="0"/>
    <n v="43.149999999999991"/>
    <n v="952.6"/>
    <n v="75"/>
    <s v="-"/>
  </r>
  <r>
    <x v="14"/>
    <x v="7"/>
    <x v="0"/>
    <x v="29"/>
    <n v="5"/>
    <x v="84"/>
    <m/>
    <m/>
    <s v="~"/>
    <n v="99"/>
    <n v="0"/>
    <n v="0"/>
    <n v="43.149999999999991"/>
    <n v="952.1"/>
    <n v="69"/>
    <s v="-"/>
  </r>
  <r>
    <x v="15"/>
    <x v="0"/>
    <x v="0"/>
    <x v="29"/>
    <n v="4"/>
    <x v="85"/>
    <m/>
    <m/>
    <s v="~"/>
    <n v="99"/>
    <n v="0"/>
    <n v="0"/>
    <n v="43.149999999999991"/>
    <n v="951.3"/>
    <n v="61"/>
    <s v="-"/>
  </r>
  <r>
    <x v="15"/>
    <x v="1"/>
    <x v="0"/>
    <x v="33"/>
    <n v="1"/>
    <x v="86"/>
    <m/>
    <m/>
    <s v="~"/>
    <n v="99"/>
    <n v="0"/>
    <n v="0"/>
    <n v="43.149999999999991"/>
    <n v="950.5"/>
    <n v="57"/>
    <s v="-"/>
  </r>
  <r>
    <x v="15"/>
    <x v="2"/>
    <x v="0"/>
    <x v="30"/>
    <n v="2"/>
    <x v="87"/>
    <m/>
    <m/>
    <s v="~"/>
    <n v="98"/>
    <n v="-1"/>
    <n v="0"/>
    <n v="43.149999999999991"/>
    <n v="950.1"/>
    <n v="67"/>
    <s v="-"/>
  </r>
  <r>
    <x v="15"/>
    <x v="3"/>
    <x v="0"/>
    <x v="30"/>
    <n v="2"/>
    <x v="88"/>
    <m/>
    <m/>
    <s v="~"/>
    <n v="98"/>
    <n v="0"/>
    <n v="0"/>
    <n v="43.149999999999991"/>
    <n v="950.4"/>
    <n v="70"/>
    <s v="-"/>
  </r>
  <r>
    <x v="15"/>
    <x v="4"/>
    <x v="1"/>
    <x v="30"/>
    <n v="2"/>
    <x v="37"/>
    <m/>
    <m/>
    <s v="~"/>
    <n v="99"/>
    <n v="1"/>
    <n v="0"/>
    <n v="43.149999999999991"/>
    <n v="950"/>
    <n v="59"/>
    <s v="-"/>
  </r>
  <r>
    <x v="15"/>
    <x v="5"/>
    <x v="1"/>
    <x v="30"/>
    <n v="2"/>
    <x v="89"/>
    <m/>
    <m/>
    <s v="~"/>
    <n v="100"/>
    <n v="1"/>
    <n v="0"/>
    <n v="43.149999999999991"/>
    <n v="948.4"/>
    <n v="61"/>
    <s v="-"/>
  </r>
  <r>
    <x v="15"/>
    <x v="6"/>
    <x v="1"/>
    <x v="29"/>
    <n v="3"/>
    <x v="55"/>
    <m/>
    <m/>
    <s v="~"/>
    <n v="98"/>
    <n v="-2"/>
    <n v="0"/>
    <n v="43.149999999999991"/>
    <n v="948"/>
    <n v="77"/>
    <s v="-"/>
  </r>
  <r>
    <x v="15"/>
    <x v="7"/>
    <x v="4"/>
    <x v="10"/>
    <n v="3"/>
    <x v="90"/>
    <m/>
    <m/>
    <s v="~"/>
    <n v="97"/>
    <n v="-1"/>
    <n v="0"/>
    <n v="43.149999999999991"/>
    <n v="947.4"/>
    <n v="79"/>
    <s v="-"/>
  </r>
  <r>
    <x v="16"/>
    <x v="0"/>
    <x v="4"/>
    <x v="10"/>
    <n v="3"/>
    <x v="39"/>
    <m/>
    <m/>
    <s v="~"/>
    <n v="97"/>
    <n v="0"/>
    <n v="0"/>
    <n v="43.149999999999991"/>
    <n v="945.8"/>
    <n v="83"/>
    <s v="-"/>
  </r>
  <r>
    <x v="16"/>
    <x v="1"/>
    <x v="4"/>
    <x v="29"/>
    <n v="3"/>
    <x v="91"/>
    <m/>
    <m/>
    <s v="~"/>
    <n v="97"/>
    <n v="0"/>
    <n v="0"/>
    <n v="43.149999999999991"/>
    <n v="944"/>
    <n v="79"/>
    <s v="-"/>
  </r>
  <r>
    <x v="16"/>
    <x v="2"/>
    <x v="4"/>
    <x v="30"/>
    <n v="3"/>
    <x v="60"/>
    <m/>
    <m/>
    <s v="~"/>
    <n v="96"/>
    <n v="-1"/>
    <n v="0"/>
    <n v="43.149999999999991"/>
    <n v="942.2"/>
    <n v="91"/>
    <s v="-"/>
  </r>
  <r>
    <x v="16"/>
    <x v="3"/>
    <x v="4"/>
    <x v="30"/>
    <n v="2"/>
    <x v="69"/>
    <m/>
    <m/>
    <s v="~"/>
    <n v="97"/>
    <n v="1"/>
    <n v="0"/>
    <n v="43.149999999999991"/>
    <n v="940.5"/>
    <n v="84"/>
    <s v="-"/>
  </r>
  <r>
    <x v="16"/>
    <x v="4"/>
    <x v="0"/>
    <x v="30"/>
    <n v="1"/>
    <x v="92"/>
    <m/>
    <m/>
    <s v="~"/>
    <n v="99"/>
    <n v="2"/>
    <n v="0"/>
    <n v="43.149999999999991"/>
    <n v="938.5"/>
    <n v="70"/>
    <s v="-"/>
  </r>
  <r>
    <x v="16"/>
    <x v="5"/>
    <x v="0"/>
    <x v="33"/>
    <n v="1"/>
    <x v="86"/>
    <m/>
    <m/>
    <s v="~"/>
    <n v="100"/>
    <n v="1"/>
    <n v="0"/>
    <n v="43.149999999999991"/>
    <n v="936.2"/>
    <n v="66"/>
    <s v="-"/>
  </r>
  <r>
    <x v="16"/>
    <x v="6"/>
    <x v="0"/>
    <x v="30"/>
    <n v="2"/>
    <x v="88"/>
    <m/>
    <m/>
    <s v="~"/>
    <n v="99"/>
    <n v="-1"/>
    <n v="0"/>
    <n v="43.149999999999991"/>
    <n v="935.3"/>
    <n v="84"/>
    <s v="-"/>
  </r>
  <r>
    <x v="16"/>
    <x v="7"/>
    <x v="0"/>
    <x v="30"/>
    <n v="2"/>
    <x v="51"/>
    <m/>
    <m/>
    <s v="~"/>
    <n v="98"/>
    <n v="-1"/>
    <n v="0"/>
    <n v="43.149999999999991"/>
    <n v="934"/>
    <n v="85"/>
    <s v="-"/>
  </r>
  <r>
    <x v="17"/>
    <x v="0"/>
    <x v="0"/>
    <x v="30"/>
    <n v="2"/>
    <x v="93"/>
    <m/>
    <m/>
    <s v="~"/>
    <n v="99"/>
    <n v="1"/>
    <n v="0"/>
    <n v="43.149999999999991"/>
    <n v="932"/>
    <n v="88"/>
    <s v="-"/>
  </r>
  <r>
    <x v="17"/>
    <x v="1"/>
    <x v="1"/>
    <x v="30"/>
    <n v="2"/>
    <x v="56"/>
    <m/>
    <m/>
    <s v="~"/>
    <n v="99"/>
    <n v="0"/>
    <n v="0"/>
    <n v="43.149999999999991"/>
    <n v="929.5"/>
    <n v="79"/>
    <s v="-"/>
  </r>
  <r>
    <x v="17"/>
    <x v="2"/>
    <x v="1"/>
    <x v="30"/>
    <n v="3"/>
    <x v="86"/>
    <m/>
    <m/>
    <s v="~"/>
    <n v="100"/>
    <n v="1"/>
    <n v="0"/>
    <n v="43.149999999999991"/>
    <n v="926.6"/>
    <n v="74"/>
    <s v="-"/>
  </r>
  <r>
    <x v="17"/>
    <x v="3"/>
    <x v="4"/>
    <x v="29"/>
    <n v="3"/>
    <x v="44"/>
    <m/>
    <m/>
    <s v="т"/>
    <n v="100"/>
    <n v="0"/>
    <n v="0"/>
    <n v="43.149999999999991"/>
    <n v="924.6"/>
    <n v="91"/>
    <s v="-"/>
  </r>
  <r>
    <x v="17"/>
    <x v="4"/>
    <x v="4"/>
    <x v="29"/>
    <n v="3"/>
    <x v="94"/>
    <m/>
    <m/>
    <s v="т, то"/>
    <n v="101"/>
    <n v="1"/>
    <n v="0"/>
    <n v="43.149999999999991"/>
    <n v="920.5"/>
    <n v="92"/>
    <s v="-"/>
  </r>
  <r>
    <x v="17"/>
    <x v="5"/>
    <x v="4"/>
    <x v="30"/>
    <n v="2"/>
    <x v="95"/>
    <m/>
    <m/>
    <s v="~"/>
    <n v="100"/>
    <n v="-1"/>
    <n v="0"/>
    <n v="43.149999999999991"/>
    <n v="916.1"/>
    <n v="95"/>
    <s v="-"/>
  </r>
  <r>
    <x v="17"/>
    <x v="6"/>
    <x v="1"/>
    <x v="35"/>
    <n v="18"/>
    <x v="37"/>
    <m/>
    <m/>
    <s v="т, то, м"/>
    <n v="101"/>
    <n v="1"/>
    <n v="0"/>
    <n v="43.149999999999991"/>
    <n v="914.5"/>
    <n v="88"/>
    <s v="-"/>
  </r>
  <r>
    <x v="17"/>
    <x v="7"/>
    <x v="0"/>
    <x v="36"/>
    <n v="20"/>
    <x v="96"/>
    <m/>
    <m/>
    <s v="м"/>
    <n v="99"/>
    <n v="-2"/>
    <n v="0"/>
    <n v="43.149999999999991"/>
    <n v="916"/>
    <n v="68"/>
    <s v="-"/>
  </r>
  <r>
    <x v="18"/>
    <x v="0"/>
    <x v="0"/>
    <x v="35"/>
    <n v="19"/>
    <x v="56"/>
    <m/>
    <m/>
    <s v="м"/>
    <n v="99"/>
    <n v="0"/>
    <n v="0"/>
    <n v="43.149999999999991"/>
    <n v="916.9"/>
    <n v="75"/>
    <s v="-"/>
  </r>
  <r>
    <x v="18"/>
    <x v="1"/>
    <x v="0"/>
    <x v="11"/>
    <n v="15"/>
    <x v="97"/>
    <m/>
    <m/>
    <s v="м"/>
    <n v="98"/>
    <n v="-1"/>
    <n v="0"/>
    <n v="43.149999999999991"/>
    <n v="917.2"/>
    <n v="61"/>
    <s v="-"/>
  </r>
  <r>
    <x v="18"/>
    <x v="2"/>
    <x v="0"/>
    <x v="28"/>
    <n v="14"/>
    <x v="65"/>
    <m/>
    <m/>
    <s v="~"/>
    <n v="98"/>
    <n v="0"/>
    <n v="0"/>
    <n v="43.149999999999991"/>
    <n v="917.7"/>
    <n v="59"/>
    <s v="-"/>
  </r>
  <r>
    <x v="18"/>
    <x v="3"/>
    <x v="0"/>
    <x v="11"/>
    <n v="15"/>
    <x v="91"/>
    <m/>
    <m/>
    <s v="~"/>
    <n v="97"/>
    <n v="-1"/>
    <n v="0"/>
    <n v="43.149999999999991"/>
    <n v="917.3"/>
    <n v="57"/>
    <s v="-"/>
  </r>
  <r>
    <x v="18"/>
    <x v="4"/>
    <x v="0"/>
    <x v="28"/>
    <n v="12"/>
    <x v="62"/>
    <m/>
    <m/>
    <s v="~"/>
    <n v="98"/>
    <n v="1"/>
    <n v="0"/>
    <n v="43.149999999999991"/>
    <n v="917.4"/>
    <n v="57"/>
    <s v="-"/>
  </r>
  <r>
    <x v="18"/>
    <x v="5"/>
    <x v="0"/>
    <x v="31"/>
    <n v="9"/>
    <x v="98"/>
    <m/>
    <m/>
    <s v="~"/>
    <n v="99"/>
    <n v="1"/>
    <n v="0"/>
    <n v="43.149999999999991"/>
    <n v="915.5"/>
    <n v="48"/>
    <s v="-"/>
  </r>
  <r>
    <x v="18"/>
    <x v="6"/>
    <x v="0"/>
    <x v="29"/>
    <n v="3"/>
    <x v="51"/>
    <m/>
    <m/>
    <s v="~"/>
    <n v="99"/>
    <n v="0"/>
    <n v="0"/>
    <n v="43.149999999999991"/>
    <n v="913.8"/>
    <n v="46"/>
    <s v="-"/>
  </r>
  <r>
    <x v="18"/>
    <x v="7"/>
    <x v="0"/>
    <x v="34"/>
    <n v="4"/>
    <x v="67"/>
    <m/>
    <m/>
    <s v="~"/>
    <n v="98"/>
    <n v="-1"/>
    <n v="0"/>
    <n v="43.149999999999991"/>
    <n v="912.2"/>
    <n v="52"/>
    <s v="-"/>
  </r>
  <r>
    <x v="19"/>
    <x v="0"/>
    <x v="3"/>
    <x v="29"/>
    <n v="3"/>
    <x v="99"/>
    <m/>
    <m/>
    <s v="~"/>
    <n v="98"/>
    <n v="0"/>
    <n v="0"/>
    <n v="43.149999999999991"/>
    <n v="909.7"/>
    <n v="46"/>
    <s v="-"/>
  </r>
  <r>
    <x v="19"/>
    <x v="1"/>
    <x v="2"/>
    <x v="10"/>
    <n v="4"/>
    <x v="100"/>
    <m/>
    <m/>
    <s v="~"/>
    <n v="97"/>
    <n v="-1"/>
    <n v="0"/>
    <n v="43.149999999999991"/>
    <n v="908"/>
    <n v="50"/>
    <s v="-"/>
  </r>
  <r>
    <x v="19"/>
    <x v="2"/>
    <x v="3"/>
    <x v="30"/>
    <n v="2"/>
    <x v="100"/>
    <m/>
    <m/>
    <s v="~"/>
    <n v="97"/>
    <n v="0"/>
    <n v="0"/>
    <n v="43.149999999999991"/>
    <n v="906.9"/>
    <n v="51"/>
    <s v="-"/>
  </r>
  <r>
    <x v="19"/>
    <x v="3"/>
    <x v="0"/>
    <x v="29"/>
    <n v="5"/>
    <x v="101"/>
    <m/>
    <m/>
    <s v="~"/>
    <n v="98"/>
    <n v="1"/>
    <n v="0"/>
    <n v="43.149999999999991"/>
    <n v="907.1"/>
    <n v="54"/>
    <s v="-"/>
  </r>
  <r>
    <x v="19"/>
    <x v="4"/>
    <x v="0"/>
    <x v="31"/>
    <n v="8"/>
    <x v="59"/>
    <m/>
    <m/>
    <s v="~"/>
    <n v="99"/>
    <n v="1"/>
    <n v="0"/>
    <n v="43.149999999999991"/>
    <n v="907.3"/>
    <n v="61"/>
    <s v="-"/>
  </r>
  <r>
    <x v="19"/>
    <x v="5"/>
    <x v="0"/>
    <x v="13"/>
    <n v="9"/>
    <x v="90"/>
    <m/>
    <m/>
    <s v="~"/>
    <n v="99"/>
    <n v="0"/>
    <n v="0"/>
    <n v="43.149999999999991"/>
    <n v="906.5"/>
    <n v="58"/>
    <s v="-"/>
  </r>
  <r>
    <x v="19"/>
    <x v="6"/>
    <x v="0"/>
    <x v="10"/>
    <n v="4"/>
    <x v="102"/>
    <m/>
    <m/>
    <s v="~"/>
    <n v="98"/>
    <n v="-1"/>
    <n v="0"/>
    <n v="43.149999999999991"/>
    <n v="906"/>
    <n v="56"/>
    <s v="-"/>
  </r>
  <r>
    <x v="19"/>
    <x v="7"/>
    <x v="0"/>
    <x v="10"/>
    <n v="4"/>
    <x v="47"/>
    <m/>
    <m/>
    <s v="~"/>
    <n v="97"/>
    <n v="-1"/>
    <n v="0"/>
    <n v="43.149999999999991"/>
    <n v="906.3"/>
    <n v="65"/>
    <s v="-"/>
  </r>
  <r>
    <x v="20"/>
    <x v="0"/>
    <x v="0"/>
    <x v="10"/>
    <n v="4"/>
    <x v="71"/>
    <m/>
    <m/>
    <s v="~"/>
    <n v="97"/>
    <n v="0"/>
    <n v="0"/>
    <n v="43.149999999999991"/>
    <n v="906.2"/>
    <n v="60"/>
    <s v="-"/>
  </r>
  <r>
    <x v="20"/>
    <x v="1"/>
    <x v="3"/>
    <x v="32"/>
    <n v="7"/>
    <x v="103"/>
    <m/>
    <m/>
    <s v="~"/>
    <n v="98"/>
    <n v="1"/>
    <n v="0"/>
    <n v="43.149999999999991"/>
    <n v="908"/>
    <n v="55"/>
    <s v="-"/>
  </r>
  <r>
    <x v="20"/>
    <x v="2"/>
    <x v="3"/>
    <x v="27"/>
    <n v="14"/>
    <x v="104"/>
    <m/>
    <m/>
    <s v="~"/>
    <n v="98"/>
    <n v="0"/>
    <n v="0"/>
    <n v="43.149999999999991"/>
    <n v="911"/>
    <n v="72"/>
    <s v="-"/>
  </r>
  <r>
    <x v="20"/>
    <x v="3"/>
    <x v="3"/>
    <x v="36"/>
    <n v="19"/>
    <x v="103"/>
    <m/>
    <m/>
    <s v="то, м"/>
    <n v="97"/>
    <n v="-1"/>
    <n v="0"/>
    <n v="43.149999999999991"/>
    <n v="914.6"/>
    <n v="73"/>
    <s v="-"/>
  </r>
  <r>
    <x v="20"/>
    <x v="4"/>
    <x v="3"/>
    <x v="37"/>
    <n v="17"/>
    <x v="59"/>
    <m/>
    <m/>
    <s v="м"/>
    <n v="96"/>
    <n v="-1"/>
    <n v="0"/>
    <n v="43.149999999999991"/>
    <n v="918.4"/>
    <n v="67"/>
    <s v="-"/>
  </r>
  <r>
    <x v="20"/>
    <x v="5"/>
    <x v="3"/>
    <x v="36"/>
    <n v="20"/>
    <x v="81"/>
    <m/>
    <m/>
    <s v="~"/>
    <n v="96"/>
    <n v="0"/>
    <n v="0"/>
    <n v="43.149999999999991"/>
    <n v="921.3"/>
    <n v="60"/>
    <s v="-"/>
  </r>
  <r>
    <x v="20"/>
    <x v="6"/>
    <x v="0"/>
    <x v="27"/>
    <n v="16"/>
    <x v="105"/>
    <m/>
    <m/>
    <s v="~"/>
    <n v="96"/>
    <n v="0"/>
    <n v="0"/>
    <n v="43.149999999999991"/>
    <n v="924.7"/>
    <n v="54"/>
    <s v="-"/>
  </r>
  <r>
    <x v="20"/>
    <x v="7"/>
    <x v="0"/>
    <x v="28"/>
    <n v="18"/>
    <x v="106"/>
    <m/>
    <m/>
    <s v="~"/>
    <n v="95"/>
    <n v="-1"/>
    <n v="0"/>
    <n v="43.149999999999991"/>
    <n v="928.6"/>
    <n v="50"/>
    <s v="-"/>
  </r>
  <r>
    <x v="21"/>
    <x v="0"/>
    <x v="0"/>
    <x v="27"/>
    <n v="11"/>
    <x v="52"/>
    <m/>
    <m/>
    <s v="~"/>
    <n v="95"/>
    <n v="0"/>
    <n v="0"/>
    <n v="43.149999999999991"/>
    <n v="930"/>
    <n v="47"/>
    <s v="-"/>
  </r>
  <r>
    <x v="21"/>
    <x v="1"/>
    <x v="0"/>
    <x v="13"/>
    <n v="14"/>
    <x v="88"/>
    <m/>
    <m/>
    <s v="~"/>
    <n v="96"/>
    <n v="1"/>
    <n v="0"/>
    <n v="43.149999999999991"/>
    <n v="930.2"/>
    <n v="54"/>
    <s v="-"/>
  </r>
  <r>
    <x v="21"/>
    <x v="2"/>
    <x v="0"/>
    <x v="37"/>
    <n v="20"/>
    <x v="87"/>
    <m/>
    <m/>
    <s v="~"/>
    <n v="94"/>
    <n v="-2"/>
    <n v="0"/>
    <n v="43.149999999999991"/>
    <n v="930.1"/>
    <n v="63"/>
    <s v="-"/>
  </r>
  <r>
    <x v="21"/>
    <x v="3"/>
    <x v="0"/>
    <x v="37"/>
    <n v="18"/>
    <x v="37"/>
    <m/>
    <m/>
    <s v="~"/>
    <n v="95"/>
    <n v="1"/>
    <n v="0"/>
    <n v="43.149999999999991"/>
    <n v="929"/>
    <n v="63"/>
    <s v="-"/>
  </r>
  <r>
    <x v="21"/>
    <x v="4"/>
    <x v="0"/>
    <x v="28"/>
    <n v="14"/>
    <x v="107"/>
    <m/>
    <m/>
    <s v="~"/>
    <n v="95"/>
    <n v="0"/>
    <n v="0"/>
    <n v="43.149999999999991"/>
    <n v="928.2"/>
    <n v="55"/>
    <s v="-"/>
  </r>
  <r>
    <x v="21"/>
    <x v="5"/>
    <x v="0"/>
    <x v="13"/>
    <n v="12"/>
    <x v="108"/>
    <m/>
    <m/>
    <s v="~"/>
    <n v="97"/>
    <n v="2"/>
    <n v="0"/>
    <n v="43.149999999999991"/>
    <n v="926.2"/>
    <n v="50"/>
    <s v="-"/>
  </r>
  <r>
    <x v="21"/>
    <x v="6"/>
    <x v="0"/>
    <x v="27"/>
    <n v="15"/>
    <x v="109"/>
    <m/>
    <m/>
    <s v="~"/>
    <n v="97"/>
    <n v="0"/>
    <n v="0"/>
    <n v="43.149999999999991"/>
    <n v="925.7"/>
    <n v="52"/>
    <s v="-"/>
  </r>
  <r>
    <x v="21"/>
    <x v="7"/>
    <x v="0"/>
    <x v="27"/>
    <n v="13"/>
    <x v="110"/>
    <m/>
    <m/>
    <s v="~"/>
    <n v="97"/>
    <n v="0"/>
    <n v="0"/>
    <n v="43.149999999999991"/>
    <n v="926.6"/>
    <n v="59"/>
    <s v="-"/>
  </r>
  <r>
    <x v="22"/>
    <x v="0"/>
    <x v="0"/>
    <x v="27"/>
    <n v="15"/>
    <x v="111"/>
    <m/>
    <m/>
    <s v="~"/>
    <n v="96"/>
    <n v="-1"/>
    <n v="0"/>
    <n v="43.149999999999991"/>
    <n v="927"/>
    <n v="65"/>
    <s v="-"/>
  </r>
  <r>
    <x v="22"/>
    <x v="1"/>
    <x v="0"/>
    <x v="28"/>
    <n v="14"/>
    <x v="77"/>
    <m/>
    <m/>
    <s v="~"/>
    <n v="96"/>
    <n v="0"/>
    <n v="0"/>
    <n v="43.149999999999991"/>
    <n v="926.9"/>
    <n v="71"/>
    <s v="-"/>
  </r>
  <r>
    <x v="22"/>
    <x v="2"/>
    <x v="0"/>
    <x v="27"/>
    <n v="12"/>
    <x v="112"/>
    <m/>
    <m/>
    <s v="~"/>
    <n v="96"/>
    <n v="0"/>
    <n v="0"/>
    <n v="43.149999999999991"/>
    <n v="926.9"/>
    <n v="74"/>
    <s v="-"/>
  </r>
  <r>
    <x v="22"/>
    <x v="3"/>
    <x v="1"/>
    <x v="27"/>
    <n v="13"/>
    <x v="89"/>
    <m/>
    <m/>
    <s v="~"/>
    <n v="95"/>
    <n v="-1"/>
    <n v="0"/>
    <n v="43.149999999999991"/>
    <n v="927.2"/>
    <n v="78"/>
    <s v="-"/>
  </r>
  <r>
    <x v="22"/>
    <x v="4"/>
    <x v="4"/>
    <x v="34"/>
    <n v="12"/>
    <x v="113"/>
    <m/>
    <m/>
    <s v="то"/>
    <n v="94"/>
    <n v="-1"/>
    <n v="0"/>
    <n v="43.149999999999991"/>
    <n v="927.9"/>
    <n v="77"/>
    <s v="-"/>
  </r>
  <r>
    <x v="22"/>
    <x v="5"/>
    <x v="6"/>
    <x v="34"/>
    <n v="6"/>
    <x v="49"/>
    <m/>
    <m/>
    <s v="то"/>
    <n v="93"/>
    <n v="-1"/>
    <n v="0"/>
    <n v="43.149999999999991"/>
    <n v="927.4"/>
    <n v="91"/>
    <s v="-"/>
  </r>
  <r>
    <x v="22"/>
    <x v="6"/>
    <x v="10"/>
    <x v="10"/>
    <n v="4"/>
    <x v="62"/>
    <m/>
    <m/>
    <s v="то"/>
    <n v="91"/>
    <n v="-2"/>
    <n v="0"/>
    <n v="43.149999999999991"/>
    <n v="928.1"/>
    <n v="91"/>
    <s v="-"/>
  </r>
  <r>
    <x v="22"/>
    <x v="7"/>
    <x v="10"/>
    <x v="29"/>
    <n v="3"/>
    <x v="63"/>
    <m/>
    <m/>
    <s v="то"/>
    <n v="97"/>
    <n v="6"/>
    <n v="0"/>
    <n v="43.149999999999991"/>
    <n v="928.4"/>
    <n v="91"/>
    <s v="-"/>
  </r>
  <r>
    <x v="23"/>
    <x v="0"/>
    <x v="10"/>
    <x v="33"/>
    <n v="1"/>
    <x v="114"/>
    <m/>
    <m/>
    <s v="то"/>
    <n v="101"/>
    <n v="4"/>
    <n v="0"/>
    <n v="43.149999999999991"/>
    <n v="927.4"/>
    <n v="90"/>
    <s v="-"/>
  </r>
  <r>
    <x v="23"/>
    <x v="1"/>
    <x v="10"/>
    <x v="33"/>
    <n v="1"/>
    <x v="101"/>
    <m/>
    <m/>
    <s v="то"/>
    <n v="103"/>
    <n v="2"/>
    <n v="0"/>
    <n v="43.149999999999991"/>
    <n v="926.9"/>
    <n v="90"/>
    <s v="-"/>
  </r>
  <r>
    <x v="23"/>
    <x v="2"/>
    <x v="10"/>
    <x v="33"/>
    <n v="2"/>
    <x v="66"/>
    <m/>
    <m/>
    <s v="то"/>
    <n v="100"/>
    <n v="-3"/>
    <n v="0"/>
    <n v="43.149999999999991"/>
    <n v="926"/>
    <n v="89"/>
    <s v="-"/>
  </r>
  <r>
    <x v="23"/>
    <x v="3"/>
    <x v="11"/>
    <x v="33"/>
    <n v="0"/>
    <x v="115"/>
    <m/>
    <m/>
    <s v="то"/>
    <n v="103"/>
    <n v="3"/>
    <n v="0"/>
    <n v="43.149999999999991"/>
    <n v="925.2"/>
    <n v="90"/>
    <s v="-"/>
  </r>
  <r>
    <x v="23"/>
    <x v="4"/>
    <x v="10"/>
    <x v="33"/>
    <n v="1"/>
    <x v="90"/>
    <m/>
    <m/>
    <s v="то"/>
    <n v="107"/>
    <n v="4"/>
    <n v="0"/>
    <n v="43.149999999999991"/>
    <n v="922.9"/>
    <n v="86"/>
    <s v="-"/>
  </r>
  <r>
    <x v="23"/>
    <x v="5"/>
    <x v="10"/>
    <x v="30"/>
    <n v="2"/>
    <x v="106"/>
    <m/>
    <m/>
    <s v="то"/>
    <n v="115"/>
    <n v="8"/>
    <n v="0"/>
    <n v="43.149999999999991"/>
    <n v="919.1"/>
    <n v="84"/>
    <s v="-"/>
  </r>
  <r>
    <x v="23"/>
    <x v="6"/>
    <x v="2"/>
    <x v="30"/>
    <n v="2"/>
    <x v="105"/>
    <m/>
    <m/>
    <s v="то"/>
    <n v="130"/>
    <n v="15"/>
    <n v="0"/>
    <n v="43.149999999999991"/>
    <n v="914.5"/>
    <n v="86"/>
    <s v="-"/>
  </r>
  <r>
    <x v="23"/>
    <x v="7"/>
    <x v="12"/>
    <x v="32"/>
    <n v="8"/>
    <x v="39"/>
    <m/>
    <m/>
    <s v="то"/>
    <n v="135"/>
    <n v="5"/>
    <n v="0"/>
    <n v="43.149999999999991"/>
    <n v="910"/>
    <n v="80"/>
    <s v="-"/>
  </r>
  <r>
    <x v="24"/>
    <x v="0"/>
    <x v="12"/>
    <x v="29"/>
    <n v="3"/>
    <x v="63"/>
    <m/>
    <m/>
    <s v="то"/>
    <n v="132"/>
    <n v="-3"/>
    <n v="0"/>
    <n v="43.149999999999991"/>
    <n v="905.7"/>
    <n v="80"/>
    <s v="-"/>
  </r>
  <r>
    <x v="24"/>
    <x v="1"/>
    <x v="2"/>
    <x v="33"/>
    <n v="1"/>
    <x v="53"/>
    <m/>
    <m/>
    <s v="то"/>
    <n v="132"/>
    <n v="0"/>
    <n v="0"/>
    <n v="43.149999999999991"/>
    <n v="902"/>
    <n v="89"/>
    <s v="-"/>
  </r>
  <r>
    <x v="24"/>
    <x v="2"/>
    <x v="0"/>
    <x v="29"/>
    <n v="5"/>
    <x v="64"/>
    <m/>
    <m/>
    <s v="то"/>
    <n v="134"/>
    <n v="2"/>
    <n v="0"/>
    <n v="43.149999999999991"/>
    <n v="898.2"/>
    <n v="81"/>
    <s v="-"/>
  </r>
  <r>
    <x v="24"/>
    <x v="3"/>
    <x v="0"/>
    <x v="29"/>
    <n v="3"/>
    <x v="7"/>
    <m/>
    <m/>
    <s v="то"/>
    <n v="133"/>
    <n v="-1"/>
    <n v="0"/>
    <n v="43.149999999999991"/>
    <n v="895.1"/>
    <n v="76"/>
    <s v="-"/>
  </r>
  <r>
    <x v="24"/>
    <x v="4"/>
    <x v="0"/>
    <x v="13"/>
    <n v="22"/>
    <x v="116"/>
    <m/>
    <m/>
    <s v="м"/>
    <n v="88"/>
    <n v="-45"/>
    <n v="0"/>
    <n v="43.149999999999991"/>
    <n v="893.8"/>
    <n v="82"/>
    <s v="-"/>
  </r>
  <r>
    <x v="24"/>
    <x v="5"/>
    <x v="0"/>
    <x v="38"/>
    <m/>
    <x v="36"/>
    <m/>
    <m/>
    <s v="м"/>
    <n v="89"/>
    <n v="1"/>
    <n v="0"/>
    <n v="43.149999999999991"/>
    <n v="895"/>
    <n v="84"/>
    <s v="-"/>
  </r>
  <r>
    <x v="24"/>
    <x v="6"/>
    <x v="0"/>
    <x v="18"/>
    <n v="29"/>
    <x v="117"/>
    <m/>
    <m/>
    <s v="м"/>
    <n v="87"/>
    <n v="-2"/>
    <n v="0"/>
    <n v="43.149999999999991"/>
    <n v="896.4"/>
    <n v="82"/>
    <s v="-"/>
  </r>
  <r>
    <x v="24"/>
    <x v="7"/>
    <x v="0"/>
    <x v="16"/>
    <n v="26"/>
    <x v="118"/>
    <m/>
    <m/>
    <s v="м"/>
    <n v="86"/>
    <n v="-1"/>
    <n v="0"/>
    <n v="43.149999999999991"/>
    <n v="901.1"/>
    <n v="77"/>
    <s v="-"/>
  </r>
  <r>
    <x v="25"/>
    <x v="0"/>
    <x v="0"/>
    <x v="39"/>
    <n v="22"/>
    <x v="119"/>
    <m/>
    <m/>
    <s v="м"/>
    <n v="86"/>
    <n v="0"/>
    <n v="0"/>
    <n v="43.149999999999991"/>
    <n v="905.1"/>
    <n v="74"/>
    <s v="-"/>
  </r>
  <r>
    <x v="25"/>
    <x v="1"/>
    <x v="0"/>
    <x v="17"/>
    <n v="21"/>
    <x v="120"/>
    <m/>
    <m/>
    <s v="м"/>
    <n v="86"/>
    <n v="0"/>
    <n v="0"/>
    <n v="43.149999999999991"/>
    <n v="907.8"/>
    <n v="68"/>
    <s v="-"/>
  </r>
  <r>
    <x v="25"/>
    <x v="2"/>
    <x v="0"/>
    <x v="14"/>
    <n v="18"/>
    <x v="20"/>
    <m/>
    <m/>
    <s v="м"/>
    <n v="87"/>
    <n v="1"/>
    <n v="0"/>
    <n v="43.149999999999991"/>
    <n v="910"/>
    <n v="80"/>
    <s v="-"/>
  </r>
  <r>
    <x v="25"/>
    <x v="3"/>
    <x v="0"/>
    <x v="38"/>
    <m/>
    <x v="121"/>
    <m/>
    <m/>
    <s v="м"/>
    <n v="87"/>
    <n v="0"/>
    <n v="0"/>
    <n v="43.149999999999991"/>
    <n v="912.1"/>
    <n v="60"/>
    <s v="-"/>
  </r>
  <r>
    <x v="25"/>
    <x v="4"/>
    <x v="0"/>
    <x v="38"/>
    <m/>
    <x v="70"/>
    <m/>
    <m/>
    <s v="м"/>
    <n v="88"/>
    <n v="1"/>
    <n v="0"/>
    <n v="43.149999999999991"/>
    <n v="914.3"/>
    <n v="68"/>
    <s v="-"/>
  </r>
  <r>
    <x v="25"/>
    <x v="5"/>
    <x v="0"/>
    <x v="38"/>
    <m/>
    <x v="15"/>
    <m/>
    <m/>
    <s v="м"/>
    <n v="89"/>
    <n v="1"/>
    <n v="0"/>
    <n v="43.149999999999991"/>
    <n v="916.2"/>
    <n v="60"/>
    <s v="-"/>
  </r>
  <r>
    <x v="25"/>
    <x v="6"/>
    <x v="0"/>
    <x v="38"/>
    <m/>
    <x v="67"/>
    <m/>
    <m/>
    <s v="м"/>
    <n v="89"/>
    <n v="0"/>
    <n v="0"/>
    <n v="43.149999999999991"/>
    <n v="918.6"/>
    <n v="56"/>
    <s v="-"/>
  </r>
  <r>
    <x v="25"/>
    <x v="7"/>
    <x v="0"/>
    <x v="38"/>
    <m/>
    <x v="114"/>
    <m/>
    <m/>
    <s v="~"/>
    <n v="89"/>
    <n v="0"/>
    <n v="0"/>
    <n v="43.149999999999991"/>
    <n v="921.9"/>
    <n v="48"/>
    <s v="-"/>
  </r>
  <r>
    <x v="26"/>
    <x v="0"/>
    <x v="0"/>
    <x v="29"/>
    <n v="4"/>
    <x v="122"/>
    <m/>
    <m/>
    <s v="~"/>
    <n v="88"/>
    <n v="-1"/>
    <n v="0"/>
    <n v="43.149999999999991"/>
    <n v="924.8"/>
    <n v="74"/>
    <s v="-"/>
  </r>
  <r>
    <x v="26"/>
    <x v="1"/>
    <x v="0"/>
    <x v="31"/>
    <n v="8"/>
    <x v="41"/>
    <m/>
    <m/>
    <s v="~"/>
    <n v="89"/>
    <n v="1"/>
    <n v="0"/>
    <n v="43.149999999999991"/>
    <n v="927.5"/>
    <n v="54"/>
    <s v="-"/>
  </r>
  <r>
    <x v="26"/>
    <x v="2"/>
    <x v="0"/>
    <x v="34"/>
    <n v="6"/>
    <x v="105"/>
    <m/>
    <m/>
    <s v="~"/>
    <n v="90"/>
    <n v="1"/>
    <n v="0"/>
    <n v="43.149999999999991"/>
    <n v="931.2"/>
    <n v="43"/>
    <s v="-"/>
  </r>
  <r>
    <x v="26"/>
    <x v="3"/>
    <x v="0"/>
    <x v="13"/>
    <n v="12"/>
    <x v="106"/>
    <m/>
    <m/>
    <s v="~"/>
    <n v="90"/>
    <n v="0"/>
    <n v="0"/>
    <n v="43.149999999999991"/>
    <n v="934"/>
    <n v="50"/>
    <s v="-"/>
  </r>
  <r>
    <x v="26"/>
    <x v="4"/>
    <x v="0"/>
    <x v="31"/>
    <n v="12"/>
    <x v="123"/>
    <m/>
    <m/>
    <s v="~"/>
    <n v="91"/>
    <n v="1"/>
    <n v="0"/>
    <n v="43.149999999999991"/>
    <n v="936.5"/>
    <n v="51"/>
    <s v="-"/>
  </r>
  <r>
    <x v="26"/>
    <x v="5"/>
    <x v="0"/>
    <x v="13"/>
    <n v="11"/>
    <x v="124"/>
    <m/>
    <m/>
    <s v="~"/>
    <n v="92"/>
    <n v="1"/>
    <n v="0"/>
    <n v="43.149999999999991"/>
    <n v="936.1"/>
    <n v="54"/>
    <s v="-"/>
  </r>
  <r>
    <x v="26"/>
    <x v="6"/>
    <x v="0"/>
    <x v="30"/>
    <n v="2"/>
    <x v="55"/>
    <m/>
    <m/>
    <s v="~"/>
    <n v="92"/>
    <n v="0"/>
    <n v="0"/>
    <n v="43.149999999999991"/>
    <n v="936.5"/>
    <n v="55"/>
    <s v="-"/>
  </r>
  <r>
    <x v="26"/>
    <x v="7"/>
    <x v="0"/>
    <x v="29"/>
    <n v="3"/>
    <x v="62"/>
    <m/>
    <m/>
    <s v="~"/>
    <n v="91"/>
    <n v="-1"/>
    <n v="0"/>
    <n v="43.149999999999991"/>
    <n v="935.9"/>
    <n v="58"/>
    <s v="-"/>
  </r>
  <r>
    <x v="27"/>
    <x v="0"/>
    <x v="0"/>
    <x v="29"/>
    <n v="4"/>
    <x v="52"/>
    <m/>
    <m/>
    <s v="~"/>
    <n v="92"/>
    <n v="1"/>
    <n v="0"/>
    <n v="43.149999999999991"/>
    <n v="934.4"/>
    <n v="60"/>
    <s v="-"/>
  </r>
  <r>
    <x v="27"/>
    <x v="1"/>
    <x v="0"/>
    <x v="29"/>
    <n v="3"/>
    <x v="105"/>
    <m/>
    <m/>
    <s v="то"/>
    <n v="91"/>
    <n v="-1"/>
    <n v="0"/>
    <n v="43.149999999999991"/>
    <n v="930.6"/>
    <n v="67"/>
    <s v="-"/>
  </r>
  <r>
    <x v="27"/>
    <x v="2"/>
    <x v="0"/>
    <x v="30"/>
    <n v="1"/>
    <x v="59"/>
    <m/>
    <m/>
    <s v="то"/>
    <n v="90"/>
    <n v="-1"/>
    <n v="0"/>
    <n v="43.149999999999991"/>
    <n v="927.6"/>
    <n v="88"/>
    <s v="-"/>
  </r>
  <r>
    <x v="27"/>
    <x v="3"/>
    <x v="1"/>
    <x v="33"/>
    <n v="1"/>
    <x v="49"/>
    <m/>
    <m/>
    <s v="то"/>
    <n v="93"/>
    <n v="3"/>
    <n v="0"/>
    <n v="43.149999999999991"/>
    <n v="923.2"/>
    <n v="90"/>
    <s v="-"/>
  </r>
  <r>
    <x v="27"/>
    <x v="4"/>
    <x v="13"/>
    <x v="30"/>
    <n v="2"/>
    <x v="72"/>
    <m/>
    <m/>
    <s v="то"/>
    <n v="102"/>
    <n v="9"/>
    <n v="0"/>
    <n v="43.149999999999991"/>
    <n v="918.3"/>
    <n v="82"/>
    <s v="-"/>
  </r>
  <r>
    <x v="27"/>
    <x v="5"/>
    <x v="10"/>
    <x v="13"/>
    <n v="10"/>
    <x v="125"/>
    <m/>
    <m/>
    <s v="м"/>
    <n v="105"/>
    <n v="3"/>
    <n v="0"/>
    <n v="43.149999999999991"/>
    <n v="916.2"/>
    <n v="70"/>
    <s v="-"/>
  </r>
  <r>
    <x v="27"/>
    <x v="6"/>
    <x v="10"/>
    <x v="31"/>
    <n v="12"/>
    <x v="112"/>
    <m/>
    <m/>
    <s v="~"/>
    <n v="109"/>
    <n v="4"/>
    <n v="0"/>
    <n v="43.149999999999991"/>
    <n v="917"/>
    <n v="47"/>
    <s v="-"/>
  </r>
  <r>
    <x v="27"/>
    <x v="7"/>
    <x v="10"/>
    <x v="13"/>
    <n v="11"/>
    <x v="72"/>
    <m/>
    <m/>
    <s v="~"/>
    <n v="107"/>
    <n v="-2"/>
    <n v="0"/>
    <n v="43.149999999999991"/>
    <n v="920.4"/>
    <n v="75"/>
    <s v="-"/>
  </r>
  <r>
    <x v="28"/>
    <x v="0"/>
    <x v="12"/>
    <x v="27"/>
    <n v="10"/>
    <x v="84"/>
    <m/>
    <m/>
    <s v="~"/>
    <n v="107"/>
    <n v="0"/>
    <n v="0"/>
    <n v="43.149999999999991"/>
    <n v="923.4"/>
    <n v="74"/>
    <s v="-"/>
  </r>
  <r>
    <x v="28"/>
    <x v="1"/>
    <x v="3"/>
    <x v="13"/>
    <n v="12"/>
    <x v="74"/>
    <m/>
    <m/>
    <s v="м"/>
    <n v="106"/>
    <n v="-1"/>
    <n v="0"/>
    <n v="43.149999999999991"/>
    <n v="925"/>
    <n v="79"/>
    <s v="-"/>
  </r>
  <r>
    <x v="28"/>
    <x v="2"/>
    <x v="0"/>
    <x v="28"/>
    <n v="15"/>
    <x v="50"/>
    <m/>
    <m/>
    <s v="м"/>
    <n v="94"/>
    <n v="-12"/>
    <n v="0"/>
    <n v="43.149999999999991"/>
    <n v="926.7"/>
    <n v="72"/>
    <s v="-"/>
  </r>
  <r>
    <x v="28"/>
    <x v="3"/>
    <x v="13"/>
    <x v="35"/>
    <n v="17"/>
    <x v="105"/>
    <m/>
    <m/>
    <s v="~"/>
    <n v="89"/>
    <n v="-5"/>
    <n v="0"/>
    <n v="43.149999999999991"/>
    <n v="928"/>
    <n v="71"/>
    <s v="-"/>
  </r>
  <r>
    <x v="28"/>
    <x v="4"/>
    <x v="13"/>
    <x v="11"/>
    <n v="14"/>
    <x v="61"/>
    <m/>
    <m/>
    <s v="~"/>
    <n v="91"/>
    <n v="2"/>
    <n v="0"/>
    <n v="43.149999999999991"/>
    <n v="929.4"/>
    <n v="57"/>
    <s v="-"/>
  </r>
  <r>
    <x v="28"/>
    <x v="5"/>
    <x v="13"/>
    <x v="37"/>
    <n v="16"/>
    <x v="87"/>
    <m/>
    <m/>
    <s v="~"/>
    <n v="91"/>
    <n v="0"/>
    <n v="0"/>
    <n v="43.149999999999991"/>
    <n v="929.3"/>
    <n v="57"/>
    <s v="-"/>
  </r>
  <r>
    <x v="28"/>
    <x v="6"/>
    <x v="13"/>
    <x v="28"/>
    <n v="13"/>
    <x v="126"/>
    <m/>
    <m/>
    <s v="~"/>
    <n v="92"/>
    <n v="1"/>
    <n v="0"/>
    <n v="43.149999999999991"/>
    <n v="929.9"/>
    <n v="49"/>
    <s v="-"/>
  </r>
  <r>
    <x v="28"/>
    <x v="7"/>
    <x v="13"/>
    <x v="28"/>
    <n v="13"/>
    <x v="74"/>
    <m/>
    <m/>
    <s v="~"/>
    <n v="91"/>
    <n v="-1"/>
    <n v="0"/>
    <n v="43.149999999999991"/>
    <n v="931.2"/>
    <n v="51"/>
    <s v="-"/>
  </r>
  <r>
    <x v="29"/>
    <x v="0"/>
    <x v="13"/>
    <x v="28"/>
    <n v="16"/>
    <x v="123"/>
    <m/>
    <m/>
    <s v="~"/>
    <n v="91"/>
    <n v="0"/>
    <n v="0"/>
    <n v="43.149999999999991"/>
    <n v="932"/>
    <n v="49"/>
    <s v="-"/>
  </r>
  <r>
    <x v="29"/>
    <x v="1"/>
    <x v="13"/>
    <x v="11"/>
    <n v="15"/>
    <x v="61"/>
    <m/>
    <m/>
    <s v="~"/>
    <n v="90"/>
    <n v="-1"/>
    <n v="0"/>
    <n v="43.149999999999991"/>
    <n v="932.1"/>
    <n v="52"/>
    <s v="-"/>
  </r>
  <r>
    <x v="29"/>
    <x v="2"/>
    <x v="13"/>
    <x v="28"/>
    <n v="13"/>
    <x v="61"/>
    <m/>
    <m/>
    <s v="~"/>
    <n v="91"/>
    <n v="1"/>
    <n v="0"/>
    <n v="43.149999999999991"/>
    <n v="932.8"/>
    <n v="47"/>
    <s v="-"/>
  </r>
  <r>
    <x v="29"/>
    <x v="3"/>
    <x v="13"/>
    <x v="10"/>
    <n v="7"/>
    <x v="93"/>
    <m/>
    <m/>
    <s v="~"/>
    <n v="90"/>
    <n v="-1"/>
    <n v="0"/>
    <n v="43.149999999999991"/>
    <n v="933.9"/>
    <n v="45"/>
    <s v="-"/>
  </r>
  <r>
    <x v="29"/>
    <x v="4"/>
    <x v="13"/>
    <x v="34"/>
    <n v="8"/>
    <x v="113"/>
    <m/>
    <m/>
    <s v="~"/>
    <n v="92"/>
    <n v="2"/>
    <n v="0"/>
    <n v="43.149999999999991"/>
    <n v="934.4"/>
    <n v="49"/>
    <s v="-"/>
  </r>
  <r>
    <x v="29"/>
    <x v="5"/>
    <x v="13"/>
    <x v="30"/>
    <n v="2"/>
    <x v="125"/>
    <m/>
    <m/>
    <s v="~"/>
    <n v="93"/>
    <n v="1"/>
    <n v="0"/>
    <n v="43.149999999999991"/>
    <n v="934.6"/>
    <n v="52"/>
    <s v="-"/>
  </r>
  <r>
    <x v="29"/>
    <x v="6"/>
    <x v="13"/>
    <x v="30"/>
    <n v="2"/>
    <x v="86"/>
    <m/>
    <m/>
    <s v="~"/>
    <n v="92"/>
    <n v="-1"/>
    <n v="0"/>
    <n v="43.149999999999991"/>
    <n v="935.7"/>
    <n v="64"/>
    <s v="-"/>
  </r>
  <r>
    <x v="29"/>
    <x v="7"/>
    <x v="13"/>
    <x v="30"/>
    <n v="2"/>
    <x v="127"/>
    <m/>
    <m/>
    <s v="~"/>
    <n v="91"/>
    <n v="-1"/>
    <n v="0"/>
    <n v="43.149999999999991"/>
    <n v="937.6"/>
    <n v="67"/>
    <s v="-"/>
  </r>
  <r>
    <x v="30"/>
    <x v="0"/>
    <x v="13"/>
    <x v="30"/>
    <n v="2"/>
    <x v="46"/>
    <m/>
    <m/>
    <s v="~"/>
    <n v="91"/>
    <n v="0"/>
    <n v="0"/>
    <n v="43.149999999999991"/>
    <n v="938.6"/>
    <n v="59"/>
    <s v="-"/>
  </r>
  <r>
    <x v="30"/>
    <x v="1"/>
    <x v="13"/>
    <x v="30"/>
    <n v="3"/>
    <x v="81"/>
    <m/>
    <m/>
    <s v="~"/>
    <n v="91"/>
    <n v="0"/>
    <n v="0"/>
    <n v="43.149999999999991"/>
    <n v="939.3"/>
    <n v="58"/>
    <s v="-"/>
  </r>
  <r>
    <x v="30"/>
    <x v="2"/>
    <x v="13"/>
    <x v="30"/>
    <n v="2"/>
    <x v="88"/>
    <m/>
    <m/>
    <s v="~"/>
    <n v="91"/>
    <n v="0"/>
    <n v="0"/>
    <n v="43.149999999999991"/>
    <n v="939.7"/>
    <n v="59"/>
    <s v="-"/>
  </r>
  <r>
    <x v="30"/>
    <x v="3"/>
    <x v="13"/>
    <x v="29"/>
    <n v="4"/>
    <x v="61"/>
    <m/>
    <m/>
    <s v="~"/>
    <n v="91"/>
    <n v="0"/>
    <n v="0"/>
    <n v="43.149999999999991"/>
    <n v="940.7"/>
    <n v="60"/>
    <s v="-"/>
  </r>
  <r>
    <x v="30"/>
    <x v="4"/>
    <x v="13"/>
    <x v="30"/>
    <n v="3"/>
    <x v="128"/>
    <m/>
    <m/>
    <s v="~"/>
    <n v="94"/>
    <n v="3"/>
    <n v="0"/>
    <n v="43.149999999999991"/>
    <n v="941"/>
    <n v="51"/>
    <s v="-"/>
  </r>
  <r>
    <x v="30"/>
    <x v="5"/>
    <x v="13"/>
    <x v="34"/>
    <n v="9"/>
    <x v="129"/>
    <m/>
    <m/>
    <s v="~"/>
    <n v="95"/>
    <n v="1"/>
    <n v="0"/>
    <n v="43.149999999999991"/>
    <n v="941.1"/>
    <n v="50"/>
    <s v="-"/>
  </r>
  <r>
    <x v="30"/>
    <x v="6"/>
    <x v="13"/>
    <x v="10"/>
    <n v="5"/>
    <x v="130"/>
    <m/>
    <m/>
    <s v="~"/>
    <n v="95"/>
    <n v="0"/>
    <n v="0"/>
    <n v="43.149999999999991"/>
    <n v="941.2"/>
    <n v="52"/>
    <s v="-"/>
  </r>
  <r>
    <x v="30"/>
    <x v="7"/>
    <x v="13"/>
    <x v="10"/>
    <n v="7"/>
    <x v="131"/>
    <m/>
    <m/>
    <s v="~"/>
    <n v="95"/>
    <n v="0"/>
    <n v="0"/>
    <n v="43.149999999999991"/>
    <n v="941.9"/>
    <n v="37"/>
    <s v="-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8">
  <r>
    <x v="0"/>
    <s v="0:00"/>
    <s v="З"/>
    <n v="31"/>
    <n v="9"/>
    <n v="-14.8"/>
    <m/>
    <m/>
    <s v="~"/>
    <n v="91"/>
    <n v="0"/>
    <n v="0"/>
    <n v="0"/>
    <n v="914.7"/>
    <n v="46"/>
    <s v="-"/>
  </r>
  <r>
    <x v="0"/>
    <s v="3:00"/>
    <s v="З"/>
    <n v="32"/>
    <n v="12"/>
    <n v="-14.1"/>
    <m/>
    <m/>
    <s v="м"/>
    <n v="91"/>
    <n v="0"/>
    <n v="10"/>
    <n v="10"/>
    <n v="914.8"/>
    <n v="54"/>
    <s v="-"/>
  </r>
  <r>
    <x v="0"/>
    <s v="6:00"/>
    <s v="ЗЮЗ"/>
    <n v="33"/>
    <n v="9"/>
    <n v="-13.5"/>
    <m/>
    <m/>
    <s v="м"/>
    <n v="92"/>
    <n v="1"/>
    <n v="0.1"/>
    <n v="10.1"/>
    <n v="915.6"/>
    <n v="68"/>
    <s v="-"/>
  </r>
  <r>
    <x v="0"/>
    <s v="9:00"/>
    <s v="ЗЮЗ"/>
    <n v="34"/>
    <n v="10"/>
    <n v="-13.9"/>
    <m/>
    <m/>
    <s v="м"/>
    <n v="91"/>
    <n v="-1"/>
    <n v="0.2"/>
    <n v="10.299999999999999"/>
    <n v="916.6"/>
    <n v="67"/>
    <s v="-"/>
  </r>
  <r>
    <x v="0"/>
    <s v="12:00"/>
    <s v="ЗЮЗ"/>
    <n v="35"/>
    <n v="9"/>
    <n v="-13.2"/>
    <m/>
    <m/>
    <s v="м"/>
    <n v="90"/>
    <n v="-1"/>
    <n v="0.3"/>
    <n v="10.6"/>
    <n v="917.1"/>
    <n v="58"/>
    <s v="-"/>
  </r>
  <r>
    <x v="0"/>
    <s v="15:00"/>
    <s v="З"/>
    <n v="36"/>
    <n v="7"/>
    <n v="-12.8"/>
    <m/>
    <m/>
    <s v="~"/>
    <n v="91"/>
    <n v="1"/>
    <n v="0.2"/>
    <n v="10.799999999999999"/>
    <n v="916.4"/>
    <n v="46"/>
    <s v="-"/>
  </r>
  <r>
    <x v="0"/>
    <s v="18:00"/>
    <s v="З"/>
    <n v="37"/>
    <n v="2"/>
    <n v="-13.3"/>
    <m/>
    <m/>
    <s v="~"/>
    <n v="91"/>
    <n v="0"/>
    <n v="0.5"/>
    <n v="11.299999999999999"/>
    <n v="916.5"/>
    <n v="49"/>
    <s v="-"/>
  </r>
  <r>
    <x v="0"/>
    <s v="21:00"/>
    <s v="З"/>
    <n v="38"/>
    <n v="7"/>
    <n v="-13.5"/>
    <m/>
    <m/>
    <s v="~"/>
    <n v="91"/>
    <n v="0"/>
    <n v="0.6"/>
    <n v="11.899999999999999"/>
    <n v="916.8"/>
    <n v="60"/>
    <s v="-"/>
  </r>
  <r>
    <x v="1"/>
    <s v="0:00"/>
    <s v="З"/>
    <n v="39"/>
    <n v="10"/>
    <n v="-13.6"/>
    <m/>
    <m/>
    <s v="м"/>
    <n v="91"/>
    <n v="0"/>
    <n v="0.1"/>
    <n v="11.999999999999998"/>
    <n v="917.3"/>
    <n v="68"/>
    <s v="-"/>
  </r>
  <r>
    <x v="1"/>
    <s v="3:00"/>
    <s v="З"/>
    <n v="40"/>
    <n v="10"/>
    <n v="-14.6"/>
    <m/>
    <m/>
    <s v="м"/>
    <n v="90"/>
    <n v="-1"/>
    <n v="0.85"/>
    <n v="12.849999999999998"/>
    <n v="918.2"/>
    <n v="66"/>
    <s v="-"/>
  </r>
  <r>
    <x v="1"/>
    <s v="6:00"/>
    <s v="З"/>
    <n v="3"/>
    <n v="11"/>
    <n v="-15.8"/>
    <m/>
    <m/>
    <s v="м"/>
    <n v="90"/>
    <n v="0"/>
    <n v="0"/>
    <n v="12.849999999999998"/>
    <n v="919.1"/>
    <n v="55"/>
    <s v="-"/>
  </r>
  <r>
    <x v="1"/>
    <s v="9:00"/>
    <s v="З"/>
    <n v="10"/>
    <n v="13"/>
    <n v="-16.7"/>
    <m/>
    <m/>
    <s v="м"/>
    <n v="89"/>
    <n v="-1"/>
    <n v="0"/>
    <n v="12.849999999999998"/>
    <n v="921.6"/>
    <n v="54"/>
    <s v="-"/>
  </r>
  <r>
    <x v="1"/>
    <s v="12:00"/>
    <s v="З"/>
    <n v="17"/>
    <n v="13"/>
    <n v="-15.6"/>
    <m/>
    <m/>
    <s v="м"/>
    <n v="90"/>
    <n v="1"/>
    <n v="0.5"/>
    <n v="13.349999999999998"/>
    <n v="924.5"/>
    <n v="53"/>
    <s v="-"/>
  </r>
  <r>
    <x v="1"/>
    <s v="15:00"/>
    <s v="З"/>
    <n v="7"/>
    <n v="10"/>
    <n v="-14.6"/>
    <m/>
    <m/>
    <s v="м"/>
    <n v="90"/>
    <n v="0"/>
    <n v="0.6"/>
    <n v="13.949999999999998"/>
    <n v="926.1"/>
    <n v="52"/>
    <s v="-"/>
  </r>
  <r>
    <x v="1"/>
    <s v="18:00"/>
    <s v="З"/>
    <n v="18"/>
    <n v="17"/>
    <n v="-13.9"/>
    <m/>
    <m/>
    <s v="м"/>
    <n v="91"/>
    <n v="1"/>
    <n v="0.5"/>
    <n v="14.449999999999998"/>
    <n v="928.1"/>
    <n v="60"/>
    <s v="-"/>
  </r>
  <r>
    <x v="1"/>
    <s v="21:00"/>
    <s v="З"/>
    <n v="19"/>
    <n v="10"/>
    <n v="-14.5"/>
    <m/>
    <m/>
    <s v="м"/>
    <n v="91"/>
    <n v="0"/>
    <n v="6"/>
    <n v="20.449999999999996"/>
    <n v="931.1"/>
    <n v="48"/>
    <s v="-"/>
  </r>
  <r>
    <x v="2"/>
    <s v="0:00"/>
    <s v="З"/>
    <n v="20"/>
    <n v="7"/>
    <n v="-14.6"/>
    <m/>
    <m/>
    <s v="~"/>
    <n v="90"/>
    <n v="-1"/>
    <n v="5.2"/>
    <n v="25.649999999999995"/>
    <n v="932.7"/>
    <n v="45"/>
    <s v="-"/>
  </r>
  <r>
    <x v="2"/>
    <s v="3:00"/>
    <s v="З"/>
    <n v="21"/>
    <n v="6"/>
    <n v="-13.6"/>
    <m/>
    <m/>
    <s v="~"/>
    <n v="91"/>
    <n v="1"/>
    <n v="0"/>
    <n v="25.649999999999995"/>
    <n v="932.3"/>
    <n v="41"/>
    <s v="-"/>
  </r>
  <r>
    <x v="2"/>
    <s v="6:00"/>
    <s v="З"/>
    <n v="22"/>
    <n v="8"/>
    <n v="-12.8"/>
    <m/>
    <m/>
    <s v="~"/>
    <n v="91"/>
    <n v="0"/>
    <n v="0.5"/>
    <n v="26.149999999999995"/>
    <n v="930.7"/>
    <n v="38"/>
    <s v="-"/>
  </r>
  <r>
    <x v="2"/>
    <s v="9:00"/>
    <s v="З"/>
    <n v="23"/>
    <n v="7"/>
    <n v="-12.4"/>
    <m/>
    <m/>
    <s v="~"/>
    <n v="92"/>
    <n v="1"/>
    <n v="0"/>
    <n v="26.149999999999995"/>
    <n v="929.5"/>
    <n v="39"/>
    <s v="-"/>
  </r>
  <r>
    <x v="2"/>
    <s v="12:00"/>
    <s v="З"/>
    <n v="24"/>
    <n v="2"/>
    <n v="-12.3"/>
    <m/>
    <m/>
    <s v="~"/>
    <n v="92"/>
    <n v="0"/>
    <n v="0"/>
    <n v="26.149999999999995"/>
    <n v="927.9"/>
    <n v="49"/>
    <s v="-"/>
  </r>
  <r>
    <x v="2"/>
    <s v="15:00"/>
    <s v="З"/>
    <n v="25"/>
    <n v="1"/>
    <n v="-11.6"/>
    <m/>
    <m/>
    <s v="~"/>
    <n v="92"/>
    <n v="0"/>
    <n v="0"/>
    <n v="26.149999999999995"/>
    <n v="925"/>
    <n v="46"/>
    <s v="-"/>
  </r>
  <r>
    <x v="2"/>
    <s v="18:00"/>
    <s v="З"/>
    <n v="26"/>
    <n v="2"/>
    <n v="-13"/>
    <m/>
    <m/>
    <s v="то"/>
    <n v="90"/>
    <n v="-2"/>
    <n v="0"/>
    <n v="26.149999999999995"/>
    <n v="922.9"/>
    <n v="76"/>
    <s v="-"/>
  </r>
  <r>
    <x v="2"/>
    <s v="21:00"/>
    <s v="СЗ"/>
    <n v="27"/>
    <n v="3"/>
    <n v="-12.3"/>
    <m/>
    <m/>
    <s v="то"/>
    <n v="91"/>
    <n v="1"/>
    <n v="0"/>
    <n v="26.149999999999995"/>
    <n v="921.6"/>
    <n v="79"/>
    <s v="-"/>
  </r>
  <r>
    <x v="3"/>
    <s v="0:00"/>
    <s v="СЗ"/>
    <n v="28"/>
    <n v="3"/>
    <n v="-12.1"/>
    <m/>
    <m/>
    <s v="то"/>
    <n v="92"/>
    <n v="1"/>
    <n v="0"/>
    <n v="26.149999999999995"/>
    <n v="920.2"/>
    <n v="73"/>
    <s v="-"/>
  </r>
  <r>
    <x v="3"/>
    <s v="3:00"/>
    <s v="СЗ"/>
    <n v="29"/>
    <n v="6"/>
    <n v="-12.8"/>
    <m/>
    <m/>
    <s v="~"/>
    <n v="92"/>
    <n v="0"/>
    <n v="0"/>
    <n v="26.149999999999995"/>
    <n v="920.3"/>
    <n v="69"/>
    <s v="-"/>
  </r>
  <r>
    <x v="3"/>
    <s v="6:00"/>
    <s v="СЗ"/>
    <n v="30"/>
    <n v="13"/>
    <n v="-12.9"/>
    <m/>
    <m/>
    <s v="м"/>
    <n v="90"/>
    <n v="-2"/>
    <n v="0"/>
    <n v="26.149999999999995"/>
    <n v="920.5"/>
    <n v="68"/>
    <s v="-"/>
  </r>
  <r>
    <x v="3"/>
    <s v="9:00"/>
    <s v="СЗ"/>
    <n v="8"/>
    <n v="12"/>
    <n v="-15.5"/>
    <m/>
    <m/>
    <s v="м"/>
    <n v="90"/>
    <n v="0"/>
    <n v="0"/>
    <n v="26.149999999999995"/>
    <n v="921.5"/>
    <n v="64"/>
    <s v="-"/>
  </r>
  <r>
    <x v="3"/>
    <s v="12:00"/>
    <s v="СЗ"/>
    <n v="9"/>
    <n v="18"/>
    <n v="-16"/>
    <m/>
    <m/>
    <s v="м"/>
    <n v="89"/>
    <n v="-1"/>
    <n v="1"/>
    <n v="27.149999999999995"/>
    <n v="921.6"/>
    <n v="67"/>
    <s v="-"/>
  </r>
  <r>
    <x v="3"/>
    <s v="15:00"/>
    <s v="СЗ"/>
    <n v="9"/>
    <n v="15"/>
    <n v="-15"/>
    <m/>
    <m/>
    <s v="м"/>
    <n v="89"/>
    <n v="0"/>
    <n v="0"/>
    <n v="27.149999999999995"/>
    <n v="921.4"/>
    <n v="64"/>
    <s v="-"/>
  </r>
  <r>
    <x v="3"/>
    <s v="18:00"/>
    <s v="СЗ"/>
    <n v="9"/>
    <n v="14"/>
    <n v="-14.7"/>
    <m/>
    <m/>
    <s v="~"/>
    <n v="89"/>
    <n v="0"/>
    <n v="0"/>
    <n v="27.149999999999995"/>
    <n v="922.3"/>
    <n v="55"/>
    <s v="-"/>
  </r>
  <r>
    <x v="3"/>
    <s v="21:00"/>
    <s v="ЗСЗ"/>
    <n v="2"/>
    <n v="4"/>
    <n v="-15.7"/>
    <m/>
    <m/>
    <s v="~"/>
    <n v="90"/>
    <n v="1"/>
    <n v="0"/>
    <n v="27.149999999999995"/>
    <n v="923.5"/>
    <n v="50"/>
    <s v="-"/>
  </r>
  <r>
    <x v="4"/>
    <s v="0:00"/>
    <s v="ЗСЗ"/>
    <n v="1"/>
    <n v="2"/>
    <n v="-19.3"/>
    <m/>
    <m/>
    <s v="~"/>
    <n v="88"/>
    <n v="-2"/>
    <n v="0"/>
    <n v="27.149999999999995"/>
    <n v="923.8"/>
    <n v="56"/>
    <s v="-"/>
  </r>
  <r>
    <x v="4"/>
    <s v="3:00"/>
    <s v="ЗСЗ"/>
    <n v="3"/>
    <n v="5"/>
    <n v="-17.899999999999999"/>
    <m/>
    <m/>
    <s v="~"/>
    <n v="88"/>
    <n v="0"/>
    <n v="0"/>
    <n v="27.149999999999995"/>
    <n v="923.2"/>
    <n v="54"/>
    <s v="-"/>
  </r>
  <r>
    <x v="4"/>
    <s v="6:00"/>
    <s v="З"/>
    <n v="6"/>
    <n v="9"/>
    <n v="-18.600000000000001"/>
    <m/>
    <m/>
    <s v="~"/>
    <n v="88"/>
    <n v="0"/>
    <n v="0"/>
    <n v="27.149999999999995"/>
    <n v="922.9"/>
    <n v="55"/>
    <s v="-"/>
  </r>
  <r>
    <x v="4"/>
    <s v="9:00"/>
    <s v="З"/>
    <n v="6"/>
    <n v="10"/>
    <n v="-18.899999999999999"/>
    <m/>
    <m/>
    <s v="~"/>
    <n v="87"/>
    <n v="-1"/>
    <n v="0"/>
    <n v="27.149999999999995"/>
    <n v="922.9"/>
    <n v="54"/>
    <s v="-"/>
  </r>
  <r>
    <x v="4"/>
    <s v="12:00"/>
    <s v="З"/>
    <n v="6"/>
    <n v="9"/>
    <n v="-17.8"/>
    <m/>
    <m/>
    <s v="~"/>
    <n v="88"/>
    <n v="1"/>
    <n v="0"/>
    <n v="27.149999999999995"/>
    <n v="922.5"/>
    <n v="53"/>
    <s v="-"/>
  </r>
  <r>
    <x v="4"/>
    <s v="15:00"/>
    <s v="З"/>
    <n v="8"/>
    <n v="12"/>
    <n v="-17.100000000000001"/>
    <m/>
    <m/>
    <s v="~"/>
    <n v="88"/>
    <n v="0"/>
    <n v="5"/>
    <n v="32.149999999999991"/>
    <n v="921.4"/>
    <n v="64"/>
    <s v="-"/>
  </r>
  <r>
    <x v="4"/>
    <s v="18:00"/>
    <s v="З"/>
    <n v="9"/>
    <n v="13"/>
    <n v="-16.7"/>
    <m/>
    <m/>
    <s v="~"/>
    <n v="88"/>
    <n v="0"/>
    <n v="0"/>
    <n v="32.149999999999991"/>
    <n v="921.2"/>
    <n v="48"/>
    <s v="-"/>
  </r>
  <r>
    <x v="4"/>
    <s v="21:00"/>
    <s v="З"/>
    <n v="6"/>
    <n v="12"/>
    <n v="-16.3"/>
    <m/>
    <m/>
    <s v="м"/>
    <n v="89"/>
    <n v="1"/>
    <n v="0"/>
    <n v="32.149999999999991"/>
    <n v="922.3"/>
    <n v="44"/>
    <s v="-"/>
  </r>
  <r>
    <x v="5"/>
    <s v="0:00"/>
    <s v="З"/>
    <n v="2"/>
    <n v="6"/>
    <n v="-17.5"/>
    <m/>
    <m/>
    <s v="~"/>
    <n v="88"/>
    <n v="-1"/>
    <n v="0"/>
    <n v="32.149999999999991"/>
    <n v="922.3"/>
    <n v="43"/>
    <s v="-"/>
  </r>
  <r>
    <x v="5"/>
    <s v="3:00"/>
    <s v="З"/>
    <n v="3"/>
    <n v="10"/>
    <n v="-16.2"/>
    <m/>
    <m/>
    <s v="~"/>
    <n v="89"/>
    <n v="1"/>
    <n v="0"/>
    <n v="32.149999999999991"/>
    <n v="922"/>
    <n v="42"/>
    <s v="-"/>
  </r>
  <r>
    <x v="5"/>
    <s v="6:00"/>
    <s v="З"/>
    <n v="3"/>
    <n v="7"/>
    <n v="-14.5"/>
    <m/>
    <m/>
    <s v="~"/>
    <n v="90"/>
    <n v="1"/>
    <n v="11"/>
    <n v="43.149999999999991"/>
    <n v="922.4"/>
    <n v="39"/>
    <s v="-"/>
  </r>
  <r>
    <x v="5"/>
    <s v="9:00"/>
    <s v="ЗЮЗ"/>
    <n v="1"/>
    <n v="1"/>
    <n v="-13.8"/>
    <m/>
    <m/>
    <s v="~"/>
    <n v="91"/>
    <n v="1"/>
    <n v="0"/>
    <n v="43.149999999999991"/>
    <n v="922.1"/>
    <n v="40"/>
    <s v="-"/>
  </r>
  <r>
    <x v="5"/>
    <s v="12:00"/>
    <s v="ЗЮЗ"/>
    <n v="1"/>
    <n v="2"/>
    <n v="-14.4"/>
    <m/>
    <m/>
    <s v="~"/>
    <n v="90"/>
    <n v="-1"/>
    <n v="0"/>
    <n v="43.149999999999991"/>
    <n v="920.8"/>
    <n v="44"/>
    <s v="-"/>
  </r>
  <r>
    <x v="5"/>
    <s v="15:00"/>
    <s v="ЗЮЗ"/>
    <n v="1"/>
    <n v="2"/>
    <n v="-12.7"/>
    <m/>
    <m/>
    <s v="то"/>
    <n v="91"/>
    <n v="1"/>
    <n v="0"/>
    <n v="43.149999999999991"/>
    <n v="919.7"/>
    <n v="46"/>
    <s v="-"/>
  </r>
  <r>
    <x v="5"/>
    <s v="18:00"/>
    <s v="З"/>
    <n v="1"/>
    <n v="2"/>
    <n v="-13.1"/>
    <m/>
    <m/>
    <s v="~"/>
    <n v="91"/>
    <n v="0"/>
    <n v="0"/>
    <n v="43.149999999999991"/>
    <n v="919.8"/>
    <n v="57"/>
    <s v="-"/>
  </r>
  <r>
    <x v="5"/>
    <s v="21:00"/>
    <s v="З"/>
    <n v="2"/>
    <n v="3"/>
    <n v="-13.3"/>
    <m/>
    <m/>
    <s v="~"/>
    <n v="91"/>
    <n v="0"/>
    <n v="0"/>
    <n v="43.149999999999991"/>
    <n v="920.5"/>
    <n v="56"/>
    <s v="-"/>
  </r>
  <r>
    <x v="6"/>
    <s v="0:00"/>
    <s v="З"/>
    <n v="5"/>
    <n v="8"/>
    <n v="-4"/>
    <m/>
    <m/>
    <s v="м"/>
    <n v="91"/>
    <n v="0"/>
    <n v="0"/>
    <n v="43.149999999999991"/>
    <n v="920.9"/>
    <n v="59"/>
    <s v="-"/>
  </r>
  <r>
    <x v="6"/>
    <s v="3:00"/>
    <s v="З"/>
    <n v="2"/>
    <n v="2"/>
    <n v="-11.7"/>
    <m/>
    <m/>
    <s v="~"/>
    <n v="92"/>
    <n v="1"/>
    <n v="0"/>
    <n v="43.149999999999991"/>
    <n v="921.8"/>
    <n v="63"/>
    <s v="-"/>
  </r>
  <r>
    <x v="6"/>
    <s v="6:00"/>
    <s v="З"/>
    <n v="3"/>
    <n v="4"/>
    <n v="-9.9"/>
    <m/>
    <m/>
    <s v="~"/>
    <n v="93"/>
    <n v="1"/>
    <n v="0"/>
    <n v="43.149999999999991"/>
    <n v="922.2"/>
    <n v="67"/>
    <s v="-"/>
  </r>
  <r>
    <x v="6"/>
    <s v="9:00"/>
    <s v="ЗЮЗ"/>
    <n v="3"/>
    <n v="4"/>
    <n v="-7.6"/>
    <m/>
    <m/>
    <s v="~"/>
    <n v="94"/>
    <n v="1"/>
    <n v="0"/>
    <n v="43.149999999999991"/>
    <n v="922"/>
    <n v="71"/>
    <s v="-"/>
  </r>
  <r>
    <x v="6"/>
    <s v="12:00"/>
    <s v="ЮЗ"/>
    <n v="1"/>
    <n v="2"/>
    <n v="-9.1"/>
    <m/>
    <m/>
    <s v="~"/>
    <n v="91"/>
    <n v="-3"/>
    <n v="0"/>
    <n v="43.149999999999991"/>
    <n v="922.2"/>
    <n v="69"/>
    <s v="-"/>
  </r>
  <r>
    <x v="6"/>
    <s v="15:00"/>
    <s v="ЗЮЗ"/>
    <n v="8"/>
    <n v="12"/>
    <n v="-3.1"/>
    <m/>
    <m/>
    <s v="м"/>
    <n v="95"/>
    <n v="4"/>
    <n v="0"/>
    <n v="43.149999999999991"/>
    <n v="922.7"/>
    <n v="69"/>
    <s v="-"/>
  </r>
  <r>
    <x v="6"/>
    <s v="18:00"/>
    <s v="ЗЮЗ"/>
    <n v="6"/>
    <n v="10"/>
    <n v="-4.2"/>
    <m/>
    <m/>
    <s v="~"/>
    <n v="95"/>
    <n v="0"/>
    <n v="0"/>
    <n v="43.149999999999991"/>
    <n v="925.5"/>
    <n v="69"/>
    <s v="-"/>
  </r>
  <r>
    <x v="6"/>
    <s v="21:00"/>
    <s v="З"/>
    <n v="6"/>
    <n v="8"/>
    <n v="-5.8"/>
    <m/>
    <m/>
    <s v="~"/>
    <n v="94"/>
    <n v="-1"/>
    <n v="0"/>
    <n v="43.149999999999991"/>
    <n v="928.2"/>
    <n v="66"/>
    <s v="-"/>
  </r>
  <r>
    <x v="7"/>
    <s v="0:00"/>
    <s v="З"/>
    <n v="10"/>
    <n v="15"/>
    <n v="-6.7"/>
    <m/>
    <m/>
    <s v="~"/>
    <n v="93"/>
    <n v="-1"/>
    <n v="0"/>
    <n v="43.149999999999991"/>
    <n v="929"/>
    <n v="57"/>
    <s v="-"/>
  </r>
  <r>
    <x v="7"/>
    <s v="3:00"/>
    <s v="ЗЮЗ"/>
    <n v="9"/>
    <n v="12"/>
    <n v="-7.1"/>
    <m/>
    <m/>
    <s v="~"/>
    <n v="93"/>
    <n v="0"/>
    <n v="0"/>
    <n v="43.149999999999991"/>
    <n v="930.3"/>
    <n v="52"/>
    <s v="-"/>
  </r>
  <r>
    <x v="7"/>
    <s v="6:00"/>
    <s v="ЗЮЗ"/>
    <n v="1"/>
    <n v="3"/>
    <n v="-11.5"/>
    <m/>
    <m/>
    <s v="~"/>
    <n v="90"/>
    <n v="-3"/>
    <n v="0"/>
    <n v="43.149999999999991"/>
    <n v="931.9"/>
    <n v="71"/>
    <s v="-"/>
  </r>
  <r>
    <x v="7"/>
    <s v="9:00"/>
    <s v="ЮЗ"/>
    <n v="1"/>
    <n v="2"/>
    <n v="-10.3"/>
    <m/>
    <m/>
    <s v="~"/>
    <n v="91"/>
    <n v="1"/>
    <n v="0"/>
    <n v="43.149999999999991"/>
    <n v="932.8"/>
    <n v="66"/>
    <s v="-"/>
  </r>
  <r>
    <x v="7"/>
    <s v="12:00"/>
    <s v="ЮЮЗ"/>
    <n v="1"/>
    <n v="2"/>
    <n v="-6.9"/>
    <m/>
    <m/>
    <s v="~"/>
    <n v="93"/>
    <n v="2"/>
    <n v="0"/>
    <n v="43.149999999999991"/>
    <n v="932.9"/>
    <n v="70"/>
    <s v="-"/>
  </r>
  <r>
    <x v="7"/>
    <s v="15:00"/>
    <s v="ЮВ"/>
    <n v="1"/>
    <n v="2"/>
    <n v="-7"/>
    <m/>
    <m/>
    <s v="~"/>
    <n v="93"/>
    <n v="0"/>
    <n v="0"/>
    <n v="43.149999999999991"/>
    <n v="932.3"/>
    <n v="73"/>
    <s v="-"/>
  </r>
  <r>
    <x v="7"/>
    <s v="18:00"/>
    <s v="ЮВ"/>
    <n v="0"/>
    <n v="1"/>
    <n v="-8.1"/>
    <m/>
    <m/>
    <s v="то"/>
    <n v="90"/>
    <n v="-3"/>
    <n v="0"/>
    <n v="43.149999999999991"/>
    <n v="931.7"/>
    <n v="91"/>
    <s v="-"/>
  </r>
  <r>
    <x v="7"/>
    <s v="21:00"/>
    <s v="ЮВ"/>
    <n v="1"/>
    <n v="1"/>
    <n v="-7.8"/>
    <m/>
    <m/>
    <s v="то"/>
    <n v="95"/>
    <n v="5"/>
    <n v="0"/>
    <n v="43.149999999999991"/>
    <n v="931.4"/>
    <n v="91"/>
    <s v="-"/>
  </r>
  <r>
    <x v="8"/>
    <s v="0:00"/>
    <s v="ЮЗ"/>
    <n v="0"/>
    <n v="1"/>
    <n v="-7.1"/>
    <m/>
    <m/>
    <s v="то"/>
    <n v="99"/>
    <n v="4"/>
    <n v="0"/>
    <n v="43.149999999999991"/>
    <n v="930.8"/>
    <n v="89"/>
    <s v="-"/>
  </r>
  <r>
    <x v="8"/>
    <s v="3:00"/>
    <s v="З"/>
    <n v="2"/>
    <n v="3"/>
    <n v="-10.4"/>
    <m/>
    <m/>
    <s v="~"/>
    <n v="98"/>
    <n v="-1"/>
    <n v="0"/>
    <n v="43.149999999999991"/>
    <n v="930.9"/>
    <n v="86"/>
    <s v="-"/>
  </r>
  <r>
    <x v="8"/>
    <s v="6:00"/>
    <s v="ЗСЗ"/>
    <n v="1"/>
    <n v="3"/>
    <n v="-9.6999999999999993"/>
    <m/>
    <m/>
    <s v="~"/>
    <n v="98"/>
    <n v="0"/>
    <n v="0"/>
    <n v="43.149999999999991"/>
    <n v="932"/>
    <n v="83"/>
    <s v="-"/>
  </r>
  <r>
    <x v="8"/>
    <s v="9:00"/>
    <s v="З"/>
    <n v="6"/>
    <n v="9"/>
    <n v="-6.1"/>
    <m/>
    <m/>
    <s v="м"/>
    <n v="101"/>
    <n v="3"/>
    <n v="0"/>
    <n v="43.149999999999991"/>
    <n v="934"/>
    <n v="71"/>
    <s v="-"/>
  </r>
  <r>
    <x v="8"/>
    <s v="12:00"/>
    <s v="З"/>
    <n v="0"/>
    <n v="1"/>
    <n v="-7.3"/>
    <m/>
    <m/>
    <s v="~"/>
    <n v="100"/>
    <n v="-1"/>
    <n v="0"/>
    <n v="43.149999999999991"/>
    <n v="935.6"/>
    <n v="88"/>
    <s v="-"/>
  </r>
  <r>
    <x v="8"/>
    <s v="15:00"/>
    <s v="ЗЮЗ"/>
    <n v="0"/>
    <n v="1"/>
    <n v="-5.5"/>
    <m/>
    <m/>
    <s v="~"/>
    <n v="101"/>
    <n v="1"/>
    <n v="0"/>
    <n v="43.149999999999991"/>
    <n v="935.6"/>
    <n v="78"/>
    <s v="-"/>
  </r>
  <r>
    <x v="8"/>
    <s v="18:00"/>
    <s v="ЗЮЗ"/>
    <n v="2"/>
    <n v="2"/>
    <n v="-7"/>
    <m/>
    <m/>
    <s v="~"/>
    <n v="100"/>
    <n v="-1"/>
    <n v="0"/>
    <n v="43.149999999999991"/>
    <n v="936.7"/>
    <n v="93"/>
    <s v="-"/>
  </r>
  <r>
    <x v="8"/>
    <s v="21:00"/>
    <s v="ЗЮЗ"/>
    <n v="1"/>
    <n v="3"/>
    <n v="-7.7"/>
    <m/>
    <m/>
    <s v="~"/>
    <n v="97"/>
    <n v="-3"/>
    <n v="0"/>
    <n v="43.149999999999991"/>
    <n v="938.5"/>
    <n v="93"/>
    <s v="-"/>
  </r>
  <r>
    <x v="9"/>
    <s v="0:00"/>
    <s v="З"/>
    <n v="2"/>
    <n v="4"/>
    <n v="-8.1999999999999993"/>
    <m/>
    <m/>
    <s v="м"/>
    <n v="102"/>
    <n v="5"/>
    <n v="0"/>
    <n v="43.149999999999991"/>
    <n v="940.6"/>
    <n v="71"/>
    <s v="-"/>
  </r>
  <r>
    <x v="9"/>
    <s v="3:00"/>
    <s v="З"/>
    <n v="3"/>
    <n v="4"/>
    <n v="-11.6"/>
    <m/>
    <m/>
    <s v="м"/>
    <n v="99"/>
    <n v="-3"/>
    <n v="0"/>
    <n v="43.149999999999991"/>
    <n v="942.8"/>
    <n v="79"/>
    <s v="-"/>
  </r>
  <r>
    <x v="9"/>
    <s v="6:00"/>
    <s v="З"/>
    <n v="4"/>
    <n v="4"/>
    <n v="-12"/>
    <m/>
    <m/>
    <s v="~"/>
    <n v="99"/>
    <n v="0"/>
    <n v="0"/>
    <n v="43.149999999999991"/>
    <n v="944.4"/>
    <n v="71"/>
    <s v="-"/>
  </r>
  <r>
    <x v="9"/>
    <s v="9:00"/>
    <s v="З"/>
    <n v="3"/>
    <n v="4"/>
    <n v="-9.6999999999999993"/>
    <m/>
    <m/>
    <s v="~"/>
    <n v="101"/>
    <n v="2"/>
    <n v="0"/>
    <n v="43.149999999999991"/>
    <n v="945.9"/>
    <n v="65"/>
    <s v="-"/>
  </r>
  <r>
    <x v="9"/>
    <s v="12:00"/>
    <s v="ЮЗ"/>
    <n v="2"/>
    <n v="3"/>
    <n v="-7.8"/>
    <m/>
    <m/>
    <s v="~"/>
    <n v="102"/>
    <n v="1"/>
    <n v="0"/>
    <n v="43.149999999999991"/>
    <n v="946.8"/>
    <n v="67"/>
    <s v="-"/>
  </r>
  <r>
    <x v="9"/>
    <s v="15:00"/>
    <s v="ЮЗ"/>
    <n v="1"/>
    <n v="1"/>
    <n v="-6.6"/>
    <m/>
    <m/>
    <s v="~"/>
    <n v="102"/>
    <n v="0"/>
    <n v="0"/>
    <n v="43.149999999999991"/>
    <n v="947"/>
    <n v="65"/>
    <s v="-"/>
  </r>
  <r>
    <x v="9"/>
    <s v="18:00"/>
    <s v="ЮЮВ"/>
    <n v="1"/>
    <n v="1"/>
    <n v="-7.8"/>
    <m/>
    <m/>
    <s v="то"/>
    <n v="102"/>
    <n v="0"/>
    <n v="0"/>
    <n v="43.149999999999991"/>
    <n v="947.7"/>
    <n v="85"/>
    <s v="-"/>
  </r>
  <r>
    <x v="9"/>
    <s v="21:00"/>
    <s v="-"/>
    <n v="0"/>
    <n v="0"/>
    <n v="-8.3000000000000007"/>
    <m/>
    <m/>
    <s v="то"/>
    <n v="96"/>
    <n v="-6"/>
    <n v="0"/>
    <n v="43.149999999999991"/>
    <n v="948.4"/>
    <n v="88"/>
    <s v="-"/>
  </r>
  <r>
    <x v="10"/>
    <s v="0:00"/>
    <s v="ЮВ"/>
    <n v="2"/>
    <n v="3"/>
    <n v="-8.1999999999999993"/>
    <m/>
    <m/>
    <s v="то"/>
    <n v="101"/>
    <n v="5"/>
    <n v="0"/>
    <n v="43.149999999999991"/>
    <n v="948.4"/>
    <n v="86"/>
    <s v="-"/>
  </r>
  <r>
    <x v="10"/>
    <s v="3:00"/>
    <s v="ЮВ"/>
    <n v="1"/>
    <n v="2"/>
    <n v="-8.3000000000000007"/>
    <m/>
    <m/>
    <s v="~"/>
    <n v="101"/>
    <n v="0"/>
    <n v="0"/>
    <n v="43.149999999999991"/>
    <n v="947.9"/>
    <n v="85"/>
    <s v="-"/>
  </r>
  <r>
    <x v="10"/>
    <s v="6:00"/>
    <s v="ЮЗ"/>
    <n v="1"/>
    <n v="2"/>
    <n v="-9.6"/>
    <m/>
    <m/>
    <s v="~"/>
    <n v="100"/>
    <n v="-1"/>
    <n v="0"/>
    <n v="43.149999999999991"/>
    <n v="948.3"/>
    <n v="86"/>
    <s v="-"/>
  </r>
  <r>
    <x v="10"/>
    <s v="9:00"/>
    <s v="З"/>
    <n v="3"/>
    <n v="4"/>
    <n v="-12.2"/>
    <m/>
    <m/>
    <s v="~"/>
    <n v="99"/>
    <n v="-1"/>
    <n v="0"/>
    <n v="43.149999999999991"/>
    <n v="948.7"/>
    <n v="84"/>
    <s v="-"/>
  </r>
  <r>
    <x v="10"/>
    <s v="12:00"/>
    <s v="З"/>
    <n v="3"/>
    <n v="3"/>
    <n v="-8.6999999999999993"/>
    <m/>
    <m/>
    <s v="~"/>
    <n v="99"/>
    <n v="0"/>
    <n v="0"/>
    <n v="43.149999999999991"/>
    <n v="948.7"/>
    <n v="75"/>
    <s v="-"/>
  </r>
  <r>
    <x v="10"/>
    <s v="15:00"/>
    <s v="З"/>
    <n v="0"/>
    <n v="1"/>
    <n v="-7.3"/>
    <m/>
    <m/>
    <s v="~"/>
    <n v="100"/>
    <n v="1"/>
    <n v="0"/>
    <n v="43.149999999999991"/>
    <n v="948.1"/>
    <n v="70"/>
    <s v="-"/>
  </r>
  <r>
    <x v="10"/>
    <s v="18:00"/>
    <s v="З"/>
    <n v="2"/>
    <n v="3"/>
    <n v="-10.4"/>
    <m/>
    <m/>
    <s v="~"/>
    <n v="100"/>
    <n v="0"/>
    <n v="0"/>
    <n v="43.149999999999991"/>
    <n v="949.1"/>
    <n v="74"/>
    <s v="-"/>
  </r>
  <r>
    <x v="10"/>
    <s v="21:00"/>
    <s v="З"/>
    <n v="3"/>
    <n v="3"/>
    <n v="-11"/>
    <m/>
    <m/>
    <s v="~"/>
    <n v="100"/>
    <n v="0"/>
    <n v="0"/>
    <n v="43.149999999999991"/>
    <n v="950.5"/>
    <n v="73"/>
    <s v="-"/>
  </r>
  <r>
    <x v="11"/>
    <s v="0:00"/>
    <s v="З"/>
    <n v="3"/>
    <n v="4"/>
    <n v="-10.9"/>
    <m/>
    <m/>
    <s v="~"/>
    <n v="100"/>
    <n v="0"/>
    <n v="0"/>
    <n v="43.149999999999991"/>
    <n v="950.6"/>
    <n v="63"/>
    <s v="-"/>
  </r>
  <r>
    <x v="11"/>
    <s v="3:00"/>
    <s v="ЗСЗ"/>
    <n v="4"/>
    <n v="4"/>
    <n v="-12.1"/>
    <m/>
    <m/>
    <s v="~"/>
    <n v="99"/>
    <n v="-1"/>
    <n v="0"/>
    <n v="43.149999999999991"/>
    <n v="950.3"/>
    <n v="55"/>
    <s v="-"/>
  </r>
  <r>
    <x v="11"/>
    <s v="6:00"/>
    <s v="ЗСЗ"/>
    <n v="3"/>
    <n v="4"/>
    <n v="-13"/>
    <m/>
    <m/>
    <s v="~"/>
    <n v="97"/>
    <n v="-2"/>
    <n v="0"/>
    <n v="43.149999999999991"/>
    <n v="950.8"/>
    <n v="55"/>
    <s v="-"/>
  </r>
  <r>
    <x v="11"/>
    <s v="9:00"/>
    <s v="З"/>
    <n v="3"/>
    <n v="4"/>
    <n v="-12.6"/>
    <m/>
    <m/>
    <s v="~"/>
    <n v="97"/>
    <n v="0"/>
    <n v="0"/>
    <n v="43.149999999999991"/>
    <n v="951.7"/>
    <n v="50"/>
    <s v="-"/>
  </r>
  <r>
    <x v="11"/>
    <s v="12:00"/>
    <s v="З"/>
    <n v="2"/>
    <n v="3"/>
    <n v="-10.3"/>
    <m/>
    <m/>
    <s v="~"/>
    <n v="99"/>
    <n v="2"/>
    <n v="0"/>
    <n v="43.149999999999991"/>
    <n v="951.5"/>
    <n v="50"/>
    <s v="-"/>
  </r>
  <r>
    <x v="11"/>
    <s v="15:00"/>
    <s v="З"/>
    <n v="2"/>
    <n v="3"/>
    <n v="-8.1999999999999993"/>
    <m/>
    <m/>
    <s v="~"/>
    <n v="98"/>
    <n v="-1"/>
    <n v="0"/>
    <n v="43.149999999999991"/>
    <n v="950.7"/>
    <n v="52"/>
    <s v="-"/>
  </r>
  <r>
    <x v="11"/>
    <s v="18:00"/>
    <s v="З"/>
    <n v="4"/>
    <n v="5"/>
    <n v="-11.3"/>
    <m/>
    <m/>
    <s v="~"/>
    <n v="95"/>
    <n v="-3"/>
    <n v="0"/>
    <n v="43.149999999999991"/>
    <n v="951.5"/>
    <n v="57"/>
    <s v="-"/>
  </r>
  <r>
    <x v="11"/>
    <s v="21:00"/>
    <s v="З"/>
    <n v="1"/>
    <n v="2"/>
    <n v="-12.7"/>
    <m/>
    <m/>
    <s v="~"/>
    <n v="95"/>
    <n v="0"/>
    <n v="0"/>
    <n v="43.149999999999991"/>
    <n v="952.3"/>
    <n v="65"/>
    <s v="-"/>
  </r>
  <r>
    <x v="12"/>
    <s v="0:00"/>
    <s v="ЗЮЗ"/>
    <n v="2"/>
    <n v="3"/>
    <n v="-13.4"/>
    <m/>
    <m/>
    <s v="~"/>
    <n v="94"/>
    <n v="-1"/>
    <n v="0"/>
    <n v="43.149999999999991"/>
    <n v="952"/>
    <n v="67"/>
    <s v="-"/>
  </r>
  <r>
    <x v="12"/>
    <s v="3:00"/>
    <s v="ЗЮЗ"/>
    <n v="2"/>
    <n v="4"/>
    <n v="-11.7"/>
    <m/>
    <m/>
    <s v="~"/>
    <n v="96"/>
    <n v="2"/>
    <n v="0"/>
    <n v="43.149999999999991"/>
    <n v="951.3"/>
    <n v="70"/>
    <s v="-"/>
  </r>
  <r>
    <x v="12"/>
    <s v="6:00"/>
    <s v="З"/>
    <n v="1"/>
    <n v="2"/>
    <n v="-11.4"/>
    <m/>
    <m/>
    <s v="~"/>
    <n v="97"/>
    <n v="1"/>
    <n v="0"/>
    <n v="43.149999999999991"/>
    <n v="951.6"/>
    <n v="70"/>
    <s v="-"/>
  </r>
  <r>
    <x v="12"/>
    <s v="9:00"/>
    <s v="З"/>
    <n v="1"/>
    <n v="1"/>
    <n v="-9.6999999999999993"/>
    <m/>
    <m/>
    <s v="~"/>
    <n v="100"/>
    <n v="3"/>
    <n v="0"/>
    <n v="43.149999999999991"/>
    <n v="952.7"/>
    <n v="64"/>
    <s v="-"/>
  </r>
  <r>
    <x v="12"/>
    <s v="12:00"/>
    <s v="С"/>
    <n v="1"/>
    <n v="2"/>
    <n v="-5.8"/>
    <m/>
    <m/>
    <s v="~"/>
    <n v="102"/>
    <n v="2"/>
    <n v="0"/>
    <n v="43.149999999999991"/>
    <n v="953"/>
    <n v="60"/>
    <s v="-"/>
  </r>
  <r>
    <x v="12"/>
    <s v="15:00"/>
    <s v="З"/>
    <n v="1"/>
    <n v="2"/>
    <n v="-4.8"/>
    <m/>
    <m/>
    <s v="~"/>
    <n v="102"/>
    <n v="0"/>
    <n v="0"/>
    <n v="43.149999999999991"/>
    <n v="952.4"/>
    <n v="70"/>
    <s v="-"/>
  </r>
  <r>
    <x v="12"/>
    <s v="18:00"/>
    <s v="З"/>
    <n v="1"/>
    <n v="2"/>
    <n v="-4.3"/>
    <m/>
    <m/>
    <s v="~"/>
    <n v="103"/>
    <n v="1"/>
    <n v="0"/>
    <n v="43.149999999999991"/>
    <n v="952.3"/>
    <n v="76"/>
    <s v="-"/>
  </r>
  <r>
    <x v="12"/>
    <s v="21:00"/>
    <s v="З"/>
    <n v="2"/>
    <n v="3"/>
    <n v="-4.8"/>
    <m/>
    <m/>
    <s v="~"/>
    <n v="102"/>
    <n v="-1"/>
    <n v="0"/>
    <n v="43.149999999999991"/>
    <n v="953.7"/>
    <n v="74"/>
    <s v="-"/>
  </r>
  <r>
    <x v="13"/>
    <s v="0:00"/>
    <s v="З"/>
    <n v="3"/>
    <n v="5"/>
    <n v="-5.7"/>
    <m/>
    <m/>
    <s v="~"/>
    <n v="101"/>
    <n v="-1"/>
    <n v="0"/>
    <n v="43.149999999999991"/>
    <n v="953.9"/>
    <n v="77"/>
    <s v="-"/>
  </r>
  <r>
    <x v="13"/>
    <s v="3:00"/>
    <s v="З"/>
    <n v="3"/>
    <n v="4"/>
    <n v="-3.9"/>
    <m/>
    <m/>
    <s v="~"/>
    <n v="103"/>
    <n v="2"/>
    <n v="0"/>
    <n v="43.149999999999991"/>
    <n v="954.4"/>
    <n v="72"/>
    <s v="-"/>
  </r>
  <r>
    <x v="13"/>
    <s v="6:00"/>
    <s v="З"/>
    <n v="3"/>
    <n v="3"/>
    <n v="-3.2"/>
    <m/>
    <m/>
    <s v="~"/>
    <n v="102"/>
    <n v="-1"/>
    <n v="0"/>
    <n v="43.149999999999991"/>
    <n v="954.6"/>
    <n v="69"/>
    <s v="-"/>
  </r>
  <r>
    <x v="13"/>
    <s v="9:00"/>
    <s v="З"/>
    <n v="3"/>
    <n v="4"/>
    <n v="-3.2"/>
    <m/>
    <m/>
    <s v="~"/>
    <n v="102"/>
    <n v="0"/>
    <n v="0"/>
    <n v="43.149999999999991"/>
    <n v="955.3"/>
    <n v="69"/>
    <s v="-"/>
  </r>
  <r>
    <x v="13"/>
    <s v="12:00"/>
    <s v="З"/>
    <n v="1"/>
    <n v="2"/>
    <n v="-1.8"/>
    <m/>
    <m/>
    <s v="~"/>
    <n v="102"/>
    <n v="0"/>
    <n v="0"/>
    <n v="43.149999999999991"/>
    <n v="955.8"/>
    <n v="68"/>
    <s v="-"/>
  </r>
  <r>
    <x v="13"/>
    <s v="15:00"/>
    <s v="З"/>
    <n v="0"/>
    <n v="1"/>
    <n v="1.5"/>
    <m/>
    <m/>
    <s v="~"/>
    <n v="104"/>
    <n v="2"/>
    <n v="0"/>
    <n v="43.149999999999991"/>
    <n v="955.4"/>
    <n v="57"/>
    <s v="-"/>
  </r>
  <r>
    <x v="13"/>
    <s v="18:00"/>
    <s v="З"/>
    <n v="2"/>
    <n v="3"/>
    <n v="-4.5"/>
    <m/>
    <m/>
    <s v="~"/>
    <n v="100"/>
    <n v="-4"/>
    <n v="0"/>
    <n v="43.149999999999991"/>
    <n v="956.1"/>
    <n v="78"/>
    <s v="-"/>
  </r>
  <r>
    <x v="13"/>
    <s v="21:00"/>
    <s v="З"/>
    <n v="3"/>
    <n v="4"/>
    <n v="-5.5"/>
    <m/>
    <m/>
    <s v="~"/>
    <n v="100"/>
    <n v="0"/>
    <n v="0"/>
    <n v="43.149999999999991"/>
    <n v="957.1"/>
    <n v="79"/>
    <s v="-"/>
  </r>
  <r>
    <x v="14"/>
    <s v="0:00"/>
    <s v="З"/>
    <n v="2"/>
    <n v="3"/>
    <n v="-6.4"/>
    <m/>
    <m/>
    <s v="~"/>
    <n v="100"/>
    <n v="0"/>
    <n v="0"/>
    <n v="43.149999999999991"/>
    <n v="956.9"/>
    <n v="78"/>
    <s v="-"/>
  </r>
  <r>
    <x v="14"/>
    <s v="3:00"/>
    <s v="ЗЮЗ"/>
    <n v="2"/>
    <n v="3"/>
    <n v="-7.7"/>
    <m/>
    <m/>
    <s v="~"/>
    <n v="99"/>
    <n v="-1"/>
    <n v="0"/>
    <n v="43.149999999999991"/>
    <n v="955.9"/>
    <n v="82"/>
    <s v="-"/>
  </r>
  <r>
    <x v="14"/>
    <s v="6:00"/>
    <s v="ЗЮЗ"/>
    <n v="1"/>
    <n v="3"/>
    <n v="-7.2"/>
    <m/>
    <m/>
    <s v="~"/>
    <n v="98"/>
    <n v="-1"/>
    <n v="0"/>
    <n v="43.149999999999991"/>
    <n v="955.2"/>
    <n v="78"/>
    <s v="-"/>
  </r>
  <r>
    <x v="14"/>
    <s v="9:00"/>
    <s v="ЗЮЗ"/>
    <n v="3"/>
    <n v="4"/>
    <n v="-5.8"/>
    <m/>
    <m/>
    <s v="~"/>
    <n v="99"/>
    <n v="1"/>
    <n v="0"/>
    <n v="43.149999999999991"/>
    <n v="955.5"/>
    <n v="74"/>
    <s v="-"/>
  </r>
  <r>
    <x v="14"/>
    <s v="12:00"/>
    <s v="З"/>
    <n v="1"/>
    <n v="2"/>
    <n v="-3.5"/>
    <m/>
    <m/>
    <s v="~"/>
    <n v="100"/>
    <n v="1"/>
    <n v="0"/>
    <n v="43.149999999999991"/>
    <n v="954.6"/>
    <n v="72"/>
    <s v="-"/>
  </r>
  <r>
    <x v="14"/>
    <s v="15:00"/>
    <s v="З"/>
    <n v="2"/>
    <n v="3"/>
    <n v="-4.3"/>
    <m/>
    <m/>
    <s v="~"/>
    <n v="100"/>
    <n v="0"/>
    <n v="0"/>
    <n v="43.149999999999991"/>
    <n v="953.2"/>
    <n v="81"/>
    <s v="-"/>
  </r>
  <r>
    <x v="14"/>
    <s v="18:00"/>
    <s v="З"/>
    <n v="2"/>
    <n v="3"/>
    <n v="-4.9000000000000004"/>
    <m/>
    <m/>
    <s v="~"/>
    <n v="99"/>
    <n v="-1"/>
    <n v="0"/>
    <n v="43.149999999999991"/>
    <n v="952.6"/>
    <n v="75"/>
    <s v="-"/>
  </r>
  <r>
    <x v="14"/>
    <s v="21:00"/>
    <s v="З"/>
    <n v="2"/>
    <n v="5"/>
    <n v="-5.3"/>
    <m/>
    <m/>
    <s v="~"/>
    <n v="99"/>
    <n v="0"/>
    <n v="0"/>
    <n v="43.149999999999991"/>
    <n v="952.1"/>
    <n v="69"/>
    <s v="-"/>
  </r>
  <r>
    <x v="15"/>
    <s v="0:00"/>
    <s v="З"/>
    <n v="2"/>
    <n v="4"/>
    <n v="-5.2"/>
    <m/>
    <m/>
    <s v="~"/>
    <n v="99"/>
    <n v="0"/>
    <n v="0"/>
    <n v="43.149999999999991"/>
    <n v="951.3"/>
    <n v="61"/>
    <s v="-"/>
  </r>
  <r>
    <x v="15"/>
    <s v="3:00"/>
    <s v="З"/>
    <n v="0"/>
    <n v="1"/>
    <n v="-4.4000000000000004"/>
    <m/>
    <m/>
    <s v="~"/>
    <n v="99"/>
    <n v="0"/>
    <n v="0"/>
    <n v="43.149999999999991"/>
    <n v="950.5"/>
    <n v="57"/>
    <s v="-"/>
  </r>
  <r>
    <x v="15"/>
    <s v="6:00"/>
    <s v="З"/>
    <n v="1"/>
    <n v="2"/>
    <n v="-6"/>
    <m/>
    <m/>
    <s v="~"/>
    <n v="98"/>
    <n v="-1"/>
    <n v="0"/>
    <n v="43.149999999999991"/>
    <n v="950.1"/>
    <n v="67"/>
    <s v="-"/>
  </r>
  <r>
    <x v="15"/>
    <s v="9:00"/>
    <s v="З"/>
    <n v="1"/>
    <n v="2"/>
    <n v="-6.5"/>
    <m/>
    <m/>
    <s v="~"/>
    <n v="98"/>
    <n v="0"/>
    <n v="0"/>
    <n v="43.149999999999991"/>
    <n v="950.4"/>
    <n v="70"/>
    <s v="-"/>
  </r>
  <r>
    <x v="15"/>
    <s v="12:00"/>
    <s v="ЗЮЗ"/>
    <n v="1"/>
    <n v="2"/>
    <n v="-4"/>
    <m/>
    <m/>
    <s v="~"/>
    <n v="99"/>
    <n v="1"/>
    <n v="0"/>
    <n v="43.149999999999991"/>
    <n v="950"/>
    <n v="59"/>
    <s v="-"/>
  </r>
  <r>
    <x v="15"/>
    <s v="15:00"/>
    <s v="ЗЮЗ"/>
    <n v="1"/>
    <n v="2"/>
    <n v="-2.8"/>
    <m/>
    <m/>
    <s v="~"/>
    <n v="100"/>
    <n v="1"/>
    <n v="0"/>
    <n v="43.149999999999991"/>
    <n v="948.4"/>
    <n v="61"/>
    <s v="-"/>
  </r>
  <r>
    <x v="15"/>
    <s v="18:00"/>
    <s v="ЗЮЗ"/>
    <n v="2"/>
    <n v="3"/>
    <n v="-6.1"/>
    <m/>
    <m/>
    <s v="~"/>
    <n v="98"/>
    <n v="-2"/>
    <n v="0"/>
    <n v="43.149999999999991"/>
    <n v="948"/>
    <n v="77"/>
    <s v="-"/>
  </r>
  <r>
    <x v="15"/>
    <s v="21:00"/>
    <s v="ЮЗ"/>
    <n v="3"/>
    <n v="3"/>
    <n v="-8"/>
    <m/>
    <m/>
    <s v="~"/>
    <n v="97"/>
    <n v="-1"/>
    <n v="0"/>
    <n v="43.149999999999991"/>
    <n v="947.4"/>
    <n v="79"/>
    <s v="-"/>
  </r>
  <r>
    <x v="16"/>
    <s v="0:00"/>
    <s v="ЮЗ"/>
    <n v="3"/>
    <n v="3"/>
    <n v="-9.9"/>
    <m/>
    <m/>
    <s v="~"/>
    <n v="97"/>
    <n v="0"/>
    <n v="0"/>
    <n v="43.149999999999991"/>
    <n v="945.8"/>
    <n v="83"/>
    <s v="-"/>
  </r>
  <r>
    <x v="16"/>
    <s v="3:00"/>
    <s v="ЮЗ"/>
    <n v="2"/>
    <n v="3"/>
    <n v="-9.3000000000000007"/>
    <m/>
    <m/>
    <s v="~"/>
    <n v="97"/>
    <n v="0"/>
    <n v="0"/>
    <n v="43.149999999999991"/>
    <n v="944"/>
    <n v="79"/>
    <s v="-"/>
  </r>
  <r>
    <x v="16"/>
    <s v="6:00"/>
    <s v="ЮЗ"/>
    <n v="1"/>
    <n v="3"/>
    <n v="-12"/>
    <m/>
    <m/>
    <s v="~"/>
    <n v="96"/>
    <n v="-1"/>
    <n v="0"/>
    <n v="43.149999999999991"/>
    <n v="942.2"/>
    <n v="91"/>
    <s v="-"/>
  </r>
  <r>
    <x v="16"/>
    <s v="9:00"/>
    <s v="ЮЗ"/>
    <n v="1"/>
    <n v="2"/>
    <n v="-11.3"/>
    <m/>
    <m/>
    <s v="~"/>
    <n v="97"/>
    <n v="1"/>
    <n v="0"/>
    <n v="43.149999999999991"/>
    <n v="940.5"/>
    <n v="84"/>
    <s v="-"/>
  </r>
  <r>
    <x v="16"/>
    <s v="12:00"/>
    <s v="З"/>
    <n v="1"/>
    <n v="1"/>
    <n v="-6.3"/>
    <m/>
    <m/>
    <s v="~"/>
    <n v="99"/>
    <n v="2"/>
    <n v="0"/>
    <n v="43.149999999999991"/>
    <n v="938.5"/>
    <n v="70"/>
    <s v="-"/>
  </r>
  <r>
    <x v="16"/>
    <s v="15:00"/>
    <s v="З"/>
    <n v="0"/>
    <n v="1"/>
    <n v="-4.4000000000000004"/>
    <m/>
    <m/>
    <s v="~"/>
    <n v="100"/>
    <n v="1"/>
    <n v="0"/>
    <n v="43.149999999999991"/>
    <n v="936.2"/>
    <n v="66"/>
    <s v="-"/>
  </r>
  <r>
    <x v="16"/>
    <s v="18:00"/>
    <s v="З"/>
    <n v="1"/>
    <n v="2"/>
    <n v="-6.5"/>
    <m/>
    <m/>
    <s v="~"/>
    <n v="99"/>
    <n v="-1"/>
    <n v="0"/>
    <n v="43.149999999999991"/>
    <n v="935.3"/>
    <n v="84"/>
    <s v="-"/>
  </r>
  <r>
    <x v="16"/>
    <s v="21:00"/>
    <s v="З"/>
    <n v="1"/>
    <n v="2"/>
    <n v="-8.1"/>
    <m/>
    <m/>
    <s v="~"/>
    <n v="98"/>
    <n v="-1"/>
    <n v="0"/>
    <n v="43.149999999999991"/>
    <n v="934"/>
    <n v="85"/>
    <s v="-"/>
  </r>
  <r>
    <x v="17"/>
    <s v="0:00"/>
    <s v="З"/>
    <n v="1"/>
    <n v="2"/>
    <n v="-7.4"/>
    <m/>
    <m/>
    <s v="~"/>
    <n v="99"/>
    <n v="1"/>
    <n v="0"/>
    <n v="43.149999999999991"/>
    <n v="932"/>
    <n v="88"/>
    <s v="-"/>
  </r>
  <r>
    <x v="17"/>
    <s v="3:00"/>
    <s v="ЗЮЗ"/>
    <n v="1"/>
    <n v="2"/>
    <n v="-7.3"/>
    <m/>
    <m/>
    <s v="~"/>
    <n v="99"/>
    <n v="0"/>
    <n v="0"/>
    <n v="43.149999999999991"/>
    <n v="929.5"/>
    <n v="79"/>
    <s v="-"/>
  </r>
  <r>
    <x v="17"/>
    <s v="6:00"/>
    <s v="ЗЮЗ"/>
    <n v="1"/>
    <n v="3"/>
    <n v="-4.4000000000000004"/>
    <m/>
    <m/>
    <s v="~"/>
    <n v="100"/>
    <n v="1"/>
    <n v="0"/>
    <n v="43.149999999999991"/>
    <n v="926.6"/>
    <n v="74"/>
    <s v="-"/>
  </r>
  <r>
    <x v="17"/>
    <s v="9:00"/>
    <s v="ЮЗ"/>
    <n v="2"/>
    <n v="3"/>
    <n v="-5.8"/>
    <m/>
    <m/>
    <s v="т"/>
    <n v="100"/>
    <n v="0"/>
    <n v="0"/>
    <n v="43.149999999999991"/>
    <n v="924.6"/>
    <n v="91"/>
    <s v="-"/>
  </r>
  <r>
    <x v="17"/>
    <s v="12:00"/>
    <s v="ЮЗ"/>
    <n v="2"/>
    <n v="3"/>
    <n v="-4.0999999999999996"/>
    <m/>
    <m/>
    <s v="т, то"/>
    <n v="101"/>
    <n v="1"/>
    <n v="0"/>
    <n v="43.149999999999991"/>
    <n v="920.5"/>
    <n v="92"/>
    <s v="-"/>
  </r>
  <r>
    <x v="17"/>
    <s v="15:00"/>
    <s v="ЮЗ"/>
    <n v="1"/>
    <n v="2"/>
    <n v="-2.5"/>
    <m/>
    <m/>
    <s v="~"/>
    <n v="100"/>
    <n v="-1"/>
    <n v="0"/>
    <n v="43.149999999999991"/>
    <n v="916.1"/>
    <n v="95"/>
    <s v="-"/>
  </r>
  <r>
    <x v="17"/>
    <s v="18:00"/>
    <s v="ЗЮЗ"/>
    <n v="12"/>
    <n v="18"/>
    <n v="-4"/>
    <m/>
    <m/>
    <s v="т, то, м"/>
    <n v="101"/>
    <n v="1"/>
    <n v="0"/>
    <n v="43.149999999999991"/>
    <n v="914.5"/>
    <n v="88"/>
    <s v="-"/>
  </r>
  <r>
    <x v="17"/>
    <s v="21:00"/>
    <s v="З"/>
    <n v="13"/>
    <n v="20"/>
    <n v="-5.9"/>
    <m/>
    <m/>
    <s v="м"/>
    <n v="99"/>
    <n v="-2"/>
    <n v="0"/>
    <n v="43.149999999999991"/>
    <n v="916"/>
    <n v="68"/>
    <s v="-"/>
  </r>
  <r>
    <x v="18"/>
    <s v="0:00"/>
    <s v="З"/>
    <n v="12"/>
    <n v="19"/>
    <n v="-7.3"/>
    <m/>
    <m/>
    <s v="м"/>
    <n v="99"/>
    <n v="0"/>
    <n v="0"/>
    <n v="43.149999999999991"/>
    <n v="916.9"/>
    <n v="75"/>
    <s v="-"/>
  </r>
  <r>
    <x v="18"/>
    <s v="3:00"/>
    <s v="З"/>
    <n v="10"/>
    <n v="15"/>
    <n v="-7.9"/>
    <m/>
    <m/>
    <s v="м"/>
    <n v="98"/>
    <n v="-1"/>
    <n v="0"/>
    <n v="43.149999999999991"/>
    <n v="917.2"/>
    <n v="61"/>
    <s v="-"/>
  </r>
  <r>
    <x v="18"/>
    <s v="6:00"/>
    <s v="З"/>
    <n v="9"/>
    <n v="14"/>
    <n v="-8.6999999999999993"/>
    <m/>
    <m/>
    <s v="~"/>
    <n v="98"/>
    <n v="0"/>
    <n v="0"/>
    <n v="43.149999999999991"/>
    <n v="917.7"/>
    <n v="59"/>
    <s v="-"/>
  </r>
  <r>
    <x v="18"/>
    <s v="9:00"/>
    <s v="З"/>
    <n v="10"/>
    <n v="15"/>
    <n v="-9.3000000000000007"/>
    <m/>
    <m/>
    <s v="~"/>
    <n v="97"/>
    <n v="-1"/>
    <n v="0"/>
    <n v="43.149999999999991"/>
    <n v="917.3"/>
    <n v="57"/>
    <s v="-"/>
  </r>
  <r>
    <x v="18"/>
    <s v="12:00"/>
    <s v="З"/>
    <n v="9"/>
    <n v="12"/>
    <n v="-8.3000000000000007"/>
    <m/>
    <m/>
    <s v="~"/>
    <n v="98"/>
    <n v="1"/>
    <n v="0"/>
    <n v="43.149999999999991"/>
    <n v="917.4"/>
    <n v="57"/>
    <s v="-"/>
  </r>
  <r>
    <x v="18"/>
    <s v="15:00"/>
    <s v="З"/>
    <n v="6"/>
    <n v="9"/>
    <n v="-6.8"/>
    <m/>
    <m/>
    <s v="~"/>
    <n v="99"/>
    <n v="1"/>
    <n v="0"/>
    <n v="43.149999999999991"/>
    <n v="915.5"/>
    <n v="48"/>
    <s v="-"/>
  </r>
  <r>
    <x v="18"/>
    <s v="18:00"/>
    <s v="З"/>
    <n v="2"/>
    <n v="3"/>
    <n v="-8.1"/>
    <m/>
    <m/>
    <s v="~"/>
    <n v="99"/>
    <n v="0"/>
    <n v="0"/>
    <n v="43.149999999999991"/>
    <n v="913.8"/>
    <n v="46"/>
    <s v="-"/>
  </r>
  <r>
    <x v="18"/>
    <s v="21:00"/>
    <s v="З"/>
    <n v="4"/>
    <n v="4"/>
    <n v="-10.9"/>
    <m/>
    <m/>
    <s v="~"/>
    <n v="98"/>
    <n v="-1"/>
    <n v="0"/>
    <n v="43.149999999999991"/>
    <n v="912.2"/>
    <n v="52"/>
    <s v="-"/>
  </r>
  <r>
    <x v="19"/>
    <s v="0:00"/>
    <s v="ЗСЗ"/>
    <n v="2"/>
    <n v="3"/>
    <n v="-11.1"/>
    <m/>
    <m/>
    <s v="~"/>
    <n v="98"/>
    <n v="0"/>
    <n v="0"/>
    <n v="43.149999999999991"/>
    <n v="909.7"/>
    <n v="46"/>
    <s v="-"/>
  </r>
  <r>
    <x v="19"/>
    <s v="3:00"/>
    <s v="СЗ"/>
    <n v="3"/>
    <n v="4"/>
    <n v="-11.9"/>
    <m/>
    <m/>
    <s v="~"/>
    <n v="97"/>
    <n v="-1"/>
    <n v="0"/>
    <n v="43.149999999999991"/>
    <n v="908"/>
    <n v="50"/>
    <s v="-"/>
  </r>
  <r>
    <x v="19"/>
    <s v="6:00"/>
    <s v="ЗСЗ"/>
    <n v="1"/>
    <n v="2"/>
    <n v="-11.9"/>
    <m/>
    <m/>
    <s v="~"/>
    <n v="97"/>
    <n v="0"/>
    <n v="0"/>
    <n v="43.149999999999991"/>
    <n v="906.9"/>
    <n v="51"/>
    <s v="-"/>
  </r>
  <r>
    <x v="19"/>
    <s v="9:00"/>
    <s v="З"/>
    <n v="2"/>
    <n v="5"/>
    <n v="-10.6"/>
    <m/>
    <m/>
    <s v="~"/>
    <n v="98"/>
    <n v="1"/>
    <n v="0"/>
    <n v="43.149999999999991"/>
    <n v="907.1"/>
    <n v="54"/>
    <s v="-"/>
  </r>
  <r>
    <x v="19"/>
    <s v="12:00"/>
    <s v="З"/>
    <n v="6"/>
    <n v="8"/>
    <n v="-8.1999999999999993"/>
    <m/>
    <m/>
    <s v="~"/>
    <n v="99"/>
    <n v="1"/>
    <n v="0"/>
    <n v="43.149999999999991"/>
    <n v="907.3"/>
    <n v="61"/>
    <s v="-"/>
  </r>
  <r>
    <x v="19"/>
    <s v="15:00"/>
    <s v="З"/>
    <n v="7"/>
    <n v="9"/>
    <n v="-8"/>
    <m/>
    <m/>
    <s v="~"/>
    <n v="99"/>
    <n v="0"/>
    <n v="0"/>
    <n v="43.149999999999991"/>
    <n v="906.5"/>
    <n v="58"/>
    <s v="-"/>
  </r>
  <r>
    <x v="19"/>
    <s v="18:00"/>
    <s v="З"/>
    <n v="3"/>
    <n v="4"/>
    <n v="-9"/>
    <m/>
    <m/>
    <s v="~"/>
    <n v="98"/>
    <n v="-1"/>
    <n v="0"/>
    <n v="43.149999999999991"/>
    <n v="906"/>
    <n v="56"/>
    <s v="-"/>
  </r>
  <r>
    <x v="19"/>
    <s v="21:00"/>
    <s v="З"/>
    <n v="3"/>
    <n v="4"/>
    <n v="-11.5"/>
    <m/>
    <m/>
    <s v="~"/>
    <n v="97"/>
    <n v="-1"/>
    <n v="0"/>
    <n v="43.149999999999991"/>
    <n v="906.3"/>
    <n v="65"/>
    <s v="-"/>
  </r>
  <r>
    <x v="20"/>
    <s v="0:00"/>
    <s v="З"/>
    <n v="3"/>
    <n v="4"/>
    <n v="-11.4"/>
    <m/>
    <m/>
    <s v="~"/>
    <n v="97"/>
    <n v="0"/>
    <n v="0"/>
    <n v="43.149999999999991"/>
    <n v="906.2"/>
    <n v="60"/>
    <s v="-"/>
  </r>
  <r>
    <x v="20"/>
    <s v="3:00"/>
    <s v="ЗСЗ"/>
    <n v="5"/>
    <n v="7"/>
    <n v="-9.1999999999999993"/>
    <m/>
    <m/>
    <s v="~"/>
    <n v="98"/>
    <n v="1"/>
    <n v="0"/>
    <n v="43.149999999999991"/>
    <n v="908"/>
    <n v="55"/>
    <s v="-"/>
  </r>
  <r>
    <x v="20"/>
    <s v="6:00"/>
    <s v="ЗСЗ"/>
    <n v="8"/>
    <n v="14"/>
    <n v="-8.5"/>
    <m/>
    <m/>
    <s v="~"/>
    <n v="98"/>
    <n v="0"/>
    <n v="0"/>
    <n v="43.149999999999991"/>
    <n v="911"/>
    <n v="72"/>
    <s v="-"/>
  </r>
  <r>
    <x v="20"/>
    <s v="9:00"/>
    <s v="ЗСЗ"/>
    <n v="13"/>
    <n v="19"/>
    <n v="-9.1999999999999993"/>
    <m/>
    <m/>
    <s v="то, м"/>
    <n v="97"/>
    <n v="-1"/>
    <n v="0"/>
    <n v="43.149999999999991"/>
    <n v="914.6"/>
    <n v="73"/>
    <s v="-"/>
  </r>
  <r>
    <x v="20"/>
    <s v="12:00"/>
    <s v="ЗСЗ"/>
    <n v="11"/>
    <n v="17"/>
    <n v="-8.1999999999999993"/>
    <m/>
    <m/>
    <s v="м"/>
    <n v="96"/>
    <n v="-1"/>
    <n v="0"/>
    <n v="43.149999999999991"/>
    <n v="918.4"/>
    <n v="67"/>
    <s v="-"/>
  </r>
  <r>
    <x v="20"/>
    <s v="15:00"/>
    <s v="ЗСЗ"/>
    <n v="13"/>
    <n v="20"/>
    <n v="-7.2"/>
    <m/>
    <m/>
    <s v="~"/>
    <n v="96"/>
    <n v="0"/>
    <n v="0"/>
    <n v="43.149999999999991"/>
    <n v="921.3"/>
    <n v="60"/>
    <s v="-"/>
  </r>
  <r>
    <x v="20"/>
    <s v="18:00"/>
    <s v="З"/>
    <n v="8"/>
    <n v="16"/>
    <n v="-8.4"/>
    <m/>
    <m/>
    <s v="~"/>
    <n v="96"/>
    <n v="0"/>
    <n v="0"/>
    <n v="43.149999999999991"/>
    <n v="924.7"/>
    <n v="54"/>
    <s v="-"/>
  </r>
  <r>
    <x v="20"/>
    <s v="21:00"/>
    <s v="З"/>
    <n v="9"/>
    <n v="18"/>
    <n v="-8.6"/>
    <m/>
    <m/>
    <s v="~"/>
    <n v="95"/>
    <n v="-1"/>
    <n v="0"/>
    <n v="43.149999999999991"/>
    <n v="928.6"/>
    <n v="50"/>
    <s v="-"/>
  </r>
  <r>
    <x v="21"/>
    <s v="0:00"/>
    <s v="З"/>
    <n v="8"/>
    <n v="11"/>
    <n v="-7.8"/>
    <m/>
    <m/>
    <s v="~"/>
    <n v="95"/>
    <n v="0"/>
    <n v="0"/>
    <n v="43.149999999999991"/>
    <n v="930"/>
    <n v="47"/>
    <s v="-"/>
  </r>
  <r>
    <x v="21"/>
    <s v="3:00"/>
    <s v="З"/>
    <n v="7"/>
    <n v="14"/>
    <n v="-6.5"/>
    <m/>
    <m/>
    <s v="~"/>
    <n v="96"/>
    <n v="1"/>
    <n v="0"/>
    <n v="43.149999999999991"/>
    <n v="930.2"/>
    <n v="54"/>
    <s v="-"/>
  </r>
  <r>
    <x v="21"/>
    <s v="6:00"/>
    <s v="З"/>
    <n v="11"/>
    <n v="20"/>
    <n v="-6"/>
    <m/>
    <m/>
    <s v="~"/>
    <n v="94"/>
    <n v="-2"/>
    <n v="0"/>
    <n v="43.149999999999991"/>
    <n v="930.1"/>
    <n v="63"/>
    <s v="-"/>
  </r>
  <r>
    <x v="21"/>
    <s v="9:00"/>
    <s v="З"/>
    <n v="11"/>
    <n v="18"/>
    <n v="-4"/>
    <m/>
    <m/>
    <s v="~"/>
    <n v="95"/>
    <n v="1"/>
    <n v="0"/>
    <n v="43.149999999999991"/>
    <n v="929"/>
    <n v="63"/>
    <s v="-"/>
  </r>
  <r>
    <x v="21"/>
    <s v="12:00"/>
    <s v="З"/>
    <n v="9"/>
    <n v="14"/>
    <n v="-1.6"/>
    <m/>
    <m/>
    <s v="~"/>
    <n v="95"/>
    <n v="0"/>
    <n v="0"/>
    <n v="43.149999999999991"/>
    <n v="928.2"/>
    <n v="55"/>
    <s v="-"/>
  </r>
  <r>
    <x v="21"/>
    <s v="15:00"/>
    <s v="З"/>
    <n v="7"/>
    <n v="12"/>
    <n v="0.5"/>
    <m/>
    <m/>
    <s v="~"/>
    <n v="97"/>
    <n v="2"/>
    <n v="0"/>
    <n v="43.149999999999991"/>
    <n v="926.2"/>
    <n v="50"/>
    <s v="-"/>
  </r>
  <r>
    <x v="21"/>
    <s v="18:00"/>
    <s v="З"/>
    <n v="8"/>
    <n v="15"/>
    <n v="0.9"/>
    <m/>
    <m/>
    <s v="~"/>
    <n v="97"/>
    <n v="0"/>
    <n v="0"/>
    <n v="43.149999999999991"/>
    <n v="925.7"/>
    <n v="52"/>
    <s v="-"/>
  </r>
  <r>
    <x v="21"/>
    <s v="21:00"/>
    <s v="З"/>
    <n v="8"/>
    <n v="13"/>
    <n v="0.4"/>
    <m/>
    <m/>
    <s v="~"/>
    <n v="97"/>
    <n v="0"/>
    <n v="0"/>
    <n v="43.149999999999991"/>
    <n v="926.6"/>
    <n v="59"/>
    <s v="-"/>
  </r>
  <r>
    <x v="22"/>
    <s v="0:00"/>
    <s v="З"/>
    <n v="8"/>
    <n v="15"/>
    <n v="-0.6"/>
    <m/>
    <m/>
    <s v="~"/>
    <n v="96"/>
    <n v="-1"/>
    <n v="0"/>
    <n v="43.149999999999991"/>
    <n v="927"/>
    <n v="65"/>
    <s v="-"/>
  </r>
  <r>
    <x v="22"/>
    <s v="3:00"/>
    <s v="З"/>
    <n v="9"/>
    <n v="14"/>
    <n v="-1.8"/>
    <m/>
    <m/>
    <s v="~"/>
    <n v="96"/>
    <n v="0"/>
    <n v="0"/>
    <n v="43.149999999999991"/>
    <n v="926.9"/>
    <n v="71"/>
    <s v="-"/>
  </r>
  <r>
    <x v="22"/>
    <s v="6:00"/>
    <s v="З"/>
    <n v="8"/>
    <n v="12"/>
    <n v="-1.9"/>
    <m/>
    <m/>
    <s v="~"/>
    <n v="96"/>
    <n v="0"/>
    <n v="0"/>
    <n v="43.149999999999991"/>
    <n v="926.9"/>
    <n v="74"/>
    <s v="-"/>
  </r>
  <r>
    <x v="22"/>
    <s v="9:00"/>
    <s v="ЗЮЗ"/>
    <n v="8"/>
    <n v="13"/>
    <n v="-2.8"/>
    <m/>
    <m/>
    <s v="~"/>
    <n v="95"/>
    <n v="-1"/>
    <n v="0"/>
    <n v="43.149999999999991"/>
    <n v="927.2"/>
    <n v="78"/>
    <s v="-"/>
  </r>
  <r>
    <x v="22"/>
    <s v="12:00"/>
    <s v="ЮЗ"/>
    <n v="4"/>
    <n v="12"/>
    <n v="-3.8"/>
    <m/>
    <m/>
    <s v="то"/>
    <n v="94"/>
    <n v="-1"/>
    <n v="0"/>
    <n v="43.149999999999991"/>
    <n v="927.9"/>
    <n v="77"/>
    <s v="-"/>
  </r>
  <r>
    <x v="22"/>
    <s v="15:00"/>
    <s v="ЮВ"/>
    <n v="4"/>
    <n v="6"/>
    <n v="-6.9"/>
    <m/>
    <m/>
    <s v="то"/>
    <n v="93"/>
    <n v="-1"/>
    <n v="0"/>
    <n v="43.149999999999991"/>
    <n v="927.4"/>
    <n v="91"/>
    <s v="-"/>
  </r>
  <r>
    <x v="22"/>
    <s v="18:00"/>
    <s v="В"/>
    <n v="3"/>
    <n v="4"/>
    <n v="-8.3000000000000007"/>
    <m/>
    <m/>
    <s v="то"/>
    <n v="91"/>
    <n v="-2"/>
    <n v="0"/>
    <n v="43.149999999999991"/>
    <n v="928.1"/>
    <n v="91"/>
    <s v="-"/>
  </r>
  <r>
    <x v="22"/>
    <s v="21:00"/>
    <s v="В"/>
    <n v="2"/>
    <n v="3"/>
    <n v="-9.6"/>
    <m/>
    <m/>
    <s v="то"/>
    <n v="97"/>
    <n v="6"/>
    <n v="0"/>
    <n v="43.149999999999991"/>
    <n v="928.4"/>
    <n v="91"/>
    <s v="-"/>
  </r>
  <r>
    <x v="23"/>
    <s v="0:00"/>
    <s v="В"/>
    <n v="0"/>
    <n v="1"/>
    <n v="-10.199999999999999"/>
    <m/>
    <m/>
    <s v="то"/>
    <n v="101"/>
    <n v="4"/>
    <n v="0"/>
    <n v="43.149999999999991"/>
    <n v="927.4"/>
    <n v="90"/>
    <s v="-"/>
  </r>
  <r>
    <x v="23"/>
    <s v="3:00"/>
    <s v="В"/>
    <n v="0"/>
    <n v="1"/>
    <n v="-10.6"/>
    <m/>
    <m/>
    <s v="то"/>
    <n v="103"/>
    <n v="2"/>
    <n v="0"/>
    <n v="43.149999999999991"/>
    <n v="926.9"/>
    <n v="90"/>
    <s v="-"/>
  </r>
  <r>
    <x v="23"/>
    <s v="6:00"/>
    <s v="В"/>
    <n v="0"/>
    <n v="2"/>
    <n v="-11"/>
    <m/>
    <m/>
    <s v="то"/>
    <n v="100"/>
    <n v="-3"/>
    <n v="0"/>
    <n v="43.149999999999991"/>
    <n v="926"/>
    <n v="89"/>
    <s v="-"/>
  </r>
  <r>
    <x v="23"/>
    <s v="9:00"/>
    <s v="~"/>
    <n v="0"/>
    <n v="0"/>
    <n v="-10.5"/>
    <m/>
    <m/>
    <s v="то"/>
    <n v="103"/>
    <n v="3"/>
    <n v="0"/>
    <n v="43.149999999999991"/>
    <n v="925.2"/>
    <n v="90"/>
    <s v="-"/>
  </r>
  <r>
    <x v="23"/>
    <s v="12:00"/>
    <s v="В"/>
    <n v="0"/>
    <n v="1"/>
    <n v="-8"/>
    <m/>
    <m/>
    <s v="то"/>
    <n v="107"/>
    <n v="4"/>
    <n v="0"/>
    <n v="43.149999999999991"/>
    <n v="922.9"/>
    <n v="86"/>
    <s v="-"/>
  </r>
  <r>
    <x v="23"/>
    <s v="15:00"/>
    <s v="В"/>
    <n v="1"/>
    <n v="2"/>
    <n v="-8.6"/>
    <m/>
    <m/>
    <s v="то"/>
    <n v="115"/>
    <n v="8"/>
    <n v="0"/>
    <n v="43.149999999999991"/>
    <n v="919.1"/>
    <n v="84"/>
    <s v="-"/>
  </r>
  <r>
    <x v="23"/>
    <s v="18:00"/>
    <s v="СЗ"/>
    <n v="1"/>
    <n v="2"/>
    <n v="-8.4"/>
    <m/>
    <m/>
    <s v="то"/>
    <n v="130"/>
    <n v="15"/>
    <n v="0"/>
    <n v="43.149999999999991"/>
    <n v="914.5"/>
    <n v="86"/>
    <s v="-"/>
  </r>
  <r>
    <x v="23"/>
    <s v="21:00"/>
    <s v="СВ"/>
    <n v="5"/>
    <n v="8"/>
    <n v="-9.9"/>
    <m/>
    <m/>
    <s v="то"/>
    <n v="135"/>
    <n v="5"/>
    <n v="0"/>
    <n v="43.149999999999991"/>
    <n v="910"/>
    <n v="80"/>
    <s v="-"/>
  </r>
  <r>
    <x v="24"/>
    <s v="0:00"/>
    <s v="СВ"/>
    <n v="2"/>
    <n v="3"/>
    <n v="-9.6"/>
    <m/>
    <m/>
    <s v="то"/>
    <n v="132"/>
    <n v="-3"/>
    <n v="0"/>
    <n v="43.149999999999991"/>
    <n v="905.7"/>
    <n v="80"/>
    <s v="-"/>
  </r>
  <r>
    <x v="24"/>
    <s v="3:00"/>
    <s v="СЗ"/>
    <n v="0"/>
    <n v="1"/>
    <n v="-10.4"/>
    <m/>
    <m/>
    <s v="то"/>
    <n v="132"/>
    <n v="0"/>
    <n v="0"/>
    <n v="43.149999999999991"/>
    <n v="902"/>
    <n v="89"/>
    <s v="-"/>
  </r>
  <r>
    <x v="24"/>
    <s v="6:00"/>
    <s v="З"/>
    <n v="2"/>
    <n v="5"/>
    <n v="-12.2"/>
    <m/>
    <m/>
    <s v="то"/>
    <n v="134"/>
    <n v="2"/>
    <n v="0"/>
    <n v="43.149999999999991"/>
    <n v="898.2"/>
    <n v="81"/>
    <s v="-"/>
  </r>
  <r>
    <x v="24"/>
    <s v="9:00"/>
    <s v="З"/>
    <n v="2"/>
    <n v="3"/>
    <n v="-13.6"/>
    <m/>
    <m/>
    <s v="то"/>
    <n v="133"/>
    <n v="-1"/>
    <n v="0"/>
    <n v="43.149999999999991"/>
    <n v="895.1"/>
    <n v="76"/>
    <s v="-"/>
  </r>
  <r>
    <x v="24"/>
    <s v="12:00"/>
    <s v="З"/>
    <n v="7"/>
    <n v="22"/>
    <n v="-16.100000000000001"/>
    <m/>
    <m/>
    <s v="м"/>
    <n v="88"/>
    <n v="-45"/>
    <n v="0"/>
    <n v="43.149999999999991"/>
    <n v="893.8"/>
    <n v="82"/>
    <s v="-"/>
  </r>
  <r>
    <x v="24"/>
    <s v="15:00"/>
    <s v="З"/>
    <m/>
    <m/>
    <n v="-13.1"/>
    <m/>
    <m/>
    <s v="м"/>
    <n v="89"/>
    <n v="1"/>
    <n v="0"/>
    <n v="43.149999999999991"/>
    <n v="895"/>
    <n v="84"/>
    <s v="-"/>
  </r>
  <r>
    <x v="24"/>
    <s v="18:00"/>
    <s v="З"/>
    <n v="22"/>
    <n v="29"/>
    <n v="-15.2"/>
    <m/>
    <m/>
    <s v="м"/>
    <n v="87"/>
    <n v="-2"/>
    <n v="0"/>
    <n v="43.149999999999991"/>
    <n v="896.4"/>
    <n v="82"/>
    <s v="-"/>
  </r>
  <r>
    <x v="24"/>
    <s v="21:00"/>
    <s v="З"/>
    <n v="20"/>
    <n v="26"/>
    <n v="-16.8"/>
    <m/>
    <m/>
    <s v="м"/>
    <n v="86"/>
    <n v="-1"/>
    <n v="0"/>
    <n v="43.149999999999991"/>
    <n v="901.1"/>
    <n v="77"/>
    <s v="-"/>
  </r>
  <r>
    <x v="25"/>
    <s v="0:00"/>
    <s v="З"/>
    <n v="15"/>
    <n v="22"/>
    <n v="-17.3"/>
    <m/>
    <m/>
    <s v="м"/>
    <n v="86"/>
    <n v="0"/>
    <n v="0"/>
    <n v="43.149999999999991"/>
    <n v="905.1"/>
    <n v="74"/>
    <s v="-"/>
  </r>
  <r>
    <x v="25"/>
    <s v="3:00"/>
    <s v="З"/>
    <n v="21"/>
    <n v="21"/>
    <n v="-16.399999999999999"/>
    <m/>
    <m/>
    <s v="м"/>
    <n v="86"/>
    <n v="0"/>
    <n v="0"/>
    <n v="43.149999999999991"/>
    <n v="907.8"/>
    <n v="68"/>
    <s v="-"/>
  </r>
  <r>
    <x v="25"/>
    <s v="6:00"/>
    <s v="З"/>
    <n v="18"/>
    <n v="18"/>
    <n v="-16"/>
    <m/>
    <m/>
    <s v="м"/>
    <n v="87"/>
    <n v="1"/>
    <n v="0"/>
    <n v="43.149999999999991"/>
    <n v="910"/>
    <n v="80"/>
    <s v="-"/>
  </r>
  <r>
    <x v="25"/>
    <s v="9:00"/>
    <s v="З"/>
    <m/>
    <m/>
    <n v="-15.1"/>
    <m/>
    <m/>
    <s v="м"/>
    <n v="87"/>
    <n v="0"/>
    <n v="0"/>
    <n v="43.149999999999991"/>
    <n v="912.1"/>
    <n v="60"/>
    <s v="-"/>
  </r>
  <r>
    <x v="25"/>
    <s v="12:00"/>
    <s v="З"/>
    <m/>
    <m/>
    <n v="-13.4"/>
    <m/>
    <m/>
    <s v="м"/>
    <n v="88"/>
    <n v="1"/>
    <n v="0"/>
    <n v="43.149999999999991"/>
    <n v="914.3"/>
    <n v="68"/>
    <s v="-"/>
  </r>
  <r>
    <x v="25"/>
    <s v="15:00"/>
    <s v="З"/>
    <m/>
    <m/>
    <n v="-11.6"/>
    <m/>
    <m/>
    <s v="м"/>
    <n v="89"/>
    <n v="1"/>
    <n v="0"/>
    <n v="43.149999999999991"/>
    <n v="916.2"/>
    <n v="60"/>
    <s v="-"/>
  </r>
  <r>
    <x v="25"/>
    <s v="18:00"/>
    <s v="З"/>
    <m/>
    <m/>
    <n v="-10.9"/>
    <m/>
    <m/>
    <s v="м"/>
    <n v="89"/>
    <n v="0"/>
    <n v="0"/>
    <n v="43.149999999999991"/>
    <n v="918.6"/>
    <n v="56"/>
    <s v="-"/>
  </r>
  <r>
    <x v="25"/>
    <s v="21:00"/>
    <s v="З"/>
    <m/>
    <m/>
    <n v="-10.199999999999999"/>
    <m/>
    <m/>
    <s v="~"/>
    <n v="89"/>
    <n v="0"/>
    <n v="0"/>
    <n v="43.149999999999991"/>
    <n v="921.9"/>
    <n v="48"/>
    <s v="-"/>
  </r>
  <r>
    <x v="26"/>
    <s v="0:00"/>
    <s v="З"/>
    <n v="2"/>
    <n v="4"/>
    <n v="-10.1"/>
    <m/>
    <m/>
    <s v="~"/>
    <n v="88"/>
    <n v="-1"/>
    <n v="0"/>
    <n v="43.149999999999991"/>
    <n v="924.8"/>
    <n v="74"/>
    <s v="-"/>
  </r>
  <r>
    <x v="26"/>
    <s v="3:00"/>
    <s v="З"/>
    <n v="6"/>
    <n v="8"/>
    <n v="-9.1"/>
    <m/>
    <m/>
    <s v="~"/>
    <n v="89"/>
    <n v="1"/>
    <n v="0"/>
    <n v="43.149999999999991"/>
    <n v="927.5"/>
    <n v="54"/>
    <s v="-"/>
  </r>
  <r>
    <x v="26"/>
    <s v="6:00"/>
    <s v="З"/>
    <n v="4"/>
    <n v="6"/>
    <n v="-8.4"/>
    <m/>
    <m/>
    <s v="~"/>
    <n v="90"/>
    <n v="1"/>
    <n v="0"/>
    <n v="43.149999999999991"/>
    <n v="931.2"/>
    <n v="43"/>
    <s v="-"/>
  </r>
  <r>
    <x v="26"/>
    <s v="9:00"/>
    <s v="З"/>
    <n v="7"/>
    <n v="12"/>
    <n v="-8.6"/>
    <m/>
    <m/>
    <s v="~"/>
    <n v="90"/>
    <n v="0"/>
    <n v="0"/>
    <n v="43.149999999999991"/>
    <n v="934"/>
    <n v="50"/>
    <s v="-"/>
  </r>
  <r>
    <x v="26"/>
    <s v="12:00"/>
    <s v="З"/>
    <n v="6"/>
    <n v="12"/>
    <n v="-6.2"/>
    <m/>
    <m/>
    <s v="~"/>
    <n v="91"/>
    <n v="1"/>
    <n v="0"/>
    <n v="43.149999999999991"/>
    <n v="936.5"/>
    <n v="51"/>
    <s v="-"/>
  </r>
  <r>
    <x v="26"/>
    <s v="15:00"/>
    <s v="З"/>
    <n v="7"/>
    <n v="11"/>
    <n v="-4.5999999999999996"/>
    <m/>
    <m/>
    <s v="~"/>
    <n v="92"/>
    <n v="1"/>
    <n v="0"/>
    <n v="43.149999999999991"/>
    <n v="936.1"/>
    <n v="54"/>
    <s v="-"/>
  </r>
  <r>
    <x v="26"/>
    <s v="18:00"/>
    <s v="З"/>
    <n v="1"/>
    <n v="2"/>
    <n v="-6.1"/>
    <m/>
    <m/>
    <s v="~"/>
    <n v="92"/>
    <n v="0"/>
    <n v="0"/>
    <n v="43.149999999999991"/>
    <n v="936.5"/>
    <n v="55"/>
    <s v="-"/>
  </r>
  <r>
    <x v="26"/>
    <s v="21:00"/>
    <s v="З"/>
    <n v="2"/>
    <n v="3"/>
    <n v="-8.3000000000000007"/>
    <m/>
    <m/>
    <s v="~"/>
    <n v="91"/>
    <n v="-1"/>
    <n v="0"/>
    <n v="43.149999999999991"/>
    <n v="935.9"/>
    <n v="58"/>
    <s v="-"/>
  </r>
  <r>
    <x v="27"/>
    <s v="0:00"/>
    <s v="З"/>
    <n v="2"/>
    <n v="4"/>
    <n v="-7.8"/>
    <m/>
    <m/>
    <s v="~"/>
    <n v="92"/>
    <n v="1"/>
    <n v="0"/>
    <n v="43.149999999999991"/>
    <n v="934.4"/>
    <n v="60"/>
    <s v="-"/>
  </r>
  <r>
    <x v="27"/>
    <s v="3:00"/>
    <s v="З"/>
    <n v="2"/>
    <n v="3"/>
    <n v="-8.4"/>
    <m/>
    <m/>
    <s v="то"/>
    <n v="91"/>
    <n v="-1"/>
    <n v="0"/>
    <n v="43.149999999999991"/>
    <n v="930.6"/>
    <n v="67"/>
    <s v="-"/>
  </r>
  <r>
    <x v="27"/>
    <s v="6:00"/>
    <s v="З"/>
    <n v="1"/>
    <n v="1"/>
    <n v="-8.1999999999999993"/>
    <m/>
    <m/>
    <s v="то"/>
    <n v="90"/>
    <n v="-1"/>
    <n v="0"/>
    <n v="43.149999999999991"/>
    <n v="927.6"/>
    <n v="88"/>
    <s v="-"/>
  </r>
  <r>
    <x v="27"/>
    <s v="9:00"/>
    <s v="ЗЮЗ"/>
    <n v="0"/>
    <n v="1"/>
    <n v="-6.9"/>
    <m/>
    <m/>
    <s v="то"/>
    <n v="93"/>
    <n v="3"/>
    <n v="0"/>
    <n v="43.149999999999991"/>
    <n v="923.2"/>
    <n v="90"/>
    <s v="-"/>
  </r>
  <r>
    <x v="27"/>
    <s v="12:00"/>
    <s v="Ю"/>
    <n v="1"/>
    <n v="2"/>
    <n v="-4.8"/>
    <m/>
    <m/>
    <s v="то"/>
    <n v="102"/>
    <n v="9"/>
    <n v="0"/>
    <n v="43.149999999999991"/>
    <n v="918.3"/>
    <n v="82"/>
    <s v="-"/>
  </r>
  <r>
    <x v="27"/>
    <s v="15:00"/>
    <s v="В"/>
    <n v="7"/>
    <n v="10"/>
    <n v="-3.7"/>
    <m/>
    <m/>
    <s v="м"/>
    <n v="105"/>
    <n v="3"/>
    <n v="0"/>
    <n v="43.149999999999991"/>
    <n v="916.2"/>
    <n v="70"/>
    <s v="-"/>
  </r>
  <r>
    <x v="27"/>
    <s v="18:00"/>
    <s v="В"/>
    <n v="6"/>
    <n v="12"/>
    <n v="-1.9"/>
    <m/>
    <m/>
    <s v="~"/>
    <n v="109"/>
    <n v="4"/>
    <n v="0"/>
    <n v="43.149999999999991"/>
    <n v="917"/>
    <n v="47"/>
    <s v="-"/>
  </r>
  <r>
    <x v="27"/>
    <s v="21:00"/>
    <s v="В"/>
    <n v="7"/>
    <n v="11"/>
    <n v="-4.8"/>
    <m/>
    <m/>
    <s v="~"/>
    <n v="107"/>
    <n v="-2"/>
    <n v="0"/>
    <n v="43.149999999999991"/>
    <n v="920.4"/>
    <n v="75"/>
    <s v="-"/>
  </r>
  <r>
    <x v="28"/>
    <s v="0:00"/>
    <s v="СВ"/>
    <n v="8"/>
    <n v="10"/>
    <n v="-5.3"/>
    <m/>
    <m/>
    <s v="~"/>
    <n v="107"/>
    <n v="0"/>
    <n v="0"/>
    <n v="43.149999999999991"/>
    <n v="923.4"/>
    <n v="74"/>
    <s v="-"/>
  </r>
  <r>
    <x v="28"/>
    <s v="3:00"/>
    <s v="ЗСЗ"/>
    <n v="7"/>
    <n v="12"/>
    <n v="-5.7"/>
    <m/>
    <m/>
    <s v="м"/>
    <n v="106"/>
    <n v="-1"/>
    <n v="0"/>
    <n v="43.149999999999991"/>
    <n v="925"/>
    <n v="79"/>
    <s v="-"/>
  </r>
  <r>
    <x v="28"/>
    <s v="6:00"/>
    <s v="З"/>
    <n v="9"/>
    <n v="15"/>
    <n v="-7"/>
    <m/>
    <m/>
    <s v="м"/>
    <n v="94"/>
    <n v="-12"/>
    <n v="0"/>
    <n v="43.149999999999991"/>
    <n v="926.7"/>
    <n v="72"/>
    <s v="-"/>
  </r>
  <r>
    <x v="28"/>
    <s v="9:00"/>
    <s v="Ю"/>
    <n v="12"/>
    <n v="17"/>
    <n v="-8.4"/>
    <m/>
    <m/>
    <s v="~"/>
    <n v="89"/>
    <n v="-5"/>
    <n v="0"/>
    <n v="43.149999999999991"/>
    <n v="928"/>
    <n v="71"/>
    <s v="-"/>
  </r>
  <r>
    <x v="28"/>
    <s v="12:00"/>
    <s v="Ю"/>
    <n v="10"/>
    <n v="14"/>
    <n v="-6.6"/>
    <m/>
    <m/>
    <s v="~"/>
    <n v="91"/>
    <n v="2"/>
    <n v="0"/>
    <n v="43.149999999999991"/>
    <n v="929.4"/>
    <n v="57"/>
    <s v="-"/>
  </r>
  <r>
    <x v="28"/>
    <s v="15:00"/>
    <s v="Ю"/>
    <n v="11"/>
    <n v="16"/>
    <n v="-6"/>
    <m/>
    <m/>
    <s v="~"/>
    <n v="91"/>
    <n v="0"/>
    <n v="0"/>
    <n v="43.149999999999991"/>
    <n v="929.3"/>
    <n v="57"/>
    <s v="-"/>
  </r>
  <r>
    <x v="28"/>
    <s v="18:00"/>
    <s v="Ю"/>
    <n v="9"/>
    <n v="13"/>
    <n v="-5.6"/>
    <m/>
    <m/>
    <s v="~"/>
    <n v="92"/>
    <n v="1"/>
    <n v="0"/>
    <n v="43.149999999999991"/>
    <n v="929.9"/>
    <n v="49"/>
    <s v="-"/>
  </r>
  <r>
    <x v="28"/>
    <s v="21:00"/>
    <s v="Ю"/>
    <n v="9"/>
    <n v="13"/>
    <n v="-5.7"/>
    <m/>
    <m/>
    <s v="~"/>
    <n v="91"/>
    <n v="-1"/>
    <n v="0"/>
    <n v="43.149999999999991"/>
    <n v="931.2"/>
    <n v="51"/>
    <s v="-"/>
  </r>
  <r>
    <x v="29"/>
    <s v="0:00"/>
    <s v="Ю"/>
    <n v="9"/>
    <n v="16"/>
    <n v="-6.2"/>
    <m/>
    <m/>
    <s v="~"/>
    <n v="91"/>
    <n v="0"/>
    <n v="0"/>
    <n v="43.149999999999991"/>
    <n v="932"/>
    <n v="49"/>
    <s v="-"/>
  </r>
  <r>
    <x v="29"/>
    <s v="3:00"/>
    <s v="Ю"/>
    <n v="10"/>
    <n v="15"/>
    <n v="-6.6"/>
    <m/>
    <m/>
    <s v="~"/>
    <n v="90"/>
    <n v="-1"/>
    <n v="0"/>
    <n v="43.149999999999991"/>
    <n v="932.1"/>
    <n v="52"/>
    <s v="-"/>
  </r>
  <r>
    <x v="29"/>
    <s v="6:00"/>
    <s v="Ю"/>
    <n v="9"/>
    <n v="13"/>
    <n v="-6.6"/>
    <m/>
    <m/>
    <s v="~"/>
    <n v="91"/>
    <n v="1"/>
    <n v="0"/>
    <n v="43.149999999999991"/>
    <n v="932.8"/>
    <n v="47"/>
    <s v="-"/>
  </r>
  <r>
    <x v="29"/>
    <s v="9:00"/>
    <s v="Ю"/>
    <n v="3"/>
    <n v="7"/>
    <n v="-7.4"/>
    <m/>
    <m/>
    <s v="~"/>
    <n v="90"/>
    <n v="-1"/>
    <n v="0"/>
    <n v="43.149999999999991"/>
    <n v="933.9"/>
    <n v="45"/>
    <s v="-"/>
  </r>
  <r>
    <x v="29"/>
    <s v="12:00"/>
    <s v="Ю"/>
    <n v="4"/>
    <n v="8"/>
    <n v="-3.8"/>
    <m/>
    <m/>
    <s v="~"/>
    <n v="92"/>
    <n v="2"/>
    <n v="0"/>
    <n v="43.149999999999991"/>
    <n v="934.4"/>
    <n v="49"/>
    <s v="-"/>
  </r>
  <r>
    <x v="29"/>
    <s v="15:00"/>
    <s v="Ю"/>
    <n v="1"/>
    <n v="2"/>
    <n v="-3.7"/>
    <m/>
    <m/>
    <s v="~"/>
    <n v="93"/>
    <n v="1"/>
    <n v="0"/>
    <n v="43.149999999999991"/>
    <n v="934.6"/>
    <n v="52"/>
    <s v="-"/>
  </r>
  <r>
    <x v="29"/>
    <s v="18:00"/>
    <s v="Ю"/>
    <n v="1"/>
    <n v="2"/>
    <n v="-4.4000000000000004"/>
    <m/>
    <m/>
    <s v="~"/>
    <n v="92"/>
    <n v="-1"/>
    <n v="0"/>
    <n v="43.149999999999991"/>
    <n v="935.7"/>
    <n v="64"/>
    <s v="-"/>
  </r>
  <r>
    <x v="29"/>
    <s v="21:00"/>
    <s v="Ю"/>
    <n v="1"/>
    <n v="2"/>
    <n v="-7.5"/>
    <m/>
    <m/>
    <s v="~"/>
    <n v="91"/>
    <n v="-1"/>
    <n v="0"/>
    <n v="43.149999999999991"/>
    <n v="937.6"/>
    <n v="67"/>
    <s v="-"/>
  </r>
  <r>
    <x v="30"/>
    <s v="0:00"/>
    <s v="Ю"/>
    <n v="1"/>
    <n v="2"/>
    <n v="-7.1"/>
    <m/>
    <m/>
    <s v="~"/>
    <n v="91"/>
    <n v="0"/>
    <n v="0"/>
    <n v="43.149999999999991"/>
    <n v="938.6"/>
    <n v="59"/>
    <s v="-"/>
  </r>
  <r>
    <x v="30"/>
    <s v="3:00"/>
    <s v="Ю"/>
    <n v="1"/>
    <n v="3"/>
    <n v="-7.2"/>
    <m/>
    <m/>
    <s v="~"/>
    <n v="91"/>
    <n v="0"/>
    <n v="0"/>
    <n v="43.149999999999991"/>
    <n v="939.3"/>
    <n v="58"/>
    <s v="-"/>
  </r>
  <r>
    <x v="30"/>
    <s v="6:00"/>
    <s v="Ю"/>
    <n v="1"/>
    <n v="2"/>
    <n v="-6.5"/>
    <m/>
    <m/>
    <s v="~"/>
    <n v="91"/>
    <n v="0"/>
    <n v="0"/>
    <n v="43.149999999999991"/>
    <n v="939.7"/>
    <n v="59"/>
    <s v="-"/>
  </r>
  <r>
    <x v="30"/>
    <s v="9:00"/>
    <s v="Ю"/>
    <n v="2"/>
    <n v="4"/>
    <n v="-6.6"/>
    <m/>
    <m/>
    <s v="~"/>
    <n v="91"/>
    <n v="0"/>
    <n v="0"/>
    <n v="43.149999999999991"/>
    <n v="940.7"/>
    <n v="60"/>
    <s v="-"/>
  </r>
  <r>
    <x v="30"/>
    <s v="12:00"/>
    <s v="Ю"/>
    <n v="1"/>
    <n v="3"/>
    <n v="-0.9"/>
    <m/>
    <m/>
    <s v="~"/>
    <n v="94"/>
    <n v="3"/>
    <n v="0"/>
    <n v="43.149999999999991"/>
    <n v="941"/>
    <n v="51"/>
    <s v="-"/>
  </r>
  <r>
    <x v="30"/>
    <s v="15:00"/>
    <s v="Ю"/>
    <n v="4"/>
    <n v="9"/>
    <n v="0.8"/>
    <m/>
    <m/>
    <s v="~"/>
    <n v="95"/>
    <n v="1"/>
    <n v="0"/>
    <n v="43.149999999999991"/>
    <n v="941.1"/>
    <n v="50"/>
    <s v="-"/>
  </r>
  <r>
    <x v="30"/>
    <s v="18:00"/>
    <s v="Ю"/>
    <n v="3"/>
    <n v="5"/>
    <n v="0.2"/>
    <m/>
    <m/>
    <s v="~"/>
    <n v="95"/>
    <n v="0"/>
    <n v="0"/>
    <n v="43.149999999999991"/>
    <n v="941.2"/>
    <n v="52"/>
    <s v="-"/>
  </r>
  <r>
    <x v="30"/>
    <s v="21:00"/>
    <s v="Ю"/>
    <n v="3"/>
    <n v="7"/>
    <n v="1.8"/>
    <m/>
    <m/>
    <s v="~"/>
    <n v="95"/>
    <n v="0"/>
    <n v="0"/>
    <n v="43.149999999999991"/>
    <n v="941.9"/>
    <n v="37"/>
    <s v="-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8">
  <r>
    <x v="0"/>
    <x v="0"/>
    <s v="З"/>
    <n v="31"/>
    <n v="9"/>
    <n v="-14.8"/>
    <m/>
    <m/>
    <s v="~"/>
    <n v="91"/>
    <n v="0"/>
    <n v="0"/>
    <n v="0"/>
    <n v="914.7"/>
    <n v="46"/>
    <s v="-"/>
  </r>
  <r>
    <x v="0"/>
    <x v="1"/>
    <s v="З"/>
    <n v="32"/>
    <n v="12"/>
    <n v="-14.1"/>
    <m/>
    <m/>
    <s v="м"/>
    <n v="91"/>
    <n v="0"/>
    <n v="10"/>
    <n v="10"/>
    <n v="914.8"/>
    <n v="54"/>
    <s v="-"/>
  </r>
  <r>
    <x v="0"/>
    <x v="2"/>
    <s v="ЗЮЗ"/>
    <n v="33"/>
    <n v="9"/>
    <n v="-13.5"/>
    <m/>
    <m/>
    <s v="м"/>
    <n v="92"/>
    <n v="1"/>
    <n v="0.1"/>
    <n v="10.1"/>
    <n v="915.6"/>
    <n v="68"/>
    <s v="-"/>
  </r>
  <r>
    <x v="0"/>
    <x v="3"/>
    <s v="ЗЮЗ"/>
    <n v="34"/>
    <n v="10"/>
    <n v="-13.9"/>
    <m/>
    <m/>
    <s v="м"/>
    <n v="91"/>
    <n v="-1"/>
    <n v="0.2"/>
    <n v="10.299999999999999"/>
    <n v="916.6"/>
    <n v="67"/>
    <s v="-"/>
  </r>
  <r>
    <x v="0"/>
    <x v="4"/>
    <s v="ЗЮЗ"/>
    <n v="35"/>
    <n v="9"/>
    <n v="-13.2"/>
    <m/>
    <m/>
    <s v="м"/>
    <n v="90"/>
    <n v="-1"/>
    <n v="0.3"/>
    <n v="10.6"/>
    <n v="917.1"/>
    <n v="58"/>
    <s v="-"/>
  </r>
  <r>
    <x v="0"/>
    <x v="5"/>
    <s v="З"/>
    <n v="36"/>
    <n v="7"/>
    <n v="-12.8"/>
    <m/>
    <m/>
    <s v="~"/>
    <n v="91"/>
    <n v="1"/>
    <n v="0.2"/>
    <n v="10.799999999999999"/>
    <n v="916.4"/>
    <n v="46"/>
    <s v="-"/>
  </r>
  <r>
    <x v="0"/>
    <x v="6"/>
    <s v="З"/>
    <n v="37"/>
    <n v="2"/>
    <n v="-13.3"/>
    <m/>
    <m/>
    <s v="~"/>
    <n v="91"/>
    <n v="0"/>
    <n v="0.5"/>
    <n v="11.299999999999999"/>
    <n v="916.5"/>
    <n v="49"/>
    <s v="-"/>
  </r>
  <r>
    <x v="0"/>
    <x v="7"/>
    <s v="З"/>
    <n v="38"/>
    <n v="7"/>
    <n v="-13.5"/>
    <m/>
    <m/>
    <s v="~"/>
    <n v="91"/>
    <n v="0"/>
    <n v="0.6"/>
    <n v="11.899999999999999"/>
    <n v="916.8"/>
    <n v="60"/>
    <s v="-"/>
  </r>
  <r>
    <x v="1"/>
    <x v="0"/>
    <s v="З"/>
    <n v="39"/>
    <n v="10"/>
    <n v="-13.6"/>
    <m/>
    <m/>
    <s v="м"/>
    <n v="91"/>
    <n v="0"/>
    <n v="0.1"/>
    <n v="11.999999999999998"/>
    <n v="917.3"/>
    <n v="68"/>
    <s v="-"/>
  </r>
  <r>
    <x v="1"/>
    <x v="1"/>
    <s v="З"/>
    <n v="40"/>
    <n v="10"/>
    <n v="-14.6"/>
    <m/>
    <m/>
    <s v="м"/>
    <n v="90"/>
    <n v="-1"/>
    <n v="0.85"/>
    <n v="12.849999999999998"/>
    <n v="918.2"/>
    <n v="66"/>
    <s v="-"/>
  </r>
  <r>
    <x v="1"/>
    <x v="2"/>
    <s v="З"/>
    <n v="3"/>
    <n v="11"/>
    <n v="-15.8"/>
    <m/>
    <m/>
    <s v="м"/>
    <n v="90"/>
    <n v="0"/>
    <n v="0"/>
    <n v="12.849999999999998"/>
    <n v="919.1"/>
    <n v="55"/>
    <s v="-"/>
  </r>
  <r>
    <x v="1"/>
    <x v="3"/>
    <s v="З"/>
    <n v="10"/>
    <n v="13"/>
    <n v="-16.7"/>
    <m/>
    <m/>
    <s v="м"/>
    <n v="89"/>
    <n v="-1"/>
    <n v="0"/>
    <n v="12.849999999999998"/>
    <n v="921.6"/>
    <n v="54"/>
    <s v="-"/>
  </r>
  <r>
    <x v="1"/>
    <x v="4"/>
    <s v="З"/>
    <n v="17"/>
    <n v="13"/>
    <n v="-15.6"/>
    <m/>
    <m/>
    <s v="м"/>
    <n v="90"/>
    <n v="1"/>
    <n v="0.5"/>
    <n v="13.349999999999998"/>
    <n v="924.5"/>
    <n v="53"/>
    <s v="-"/>
  </r>
  <r>
    <x v="1"/>
    <x v="5"/>
    <s v="З"/>
    <n v="7"/>
    <n v="10"/>
    <n v="-14.6"/>
    <m/>
    <m/>
    <s v="м"/>
    <n v="90"/>
    <n v="0"/>
    <n v="0.6"/>
    <n v="13.949999999999998"/>
    <n v="926.1"/>
    <n v="52"/>
    <s v="-"/>
  </r>
  <r>
    <x v="1"/>
    <x v="6"/>
    <s v="З"/>
    <n v="18"/>
    <n v="17"/>
    <n v="-13.9"/>
    <m/>
    <m/>
    <s v="м"/>
    <n v="91"/>
    <n v="1"/>
    <n v="0.5"/>
    <n v="14.449999999999998"/>
    <n v="928.1"/>
    <n v="60"/>
    <s v="-"/>
  </r>
  <r>
    <x v="1"/>
    <x v="7"/>
    <s v="З"/>
    <n v="19"/>
    <n v="10"/>
    <n v="-14.5"/>
    <m/>
    <m/>
    <s v="м"/>
    <n v="91"/>
    <n v="0"/>
    <n v="6"/>
    <n v="20.449999999999996"/>
    <n v="931.1"/>
    <n v="48"/>
    <s v="-"/>
  </r>
  <r>
    <x v="2"/>
    <x v="0"/>
    <s v="З"/>
    <n v="20"/>
    <n v="7"/>
    <n v="-14.6"/>
    <m/>
    <m/>
    <s v="~"/>
    <n v="90"/>
    <n v="-1"/>
    <n v="5.2"/>
    <n v="25.649999999999995"/>
    <n v="932.7"/>
    <n v="45"/>
    <s v="-"/>
  </r>
  <r>
    <x v="2"/>
    <x v="1"/>
    <s v="З"/>
    <n v="21"/>
    <n v="6"/>
    <n v="-13.6"/>
    <m/>
    <m/>
    <s v="~"/>
    <n v="91"/>
    <n v="1"/>
    <n v="0"/>
    <n v="25.649999999999995"/>
    <n v="932.3"/>
    <n v="41"/>
    <s v="-"/>
  </r>
  <r>
    <x v="2"/>
    <x v="2"/>
    <s v="З"/>
    <n v="22"/>
    <n v="8"/>
    <n v="-12.8"/>
    <m/>
    <m/>
    <s v="~"/>
    <n v="91"/>
    <n v="0"/>
    <n v="0.5"/>
    <n v="26.149999999999995"/>
    <n v="930.7"/>
    <n v="38"/>
    <s v="-"/>
  </r>
  <r>
    <x v="2"/>
    <x v="3"/>
    <s v="З"/>
    <n v="23"/>
    <n v="7"/>
    <n v="-12.4"/>
    <m/>
    <m/>
    <s v="~"/>
    <n v="92"/>
    <n v="1"/>
    <n v="0"/>
    <n v="26.149999999999995"/>
    <n v="929.5"/>
    <n v="39"/>
    <s v="-"/>
  </r>
  <r>
    <x v="2"/>
    <x v="4"/>
    <s v="З"/>
    <n v="24"/>
    <n v="2"/>
    <n v="-12.3"/>
    <m/>
    <m/>
    <s v="~"/>
    <n v="92"/>
    <n v="0"/>
    <n v="0"/>
    <n v="26.149999999999995"/>
    <n v="927.9"/>
    <n v="49"/>
    <s v="-"/>
  </r>
  <r>
    <x v="2"/>
    <x v="5"/>
    <s v="З"/>
    <n v="25"/>
    <n v="1"/>
    <n v="-11.6"/>
    <m/>
    <m/>
    <s v="~"/>
    <n v="92"/>
    <n v="0"/>
    <n v="0"/>
    <n v="26.149999999999995"/>
    <n v="925"/>
    <n v="46"/>
    <s v="-"/>
  </r>
  <r>
    <x v="2"/>
    <x v="6"/>
    <s v="З"/>
    <n v="26"/>
    <n v="2"/>
    <n v="-13"/>
    <m/>
    <m/>
    <s v="то"/>
    <n v="90"/>
    <n v="-2"/>
    <n v="0"/>
    <n v="26.149999999999995"/>
    <n v="922.9"/>
    <n v="76"/>
    <s v="-"/>
  </r>
  <r>
    <x v="2"/>
    <x v="7"/>
    <s v="СЗ"/>
    <n v="27"/>
    <n v="3"/>
    <n v="-12.3"/>
    <m/>
    <m/>
    <s v="то"/>
    <n v="91"/>
    <n v="1"/>
    <n v="0"/>
    <n v="26.149999999999995"/>
    <n v="921.6"/>
    <n v="79"/>
    <s v="-"/>
  </r>
  <r>
    <x v="3"/>
    <x v="0"/>
    <s v="СЗ"/>
    <n v="28"/>
    <n v="3"/>
    <n v="-12.1"/>
    <m/>
    <m/>
    <s v="то"/>
    <n v="92"/>
    <n v="1"/>
    <n v="0"/>
    <n v="26.149999999999995"/>
    <n v="920.2"/>
    <n v="73"/>
    <s v="-"/>
  </r>
  <r>
    <x v="3"/>
    <x v="1"/>
    <s v="СЗ"/>
    <n v="29"/>
    <n v="6"/>
    <n v="-12.8"/>
    <m/>
    <m/>
    <s v="~"/>
    <n v="92"/>
    <n v="0"/>
    <n v="0"/>
    <n v="26.149999999999995"/>
    <n v="920.3"/>
    <n v="69"/>
    <s v="-"/>
  </r>
  <r>
    <x v="3"/>
    <x v="2"/>
    <s v="СЗ"/>
    <n v="30"/>
    <n v="13"/>
    <n v="-12.9"/>
    <m/>
    <m/>
    <s v="м"/>
    <n v="90"/>
    <n v="-2"/>
    <n v="0"/>
    <n v="26.149999999999995"/>
    <n v="920.5"/>
    <n v="68"/>
    <s v="-"/>
  </r>
  <r>
    <x v="3"/>
    <x v="3"/>
    <s v="СЗ"/>
    <n v="8"/>
    <n v="12"/>
    <n v="-15.5"/>
    <m/>
    <m/>
    <s v="м"/>
    <n v="90"/>
    <n v="0"/>
    <n v="0"/>
    <n v="26.149999999999995"/>
    <n v="921.5"/>
    <n v="64"/>
    <s v="-"/>
  </r>
  <r>
    <x v="3"/>
    <x v="4"/>
    <s v="СЗ"/>
    <n v="9"/>
    <n v="18"/>
    <n v="-16"/>
    <m/>
    <m/>
    <s v="м"/>
    <n v="89"/>
    <n v="-1"/>
    <n v="1"/>
    <n v="27.149999999999995"/>
    <n v="921.6"/>
    <n v="67"/>
    <s v="-"/>
  </r>
  <r>
    <x v="3"/>
    <x v="5"/>
    <s v="СЗ"/>
    <n v="9"/>
    <n v="15"/>
    <n v="-15"/>
    <m/>
    <m/>
    <s v="м"/>
    <n v="89"/>
    <n v="0"/>
    <n v="0"/>
    <n v="27.149999999999995"/>
    <n v="921.4"/>
    <n v="64"/>
    <s v="-"/>
  </r>
  <r>
    <x v="3"/>
    <x v="6"/>
    <s v="СЗ"/>
    <n v="9"/>
    <n v="14"/>
    <n v="-14.7"/>
    <m/>
    <m/>
    <s v="~"/>
    <n v="89"/>
    <n v="0"/>
    <n v="0"/>
    <n v="27.149999999999995"/>
    <n v="922.3"/>
    <n v="55"/>
    <s v="-"/>
  </r>
  <r>
    <x v="3"/>
    <x v="7"/>
    <s v="ЗСЗ"/>
    <n v="2"/>
    <n v="4"/>
    <n v="-15.7"/>
    <m/>
    <m/>
    <s v="~"/>
    <n v="90"/>
    <n v="1"/>
    <n v="0"/>
    <n v="27.149999999999995"/>
    <n v="923.5"/>
    <n v="50"/>
    <s v="-"/>
  </r>
  <r>
    <x v="4"/>
    <x v="0"/>
    <s v="ЗСЗ"/>
    <n v="1"/>
    <n v="2"/>
    <n v="-19.3"/>
    <m/>
    <m/>
    <s v="~"/>
    <n v="88"/>
    <n v="-2"/>
    <n v="0"/>
    <n v="27.149999999999995"/>
    <n v="923.8"/>
    <n v="56"/>
    <s v="-"/>
  </r>
  <r>
    <x v="4"/>
    <x v="1"/>
    <s v="ЗСЗ"/>
    <n v="3"/>
    <n v="5"/>
    <n v="-17.899999999999999"/>
    <m/>
    <m/>
    <s v="~"/>
    <n v="88"/>
    <n v="0"/>
    <n v="0"/>
    <n v="27.149999999999995"/>
    <n v="923.2"/>
    <n v="54"/>
    <s v="-"/>
  </r>
  <r>
    <x v="4"/>
    <x v="2"/>
    <s v="З"/>
    <n v="6"/>
    <n v="9"/>
    <n v="-18.600000000000001"/>
    <m/>
    <m/>
    <s v="~"/>
    <n v="88"/>
    <n v="0"/>
    <n v="0"/>
    <n v="27.149999999999995"/>
    <n v="922.9"/>
    <n v="55"/>
    <s v="-"/>
  </r>
  <r>
    <x v="4"/>
    <x v="3"/>
    <s v="З"/>
    <n v="6"/>
    <n v="10"/>
    <n v="-18.899999999999999"/>
    <m/>
    <m/>
    <s v="~"/>
    <n v="87"/>
    <n v="-1"/>
    <n v="0"/>
    <n v="27.149999999999995"/>
    <n v="922.9"/>
    <n v="54"/>
    <s v="-"/>
  </r>
  <r>
    <x v="4"/>
    <x v="4"/>
    <s v="З"/>
    <n v="6"/>
    <n v="9"/>
    <n v="-17.8"/>
    <m/>
    <m/>
    <s v="~"/>
    <n v="88"/>
    <n v="1"/>
    <n v="0"/>
    <n v="27.149999999999995"/>
    <n v="922.5"/>
    <n v="53"/>
    <s v="-"/>
  </r>
  <r>
    <x v="4"/>
    <x v="5"/>
    <s v="З"/>
    <n v="8"/>
    <n v="12"/>
    <n v="-17.100000000000001"/>
    <m/>
    <m/>
    <s v="~"/>
    <n v="88"/>
    <n v="0"/>
    <n v="5"/>
    <n v="32.149999999999991"/>
    <n v="921.4"/>
    <n v="64"/>
    <s v="-"/>
  </r>
  <r>
    <x v="4"/>
    <x v="6"/>
    <s v="З"/>
    <n v="9"/>
    <n v="13"/>
    <n v="-16.7"/>
    <m/>
    <m/>
    <s v="~"/>
    <n v="88"/>
    <n v="0"/>
    <n v="0"/>
    <n v="32.149999999999991"/>
    <n v="921.2"/>
    <n v="48"/>
    <s v="-"/>
  </r>
  <r>
    <x v="4"/>
    <x v="7"/>
    <s v="З"/>
    <n v="6"/>
    <n v="12"/>
    <n v="-16.3"/>
    <m/>
    <m/>
    <s v="м"/>
    <n v="89"/>
    <n v="1"/>
    <n v="0"/>
    <n v="32.149999999999991"/>
    <n v="922.3"/>
    <n v="44"/>
    <s v="-"/>
  </r>
  <r>
    <x v="5"/>
    <x v="0"/>
    <s v="З"/>
    <n v="2"/>
    <n v="6"/>
    <n v="-17.5"/>
    <m/>
    <m/>
    <s v="~"/>
    <n v="88"/>
    <n v="-1"/>
    <n v="0"/>
    <n v="32.149999999999991"/>
    <n v="922.3"/>
    <n v="43"/>
    <s v="-"/>
  </r>
  <r>
    <x v="5"/>
    <x v="1"/>
    <s v="З"/>
    <n v="3"/>
    <n v="10"/>
    <n v="-16.2"/>
    <m/>
    <m/>
    <s v="~"/>
    <n v="89"/>
    <n v="1"/>
    <n v="0"/>
    <n v="32.149999999999991"/>
    <n v="922"/>
    <n v="42"/>
    <s v="-"/>
  </r>
  <r>
    <x v="5"/>
    <x v="2"/>
    <s v="З"/>
    <n v="3"/>
    <n v="7"/>
    <n v="-14.5"/>
    <m/>
    <m/>
    <s v="~"/>
    <n v="90"/>
    <n v="1"/>
    <n v="11"/>
    <n v="43.149999999999991"/>
    <n v="922.4"/>
    <n v="39"/>
    <s v="-"/>
  </r>
  <r>
    <x v="5"/>
    <x v="3"/>
    <s v="ЗЮЗ"/>
    <n v="1"/>
    <n v="1"/>
    <n v="-13.8"/>
    <m/>
    <m/>
    <s v="~"/>
    <n v="91"/>
    <n v="1"/>
    <n v="0"/>
    <n v="43.149999999999991"/>
    <n v="922.1"/>
    <n v="40"/>
    <s v="-"/>
  </r>
  <r>
    <x v="5"/>
    <x v="4"/>
    <s v="ЗЮЗ"/>
    <n v="1"/>
    <n v="2"/>
    <n v="-14.4"/>
    <m/>
    <m/>
    <s v="~"/>
    <n v="90"/>
    <n v="-1"/>
    <n v="0"/>
    <n v="43.149999999999991"/>
    <n v="920.8"/>
    <n v="44"/>
    <s v="-"/>
  </r>
  <r>
    <x v="5"/>
    <x v="5"/>
    <s v="ЗЮЗ"/>
    <n v="1"/>
    <n v="2"/>
    <n v="-12.7"/>
    <m/>
    <m/>
    <s v="то"/>
    <n v="91"/>
    <n v="1"/>
    <n v="0"/>
    <n v="43.149999999999991"/>
    <n v="919.7"/>
    <n v="46"/>
    <s v="-"/>
  </r>
  <r>
    <x v="5"/>
    <x v="6"/>
    <s v="З"/>
    <n v="1"/>
    <n v="2"/>
    <n v="-13.1"/>
    <m/>
    <m/>
    <s v="~"/>
    <n v="91"/>
    <n v="0"/>
    <n v="0"/>
    <n v="43.149999999999991"/>
    <n v="919.8"/>
    <n v="57"/>
    <s v="-"/>
  </r>
  <r>
    <x v="5"/>
    <x v="7"/>
    <s v="З"/>
    <n v="2"/>
    <n v="3"/>
    <n v="-13.3"/>
    <m/>
    <m/>
    <s v="~"/>
    <n v="91"/>
    <n v="0"/>
    <n v="0"/>
    <n v="43.149999999999991"/>
    <n v="920.5"/>
    <n v="56"/>
    <s v="-"/>
  </r>
  <r>
    <x v="6"/>
    <x v="0"/>
    <s v="З"/>
    <n v="5"/>
    <n v="8"/>
    <n v="-4"/>
    <m/>
    <m/>
    <s v="м"/>
    <n v="91"/>
    <n v="0"/>
    <n v="0"/>
    <n v="43.149999999999991"/>
    <n v="920.9"/>
    <n v="59"/>
    <s v="-"/>
  </r>
  <r>
    <x v="6"/>
    <x v="1"/>
    <s v="З"/>
    <n v="2"/>
    <n v="2"/>
    <n v="-11.7"/>
    <m/>
    <m/>
    <s v="~"/>
    <n v="92"/>
    <n v="1"/>
    <n v="0"/>
    <n v="43.149999999999991"/>
    <n v="921.8"/>
    <n v="63"/>
    <s v="-"/>
  </r>
  <r>
    <x v="6"/>
    <x v="2"/>
    <s v="З"/>
    <n v="3"/>
    <n v="4"/>
    <n v="-9.9"/>
    <m/>
    <m/>
    <s v="~"/>
    <n v="93"/>
    <n v="1"/>
    <n v="0"/>
    <n v="43.149999999999991"/>
    <n v="922.2"/>
    <n v="67"/>
    <s v="-"/>
  </r>
  <r>
    <x v="6"/>
    <x v="3"/>
    <s v="ЗЮЗ"/>
    <n v="3"/>
    <n v="4"/>
    <n v="-7.6"/>
    <m/>
    <m/>
    <s v="~"/>
    <n v="94"/>
    <n v="1"/>
    <n v="0"/>
    <n v="43.149999999999991"/>
    <n v="922"/>
    <n v="71"/>
    <s v="-"/>
  </r>
  <r>
    <x v="6"/>
    <x v="4"/>
    <s v="ЮЗ"/>
    <n v="1"/>
    <n v="2"/>
    <n v="-9.1"/>
    <m/>
    <m/>
    <s v="~"/>
    <n v="91"/>
    <n v="-3"/>
    <n v="0"/>
    <n v="43.149999999999991"/>
    <n v="922.2"/>
    <n v="69"/>
    <s v="-"/>
  </r>
  <r>
    <x v="6"/>
    <x v="5"/>
    <s v="ЗЮЗ"/>
    <n v="8"/>
    <n v="12"/>
    <n v="-3.1"/>
    <m/>
    <m/>
    <s v="м"/>
    <n v="95"/>
    <n v="4"/>
    <n v="0"/>
    <n v="43.149999999999991"/>
    <n v="922.7"/>
    <n v="69"/>
    <s v="-"/>
  </r>
  <r>
    <x v="6"/>
    <x v="6"/>
    <s v="ЗЮЗ"/>
    <n v="6"/>
    <n v="10"/>
    <n v="-4.2"/>
    <m/>
    <m/>
    <s v="~"/>
    <n v="95"/>
    <n v="0"/>
    <n v="0"/>
    <n v="43.149999999999991"/>
    <n v="925.5"/>
    <n v="69"/>
    <s v="-"/>
  </r>
  <r>
    <x v="6"/>
    <x v="7"/>
    <s v="З"/>
    <n v="6"/>
    <n v="8"/>
    <n v="-5.8"/>
    <m/>
    <m/>
    <s v="~"/>
    <n v="94"/>
    <n v="-1"/>
    <n v="0"/>
    <n v="43.149999999999991"/>
    <n v="928.2"/>
    <n v="66"/>
    <s v="-"/>
  </r>
  <r>
    <x v="7"/>
    <x v="0"/>
    <s v="З"/>
    <n v="10"/>
    <n v="15"/>
    <n v="-6.7"/>
    <m/>
    <m/>
    <s v="~"/>
    <n v="93"/>
    <n v="-1"/>
    <n v="0"/>
    <n v="43.149999999999991"/>
    <n v="929"/>
    <n v="57"/>
    <s v="-"/>
  </r>
  <r>
    <x v="7"/>
    <x v="1"/>
    <s v="ЗЮЗ"/>
    <n v="9"/>
    <n v="12"/>
    <n v="-7.1"/>
    <m/>
    <m/>
    <s v="~"/>
    <n v="93"/>
    <n v="0"/>
    <n v="0"/>
    <n v="43.149999999999991"/>
    <n v="930.3"/>
    <n v="52"/>
    <s v="-"/>
  </r>
  <r>
    <x v="7"/>
    <x v="2"/>
    <s v="ЗЮЗ"/>
    <n v="1"/>
    <n v="3"/>
    <n v="-11.5"/>
    <m/>
    <m/>
    <s v="~"/>
    <n v="90"/>
    <n v="-3"/>
    <n v="0"/>
    <n v="43.149999999999991"/>
    <n v="931.9"/>
    <n v="71"/>
    <s v="-"/>
  </r>
  <r>
    <x v="7"/>
    <x v="3"/>
    <s v="ЮЗ"/>
    <n v="1"/>
    <n v="2"/>
    <n v="-10.3"/>
    <m/>
    <m/>
    <s v="~"/>
    <n v="91"/>
    <n v="1"/>
    <n v="0"/>
    <n v="43.149999999999991"/>
    <n v="932.8"/>
    <n v="66"/>
    <s v="-"/>
  </r>
  <r>
    <x v="7"/>
    <x v="4"/>
    <s v="ЮЮЗ"/>
    <n v="1"/>
    <n v="2"/>
    <n v="-6.9"/>
    <m/>
    <m/>
    <s v="~"/>
    <n v="93"/>
    <n v="2"/>
    <n v="0"/>
    <n v="43.149999999999991"/>
    <n v="932.9"/>
    <n v="70"/>
    <s v="-"/>
  </r>
  <r>
    <x v="7"/>
    <x v="5"/>
    <s v="ЮВ"/>
    <n v="1"/>
    <n v="2"/>
    <n v="-7"/>
    <m/>
    <m/>
    <s v="~"/>
    <n v="93"/>
    <n v="0"/>
    <n v="0"/>
    <n v="43.149999999999991"/>
    <n v="932.3"/>
    <n v="73"/>
    <s v="-"/>
  </r>
  <r>
    <x v="7"/>
    <x v="6"/>
    <s v="ЮВ"/>
    <n v="0"/>
    <n v="1"/>
    <n v="-8.1"/>
    <m/>
    <m/>
    <s v="то"/>
    <n v="90"/>
    <n v="-3"/>
    <n v="0"/>
    <n v="43.149999999999991"/>
    <n v="931.7"/>
    <n v="91"/>
    <s v="-"/>
  </r>
  <r>
    <x v="7"/>
    <x v="7"/>
    <s v="ЮВ"/>
    <n v="1"/>
    <n v="1"/>
    <n v="-7.8"/>
    <m/>
    <m/>
    <s v="то"/>
    <n v="95"/>
    <n v="5"/>
    <n v="0"/>
    <n v="43.149999999999991"/>
    <n v="931.4"/>
    <n v="91"/>
    <s v="-"/>
  </r>
  <r>
    <x v="8"/>
    <x v="0"/>
    <s v="ЮЗ"/>
    <n v="0"/>
    <n v="1"/>
    <n v="-7.1"/>
    <m/>
    <m/>
    <s v="то"/>
    <n v="99"/>
    <n v="4"/>
    <n v="0"/>
    <n v="43.149999999999991"/>
    <n v="930.8"/>
    <n v="89"/>
    <s v="-"/>
  </r>
  <r>
    <x v="8"/>
    <x v="1"/>
    <s v="З"/>
    <n v="2"/>
    <n v="3"/>
    <n v="-10.4"/>
    <m/>
    <m/>
    <s v="~"/>
    <n v="98"/>
    <n v="-1"/>
    <n v="0"/>
    <n v="43.149999999999991"/>
    <n v="930.9"/>
    <n v="86"/>
    <s v="-"/>
  </r>
  <r>
    <x v="8"/>
    <x v="2"/>
    <s v="ЗСЗ"/>
    <n v="1"/>
    <n v="3"/>
    <n v="-9.6999999999999993"/>
    <m/>
    <m/>
    <s v="~"/>
    <n v="98"/>
    <n v="0"/>
    <n v="0"/>
    <n v="43.149999999999991"/>
    <n v="932"/>
    <n v="83"/>
    <s v="-"/>
  </r>
  <r>
    <x v="8"/>
    <x v="3"/>
    <s v="З"/>
    <n v="6"/>
    <n v="9"/>
    <n v="-6.1"/>
    <m/>
    <m/>
    <s v="м"/>
    <n v="101"/>
    <n v="3"/>
    <n v="0"/>
    <n v="43.149999999999991"/>
    <n v="934"/>
    <n v="71"/>
    <s v="-"/>
  </r>
  <r>
    <x v="8"/>
    <x v="4"/>
    <s v="З"/>
    <n v="0"/>
    <n v="1"/>
    <n v="-7.3"/>
    <m/>
    <m/>
    <s v="~"/>
    <n v="100"/>
    <n v="-1"/>
    <n v="0"/>
    <n v="43.149999999999991"/>
    <n v="935.6"/>
    <n v="88"/>
    <s v="-"/>
  </r>
  <r>
    <x v="8"/>
    <x v="5"/>
    <s v="ЗЮЗ"/>
    <n v="0"/>
    <n v="1"/>
    <n v="-5.5"/>
    <m/>
    <m/>
    <s v="~"/>
    <n v="101"/>
    <n v="1"/>
    <n v="0"/>
    <n v="43.149999999999991"/>
    <n v="935.6"/>
    <n v="78"/>
    <s v="-"/>
  </r>
  <r>
    <x v="8"/>
    <x v="6"/>
    <s v="ЗЮЗ"/>
    <n v="2"/>
    <n v="2"/>
    <n v="-7"/>
    <m/>
    <m/>
    <s v="~"/>
    <n v="100"/>
    <n v="-1"/>
    <n v="0"/>
    <n v="43.149999999999991"/>
    <n v="936.7"/>
    <n v="93"/>
    <s v="-"/>
  </r>
  <r>
    <x v="8"/>
    <x v="7"/>
    <s v="ЗЮЗ"/>
    <n v="1"/>
    <n v="3"/>
    <n v="-7.7"/>
    <m/>
    <m/>
    <s v="~"/>
    <n v="97"/>
    <n v="-3"/>
    <n v="0"/>
    <n v="43.149999999999991"/>
    <n v="938.5"/>
    <n v="93"/>
    <s v="-"/>
  </r>
  <r>
    <x v="9"/>
    <x v="0"/>
    <s v="З"/>
    <n v="2"/>
    <n v="4"/>
    <n v="-8.1999999999999993"/>
    <m/>
    <m/>
    <s v="м"/>
    <n v="102"/>
    <n v="5"/>
    <n v="0"/>
    <n v="43.149999999999991"/>
    <n v="940.6"/>
    <n v="71"/>
    <s v="-"/>
  </r>
  <r>
    <x v="9"/>
    <x v="1"/>
    <s v="З"/>
    <n v="3"/>
    <n v="4"/>
    <n v="-11.6"/>
    <m/>
    <m/>
    <s v="м"/>
    <n v="99"/>
    <n v="-3"/>
    <n v="0"/>
    <n v="43.149999999999991"/>
    <n v="942.8"/>
    <n v="79"/>
    <s v="-"/>
  </r>
  <r>
    <x v="9"/>
    <x v="2"/>
    <s v="З"/>
    <n v="4"/>
    <n v="4"/>
    <n v="-12"/>
    <m/>
    <m/>
    <s v="~"/>
    <n v="99"/>
    <n v="0"/>
    <n v="0"/>
    <n v="43.149999999999991"/>
    <n v="944.4"/>
    <n v="71"/>
    <s v="-"/>
  </r>
  <r>
    <x v="9"/>
    <x v="3"/>
    <s v="З"/>
    <n v="3"/>
    <n v="4"/>
    <n v="-9.6999999999999993"/>
    <m/>
    <m/>
    <s v="~"/>
    <n v="101"/>
    <n v="2"/>
    <n v="0"/>
    <n v="43.149999999999991"/>
    <n v="945.9"/>
    <n v="65"/>
    <s v="-"/>
  </r>
  <r>
    <x v="9"/>
    <x v="4"/>
    <s v="ЮЗ"/>
    <n v="2"/>
    <n v="3"/>
    <n v="-7.8"/>
    <m/>
    <m/>
    <s v="~"/>
    <n v="102"/>
    <n v="1"/>
    <n v="0"/>
    <n v="43.149999999999991"/>
    <n v="946.8"/>
    <n v="67"/>
    <s v="-"/>
  </r>
  <r>
    <x v="9"/>
    <x v="5"/>
    <s v="ЮЗ"/>
    <n v="1"/>
    <n v="1"/>
    <n v="-6.6"/>
    <m/>
    <m/>
    <s v="~"/>
    <n v="102"/>
    <n v="0"/>
    <n v="0"/>
    <n v="43.149999999999991"/>
    <n v="947"/>
    <n v="65"/>
    <s v="-"/>
  </r>
  <r>
    <x v="9"/>
    <x v="6"/>
    <s v="ЮЮВ"/>
    <n v="1"/>
    <n v="1"/>
    <n v="-7.8"/>
    <m/>
    <m/>
    <s v="то"/>
    <n v="102"/>
    <n v="0"/>
    <n v="0"/>
    <n v="43.149999999999991"/>
    <n v="947.7"/>
    <n v="85"/>
    <s v="-"/>
  </r>
  <r>
    <x v="9"/>
    <x v="7"/>
    <s v="-"/>
    <n v="0"/>
    <n v="0"/>
    <n v="-8.3000000000000007"/>
    <m/>
    <m/>
    <s v="то"/>
    <n v="96"/>
    <n v="-6"/>
    <n v="0"/>
    <n v="43.149999999999991"/>
    <n v="948.4"/>
    <n v="88"/>
    <s v="-"/>
  </r>
  <r>
    <x v="10"/>
    <x v="0"/>
    <s v="ЮВ"/>
    <n v="2"/>
    <n v="3"/>
    <n v="-8.1999999999999993"/>
    <m/>
    <m/>
    <s v="то"/>
    <n v="101"/>
    <n v="5"/>
    <n v="0"/>
    <n v="43.149999999999991"/>
    <n v="948.4"/>
    <n v="86"/>
    <s v="-"/>
  </r>
  <r>
    <x v="10"/>
    <x v="1"/>
    <s v="ЮВ"/>
    <n v="1"/>
    <n v="2"/>
    <n v="-8.3000000000000007"/>
    <m/>
    <m/>
    <s v="~"/>
    <n v="101"/>
    <n v="0"/>
    <n v="0"/>
    <n v="43.149999999999991"/>
    <n v="947.9"/>
    <n v="85"/>
    <s v="-"/>
  </r>
  <r>
    <x v="10"/>
    <x v="2"/>
    <s v="ЮЗ"/>
    <n v="1"/>
    <n v="2"/>
    <n v="-9.6"/>
    <m/>
    <m/>
    <s v="~"/>
    <n v="100"/>
    <n v="-1"/>
    <n v="0"/>
    <n v="43.149999999999991"/>
    <n v="948.3"/>
    <n v="86"/>
    <s v="-"/>
  </r>
  <r>
    <x v="10"/>
    <x v="3"/>
    <s v="З"/>
    <n v="3"/>
    <n v="4"/>
    <n v="-12.2"/>
    <m/>
    <m/>
    <s v="~"/>
    <n v="99"/>
    <n v="-1"/>
    <n v="0"/>
    <n v="43.149999999999991"/>
    <n v="948.7"/>
    <n v="84"/>
    <s v="-"/>
  </r>
  <r>
    <x v="10"/>
    <x v="4"/>
    <s v="З"/>
    <n v="3"/>
    <n v="3"/>
    <n v="-8.6999999999999993"/>
    <m/>
    <m/>
    <s v="~"/>
    <n v="99"/>
    <n v="0"/>
    <n v="0"/>
    <n v="43.149999999999991"/>
    <n v="948.7"/>
    <n v="75"/>
    <s v="-"/>
  </r>
  <r>
    <x v="10"/>
    <x v="5"/>
    <s v="З"/>
    <n v="0"/>
    <n v="1"/>
    <n v="-7.3"/>
    <m/>
    <m/>
    <s v="~"/>
    <n v="100"/>
    <n v="1"/>
    <n v="0"/>
    <n v="43.149999999999991"/>
    <n v="948.1"/>
    <n v="70"/>
    <s v="-"/>
  </r>
  <r>
    <x v="10"/>
    <x v="6"/>
    <s v="З"/>
    <n v="2"/>
    <n v="3"/>
    <n v="-10.4"/>
    <m/>
    <m/>
    <s v="~"/>
    <n v="100"/>
    <n v="0"/>
    <n v="0"/>
    <n v="43.149999999999991"/>
    <n v="949.1"/>
    <n v="74"/>
    <s v="-"/>
  </r>
  <r>
    <x v="10"/>
    <x v="7"/>
    <s v="З"/>
    <n v="3"/>
    <n v="3"/>
    <n v="-11"/>
    <m/>
    <m/>
    <s v="~"/>
    <n v="100"/>
    <n v="0"/>
    <n v="0"/>
    <n v="43.149999999999991"/>
    <n v="950.5"/>
    <n v="73"/>
    <s v="-"/>
  </r>
  <r>
    <x v="11"/>
    <x v="0"/>
    <s v="З"/>
    <n v="3"/>
    <n v="4"/>
    <n v="-10.9"/>
    <m/>
    <m/>
    <s v="~"/>
    <n v="100"/>
    <n v="0"/>
    <n v="0"/>
    <n v="43.149999999999991"/>
    <n v="950.6"/>
    <n v="63"/>
    <s v="-"/>
  </r>
  <r>
    <x v="11"/>
    <x v="1"/>
    <s v="ЗСЗ"/>
    <n v="4"/>
    <n v="4"/>
    <n v="-12.1"/>
    <m/>
    <m/>
    <s v="~"/>
    <n v="99"/>
    <n v="-1"/>
    <n v="0"/>
    <n v="43.149999999999991"/>
    <n v="950.3"/>
    <n v="55"/>
    <s v="-"/>
  </r>
  <r>
    <x v="11"/>
    <x v="2"/>
    <s v="ЗСЗ"/>
    <n v="3"/>
    <n v="4"/>
    <n v="-13"/>
    <m/>
    <m/>
    <s v="~"/>
    <n v="97"/>
    <n v="-2"/>
    <n v="0"/>
    <n v="43.149999999999991"/>
    <n v="950.8"/>
    <n v="55"/>
    <s v="-"/>
  </r>
  <r>
    <x v="11"/>
    <x v="3"/>
    <s v="З"/>
    <n v="3"/>
    <n v="4"/>
    <n v="-12.6"/>
    <m/>
    <m/>
    <s v="~"/>
    <n v="97"/>
    <n v="0"/>
    <n v="0"/>
    <n v="43.149999999999991"/>
    <n v="951.7"/>
    <n v="50"/>
    <s v="-"/>
  </r>
  <r>
    <x v="11"/>
    <x v="4"/>
    <s v="З"/>
    <n v="2"/>
    <n v="3"/>
    <n v="-10.3"/>
    <m/>
    <m/>
    <s v="~"/>
    <n v="99"/>
    <n v="2"/>
    <n v="0"/>
    <n v="43.149999999999991"/>
    <n v="951.5"/>
    <n v="50"/>
    <s v="-"/>
  </r>
  <r>
    <x v="11"/>
    <x v="5"/>
    <s v="З"/>
    <n v="2"/>
    <n v="3"/>
    <n v="-8.1999999999999993"/>
    <m/>
    <m/>
    <s v="~"/>
    <n v="98"/>
    <n v="-1"/>
    <n v="0"/>
    <n v="43.149999999999991"/>
    <n v="950.7"/>
    <n v="52"/>
    <s v="-"/>
  </r>
  <r>
    <x v="11"/>
    <x v="6"/>
    <s v="З"/>
    <n v="4"/>
    <n v="5"/>
    <n v="-11.3"/>
    <m/>
    <m/>
    <s v="~"/>
    <n v="95"/>
    <n v="-3"/>
    <n v="0"/>
    <n v="43.149999999999991"/>
    <n v="951.5"/>
    <n v="57"/>
    <s v="-"/>
  </r>
  <r>
    <x v="11"/>
    <x v="7"/>
    <s v="З"/>
    <n v="1"/>
    <n v="2"/>
    <n v="-12.7"/>
    <m/>
    <m/>
    <s v="~"/>
    <n v="95"/>
    <n v="0"/>
    <n v="0"/>
    <n v="43.149999999999991"/>
    <n v="952.3"/>
    <n v="65"/>
    <s v="-"/>
  </r>
  <r>
    <x v="12"/>
    <x v="0"/>
    <s v="ЗЮЗ"/>
    <n v="2"/>
    <n v="3"/>
    <n v="-13.4"/>
    <m/>
    <m/>
    <s v="~"/>
    <n v="94"/>
    <n v="-1"/>
    <n v="0"/>
    <n v="43.149999999999991"/>
    <n v="952"/>
    <n v="67"/>
    <s v="-"/>
  </r>
  <r>
    <x v="12"/>
    <x v="1"/>
    <s v="ЗЮЗ"/>
    <n v="2"/>
    <n v="4"/>
    <n v="-11.7"/>
    <m/>
    <m/>
    <s v="~"/>
    <n v="96"/>
    <n v="2"/>
    <n v="0"/>
    <n v="43.149999999999991"/>
    <n v="951.3"/>
    <n v="70"/>
    <s v="-"/>
  </r>
  <r>
    <x v="12"/>
    <x v="2"/>
    <s v="З"/>
    <n v="1"/>
    <n v="2"/>
    <n v="-11.4"/>
    <m/>
    <m/>
    <s v="~"/>
    <n v="97"/>
    <n v="1"/>
    <n v="0"/>
    <n v="43.149999999999991"/>
    <n v="951.6"/>
    <n v="70"/>
    <s v="-"/>
  </r>
  <r>
    <x v="12"/>
    <x v="3"/>
    <s v="З"/>
    <n v="1"/>
    <n v="1"/>
    <n v="-9.6999999999999993"/>
    <m/>
    <m/>
    <s v="~"/>
    <n v="100"/>
    <n v="3"/>
    <n v="0"/>
    <n v="43.149999999999991"/>
    <n v="952.7"/>
    <n v="64"/>
    <s v="-"/>
  </r>
  <r>
    <x v="12"/>
    <x v="4"/>
    <s v="С"/>
    <n v="1"/>
    <n v="2"/>
    <n v="-5.8"/>
    <m/>
    <m/>
    <s v="~"/>
    <n v="102"/>
    <n v="2"/>
    <n v="0"/>
    <n v="43.149999999999991"/>
    <n v="953"/>
    <n v="60"/>
    <s v="-"/>
  </r>
  <r>
    <x v="12"/>
    <x v="5"/>
    <s v="З"/>
    <n v="1"/>
    <n v="2"/>
    <n v="-4.8"/>
    <m/>
    <m/>
    <s v="~"/>
    <n v="102"/>
    <n v="0"/>
    <n v="0"/>
    <n v="43.149999999999991"/>
    <n v="952.4"/>
    <n v="70"/>
    <s v="-"/>
  </r>
  <r>
    <x v="12"/>
    <x v="6"/>
    <s v="З"/>
    <n v="1"/>
    <n v="2"/>
    <n v="-4.3"/>
    <m/>
    <m/>
    <s v="~"/>
    <n v="103"/>
    <n v="1"/>
    <n v="0"/>
    <n v="43.149999999999991"/>
    <n v="952.3"/>
    <n v="76"/>
    <s v="-"/>
  </r>
  <r>
    <x v="12"/>
    <x v="7"/>
    <s v="З"/>
    <n v="2"/>
    <n v="3"/>
    <n v="-4.8"/>
    <m/>
    <m/>
    <s v="~"/>
    <n v="102"/>
    <n v="-1"/>
    <n v="0"/>
    <n v="43.149999999999991"/>
    <n v="953.7"/>
    <n v="74"/>
    <s v="-"/>
  </r>
  <r>
    <x v="13"/>
    <x v="0"/>
    <s v="З"/>
    <n v="3"/>
    <n v="5"/>
    <n v="-5.7"/>
    <m/>
    <m/>
    <s v="~"/>
    <n v="101"/>
    <n v="-1"/>
    <n v="0"/>
    <n v="43.149999999999991"/>
    <n v="953.9"/>
    <n v="77"/>
    <s v="-"/>
  </r>
  <r>
    <x v="13"/>
    <x v="1"/>
    <s v="З"/>
    <n v="3"/>
    <n v="4"/>
    <n v="-3.9"/>
    <m/>
    <m/>
    <s v="~"/>
    <n v="103"/>
    <n v="2"/>
    <n v="0"/>
    <n v="43.149999999999991"/>
    <n v="954.4"/>
    <n v="72"/>
    <s v="-"/>
  </r>
  <r>
    <x v="13"/>
    <x v="2"/>
    <s v="З"/>
    <n v="3"/>
    <n v="3"/>
    <n v="-3.2"/>
    <m/>
    <m/>
    <s v="~"/>
    <n v="102"/>
    <n v="-1"/>
    <n v="0"/>
    <n v="43.149999999999991"/>
    <n v="954.6"/>
    <n v="69"/>
    <s v="-"/>
  </r>
  <r>
    <x v="13"/>
    <x v="3"/>
    <s v="З"/>
    <n v="3"/>
    <n v="4"/>
    <n v="-3.2"/>
    <m/>
    <m/>
    <s v="~"/>
    <n v="102"/>
    <n v="0"/>
    <n v="0"/>
    <n v="43.149999999999991"/>
    <n v="955.3"/>
    <n v="69"/>
    <s v="-"/>
  </r>
  <r>
    <x v="13"/>
    <x v="4"/>
    <s v="З"/>
    <n v="1"/>
    <n v="2"/>
    <n v="-1.8"/>
    <m/>
    <m/>
    <s v="~"/>
    <n v="102"/>
    <n v="0"/>
    <n v="0"/>
    <n v="43.149999999999991"/>
    <n v="955.8"/>
    <n v="68"/>
    <s v="-"/>
  </r>
  <r>
    <x v="13"/>
    <x v="5"/>
    <s v="З"/>
    <n v="0"/>
    <n v="1"/>
    <n v="1.5"/>
    <m/>
    <m/>
    <s v="~"/>
    <n v="104"/>
    <n v="2"/>
    <n v="0"/>
    <n v="43.149999999999991"/>
    <n v="955.4"/>
    <n v="57"/>
    <s v="-"/>
  </r>
  <r>
    <x v="13"/>
    <x v="6"/>
    <s v="З"/>
    <n v="2"/>
    <n v="3"/>
    <n v="-4.5"/>
    <m/>
    <m/>
    <s v="~"/>
    <n v="100"/>
    <n v="-4"/>
    <n v="0"/>
    <n v="43.149999999999991"/>
    <n v="956.1"/>
    <n v="78"/>
    <s v="-"/>
  </r>
  <r>
    <x v="13"/>
    <x v="7"/>
    <s v="З"/>
    <n v="3"/>
    <n v="4"/>
    <n v="-5.5"/>
    <m/>
    <m/>
    <s v="~"/>
    <n v="100"/>
    <n v="0"/>
    <n v="0"/>
    <n v="43.149999999999991"/>
    <n v="957.1"/>
    <n v="79"/>
    <s v="-"/>
  </r>
  <r>
    <x v="14"/>
    <x v="0"/>
    <s v="З"/>
    <n v="2"/>
    <n v="3"/>
    <n v="-6.4"/>
    <m/>
    <m/>
    <s v="~"/>
    <n v="100"/>
    <n v="0"/>
    <n v="0"/>
    <n v="43.149999999999991"/>
    <n v="956.9"/>
    <n v="78"/>
    <s v="-"/>
  </r>
  <r>
    <x v="14"/>
    <x v="1"/>
    <s v="ЗЮЗ"/>
    <n v="2"/>
    <n v="3"/>
    <n v="-7.7"/>
    <m/>
    <m/>
    <s v="~"/>
    <n v="99"/>
    <n v="-1"/>
    <n v="0"/>
    <n v="43.149999999999991"/>
    <n v="955.9"/>
    <n v="82"/>
    <s v="-"/>
  </r>
  <r>
    <x v="14"/>
    <x v="2"/>
    <s v="ЗЮЗ"/>
    <n v="1"/>
    <n v="3"/>
    <n v="-7.2"/>
    <m/>
    <m/>
    <s v="~"/>
    <n v="98"/>
    <n v="-1"/>
    <n v="0"/>
    <n v="43.149999999999991"/>
    <n v="955.2"/>
    <n v="78"/>
    <s v="-"/>
  </r>
  <r>
    <x v="14"/>
    <x v="3"/>
    <s v="ЗЮЗ"/>
    <n v="3"/>
    <n v="4"/>
    <n v="-5.8"/>
    <m/>
    <m/>
    <s v="~"/>
    <n v="99"/>
    <n v="1"/>
    <n v="0"/>
    <n v="43.149999999999991"/>
    <n v="955.5"/>
    <n v="74"/>
    <s v="-"/>
  </r>
  <r>
    <x v="14"/>
    <x v="4"/>
    <s v="З"/>
    <n v="1"/>
    <n v="2"/>
    <n v="-3.5"/>
    <m/>
    <m/>
    <s v="~"/>
    <n v="100"/>
    <n v="1"/>
    <n v="0"/>
    <n v="43.149999999999991"/>
    <n v="954.6"/>
    <n v="72"/>
    <s v="-"/>
  </r>
  <r>
    <x v="14"/>
    <x v="5"/>
    <s v="З"/>
    <n v="2"/>
    <n v="3"/>
    <n v="-4.3"/>
    <m/>
    <m/>
    <s v="~"/>
    <n v="100"/>
    <n v="0"/>
    <n v="0"/>
    <n v="43.149999999999991"/>
    <n v="953.2"/>
    <n v="81"/>
    <s v="-"/>
  </r>
  <r>
    <x v="14"/>
    <x v="6"/>
    <s v="З"/>
    <n v="2"/>
    <n v="3"/>
    <n v="-4.9000000000000004"/>
    <m/>
    <m/>
    <s v="~"/>
    <n v="99"/>
    <n v="-1"/>
    <n v="0"/>
    <n v="43.149999999999991"/>
    <n v="952.6"/>
    <n v="75"/>
    <s v="-"/>
  </r>
  <r>
    <x v="14"/>
    <x v="7"/>
    <s v="З"/>
    <n v="2"/>
    <n v="5"/>
    <n v="-5.3"/>
    <m/>
    <m/>
    <s v="~"/>
    <n v="99"/>
    <n v="0"/>
    <n v="0"/>
    <n v="43.149999999999991"/>
    <n v="952.1"/>
    <n v="69"/>
    <s v="-"/>
  </r>
  <r>
    <x v="15"/>
    <x v="0"/>
    <s v="З"/>
    <n v="2"/>
    <n v="4"/>
    <n v="-5.2"/>
    <m/>
    <m/>
    <s v="~"/>
    <n v="99"/>
    <n v="0"/>
    <n v="0"/>
    <n v="43.149999999999991"/>
    <n v="951.3"/>
    <n v="61"/>
    <s v="-"/>
  </r>
  <r>
    <x v="15"/>
    <x v="1"/>
    <s v="З"/>
    <n v="0"/>
    <n v="1"/>
    <n v="-4.4000000000000004"/>
    <m/>
    <m/>
    <s v="~"/>
    <n v="99"/>
    <n v="0"/>
    <n v="0"/>
    <n v="43.149999999999991"/>
    <n v="950.5"/>
    <n v="57"/>
    <s v="-"/>
  </r>
  <r>
    <x v="15"/>
    <x v="2"/>
    <s v="З"/>
    <n v="1"/>
    <n v="2"/>
    <n v="-6"/>
    <m/>
    <m/>
    <s v="~"/>
    <n v="98"/>
    <n v="-1"/>
    <n v="0"/>
    <n v="43.149999999999991"/>
    <n v="950.1"/>
    <n v="67"/>
    <s v="-"/>
  </r>
  <r>
    <x v="15"/>
    <x v="3"/>
    <s v="З"/>
    <n v="1"/>
    <n v="2"/>
    <n v="-6.5"/>
    <m/>
    <m/>
    <s v="~"/>
    <n v="98"/>
    <n v="0"/>
    <n v="0"/>
    <n v="43.149999999999991"/>
    <n v="950.4"/>
    <n v="70"/>
    <s v="-"/>
  </r>
  <r>
    <x v="15"/>
    <x v="4"/>
    <s v="ЗЮЗ"/>
    <n v="1"/>
    <n v="2"/>
    <n v="-4"/>
    <m/>
    <m/>
    <s v="~"/>
    <n v="99"/>
    <n v="1"/>
    <n v="0"/>
    <n v="43.149999999999991"/>
    <n v="950"/>
    <n v="59"/>
    <s v="-"/>
  </r>
  <r>
    <x v="15"/>
    <x v="5"/>
    <s v="ЗЮЗ"/>
    <n v="1"/>
    <n v="2"/>
    <n v="-2.8"/>
    <m/>
    <m/>
    <s v="~"/>
    <n v="100"/>
    <n v="1"/>
    <n v="0"/>
    <n v="43.149999999999991"/>
    <n v="948.4"/>
    <n v="61"/>
    <s v="-"/>
  </r>
  <r>
    <x v="15"/>
    <x v="6"/>
    <s v="ЗЮЗ"/>
    <n v="2"/>
    <n v="3"/>
    <n v="-6.1"/>
    <m/>
    <m/>
    <s v="~"/>
    <n v="98"/>
    <n v="-2"/>
    <n v="0"/>
    <n v="43.149999999999991"/>
    <n v="948"/>
    <n v="77"/>
    <s v="-"/>
  </r>
  <r>
    <x v="15"/>
    <x v="7"/>
    <s v="ЮЗ"/>
    <n v="3"/>
    <n v="3"/>
    <n v="-8"/>
    <m/>
    <m/>
    <s v="~"/>
    <n v="97"/>
    <n v="-1"/>
    <n v="0"/>
    <n v="43.149999999999991"/>
    <n v="947.4"/>
    <n v="79"/>
    <s v="-"/>
  </r>
  <r>
    <x v="16"/>
    <x v="0"/>
    <s v="ЮЗ"/>
    <n v="3"/>
    <n v="3"/>
    <n v="-9.9"/>
    <m/>
    <m/>
    <s v="~"/>
    <n v="97"/>
    <n v="0"/>
    <n v="0"/>
    <n v="43.149999999999991"/>
    <n v="945.8"/>
    <n v="83"/>
    <s v="-"/>
  </r>
  <r>
    <x v="16"/>
    <x v="1"/>
    <s v="ЮЗ"/>
    <n v="2"/>
    <n v="3"/>
    <n v="-9.3000000000000007"/>
    <m/>
    <m/>
    <s v="~"/>
    <n v="97"/>
    <n v="0"/>
    <n v="0"/>
    <n v="43.149999999999991"/>
    <n v="944"/>
    <n v="79"/>
    <s v="-"/>
  </r>
  <r>
    <x v="16"/>
    <x v="2"/>
    <s v="ЮЗ"/>
    <n v="1"/>
    <n v="3"/>
    <n v="-12"/>
    <m/>
    <m/>
    <s v="~"/>
    <n v="96"/>
    <n v="-1"/>
    <n v="0"/>
    <n v="43.149999999999991"/>
    <n v="942.2"/>
    <n v="91"/>
    <s v="-"/>
  </r>
  <r>
    <x v="16"/>
    <x v="3"/>
    <s v="ЮЗ"/>
    <n v="1"/>
    <n v="2"/>
    <n v="-11.3"/>
    <m/>
    <m/>
    <s v="~"/>
    <n v="97"/>
    <n v="1"/>
    <n v="0"/>
    <n v="43.149999999999991"/>
    <n v="940.5"/>
    <n v="84"/>
    <s v="-"/>
  </r>
  <r>
    <x v="16"/>
    <x v="4"/>
    <s v="З"/>
    <n v="1"/>
    <n v="1"/>
    <n v="-6.3"/>
    <m/>
    <m/>
    <s v="~"/>
    <n v="99"/>
    <n v="2"/>
    <n v="0"/>
    <n v="43.149999999999991"/>
    <n v="938.5"/>
    <n v="70"/>
    <s v="-"/>
  </r>
  <r>
    <x v="16"/>
    <x v="5"/>
    <s v="З"/>
    <n v="0"/>
    <n v="1"/>
    <n v="-4.4000000000000004"/>
    <m/>
    <m/>
    <s v="~"/>
    <n v="100"/>
    <n v="1"/>
    <n v="0"/>
    <n v="43.149999999999991"/>
    <n v="936.2"/>
    <n v="66"/>
    <s v="-"/>
  </r>
  <r>
    <x v="16"/>
    <x v="6"/>
    <s v="З"/>
    <n v="1"/>
    <n v="2"/>
    <n v="-6.5"/>
    <m/>
    <m/>
    <s v="~"/>
    <n v="99"/>
    <n v="-1"/>
    <n v="0"/>
    <n v="43.149999999999991"/>
    <n v="935.3"/>
    <n v="84"/>
    <s v="-"/>
  </r>
  <r>
    <x v="16"/>
    <x v="7"/>
    <s v="З"/>
    <n v="1"/>
    <n v="2"/>
    <n v="-8.1"/>
    <m/>
    <m/>
    <s v="~"/>
    <n v="98"/>
    <n v="-1"/>
    <n v="0"/>
    <n v="43.149999999999991"/>
    <n v="934"/>
    <n v="85"/>
    <s v="-"/>
  </r>
  <r>
    <x v="17"/>
    <x v="0"/>
    <s v="З"/>
    <n v="1"/>
    <n v="2"/>
    <n v="-7.4"/>
    <m/>
    <m/>
    <s v="~"/>
    <n v="99"/>
    <n v="1"/>
    <n v="0"/>
    <n v="43.149999999999991"/>
    <n v="932"/>
    <n v="88"/>
    <s v="-"/>
  </r>
  <r>
    <x v="17"/>
    <x v="1"/>
    <s v="ЗЮЗ"/>
    <n v="1"/>
    <n v="2"/>
    <n v="-7.3"/>
    <m/>
    <m/>
    <s v="~"/>
    <n v="99"/>
    <n v="0"/>
    <n v="0"/>
    <n v="43.149999999999991"/>
    <n v="929.5"/>
    <n v="79"/>
    <s v="-"/>
  </r>
  <r>
    <x v="17"/>
    <x v="2"/>
    <s v="ЗЮЗ"/>
    <n v="1"/>
    <n v="3"/>
    <n v="-4.4000000000000004"/>
    <m/>
    <m/>
    <s v="~"/>
    <n v="100"/>
    <n v="1"/>
    <n v="0"/>
    <n v="43.149999999999991"/>
    <n v="926.6"/>
    <n v="74"/>
    <s v="-"/>
  </r>
  <r>
    <x v="17"/>
    <x v="3"/>
    <s v="ЮЗ"/>
    <n v="2"/>
    <n v="3"/>
    <n v="-5.8"/>
    <m/>
    <m/>
    <s v="т"/>
    <n v="100"/>
    <n v="0"/>
    <n v="0"/>
    <n v="43.149999999999991"/>
    <n v="924.6"/>
    <n v="91"/>
    <s v="-"/>
  </r>
  <r>
    <x v="17"/>
    <x v="4"/>
    <s v="ЮЗ"/>
    <n v="2"/>
    <n v="3"/>
    <n v="-4.0999999999999996"/>
    <m/>
    <m/>
    <s v="т, то"/>
    <n v="101"/>
    <n v="1"/>
    <n v="0"/>
    <n v="43.149999999999991"/>
    <n v="920.5"/>
    <n v="92"/>
    <s v="-"/>
  </r>
  <r>
    <x v="17"/>
    <x v="5"/>
    <s v="ЮЗ"/>
    <n v="1"/>
    <n v="2"/>
    <n v="-2.5"/>
    <m/>
    <m/>
    <s v="~"/>
    <n v="100"/>
    <n v="-1"/>
    <n v="0"/>
    <n v="43.149999999999991"/>
    <n v="916.1"/>
    <n v="95"/>
    <s v="-"/>
  </r>
  <r>
    <x v="17"/>
    <x v="6"/>
    <s v="ЗЮЗ"/>
    <n v="12"/>
    <n v="18"/>
    <n v="-4"/>
    <m/>
    <m/>
    <s v="т, то, м"/>
    <n v="101"/>
    <n v="1"/>
    <n v="0"/>
    <n v="43.149999999999991"/>
    <n v="914.5"/>
    <n v="88"/>
    <s v="-"/>
  </r>
  <r>
    <x v="17"/>
    <x v="7"/>
    <s v="З"/>
    <n v="13"/>
    <n v="20"/>
    <n v="-5.9"/>
    <m/>
    <m/>
    <s v="м"/>
    <n v="99"/>
    <n v="-2"/>
    <n v="0"/>
    <n v="43.149999999999991"/>
    <n v="916"/>
    <n v="68"/>
    <s v="-"/>
  </r>
  <r>
    <x v="18"/>
    <x v="0"/>
    <s v="З"/>
    <n v="12"/>
    <n v="19"/>
    <n v="-7.3"/>
    <m/>
    <m/>
    <s v="м"/>
    <n v="99"/>
    <n v="0"/>
    <n v="0"/>
    <n v="43.149999999999991"/>
    <n v="916.9"/>
    <n v="75"/>
    <s v="-"/>
  </r>
  <r>
    <x v="18"/>
    <x v="1"/>
    <s v="З"/>
    <n v="10"/>
    <n v="15"/>
    <n v="-7.9"/>
    <m/>
    <m/>
    <s v="м"/>
    <n v="98"/>
    <n v="-1"/>
    <n v="0"/>
    <n v="43.149999999999991"/>
    <n v="917.2"/>
    <n v="61"/>
    <s v="-"/>
  </r>
  <r>
    <x v="18"/>
    <x v="2"/>
    <s v="З"/>
    <n v="9"/>
    <n v="14"/>
    <n v="-8.6999999999999993"/>
    <m/>
    <m/>
    <s v="~"/>
    <n v="98"/>
    <n v="0"/>
    <n v="0"/>
    <n v="43.149999999999991"/>
    <n v="917.7"/>
    <n v="59"/>
    <s v="-"/>
  </r>
  <r>
    <x v="18"/>
    <x v="3"/>
    <s v="З"/>
    <n v="10"/>
    <n v="15"/>
    <n v="-9.3000000000000007"/>
    <m/>
    <m/>
    <s v="~"/>
    <n v="97"/>
    <n v="-1"/>
    <n v="0"/>
    <n v="43.149999999999991"/>
    <n v="917.3"/>
    <n v="57"/>
    <s v="-"/>
  </r>
  <r>
    <x v="18"/>
    <x v="4"/>
    <s v="З"/>
    <n v="9"/>
    <n v="12"/>
    <n v="-8.3000000000000007"/>
    <m/>
    <m/>
    <s v="~"/>
    <n v="98"/>
    <n v="1"/>
    <n v="0"/>
    <n v="43.149999999999991"/>
    <n v="917.4"/>
    <n v="57"/>
    <s v="-"/>
  </r>
  <r>
    <x v="18"/>
    <x v="5"/>
    <s v="З"/>
    <n v="6"/>
    <n v="9"/>
    <n v="-6.8"/>
    <m/>
    <m/>
    <s v="~"/>
    <n v="99"/>
    <n v="1"/>
    <n v="0"/>
    <n v="43.149999999999991"/>
    <n v="915.5"/>
    <n v="48"/>
    <s v="-"/>
  </r>
  <r>
    <x v="18"/>
    <x v="6"/>
    <s v="З"/>
    <n v="2"/>
    <n v="3"/>
    <n v="-8.1"/>
    <m/>
    <m/>
    <s v="~"/>
    <n v="99"/>
    <n v="0"/>
    <n v="0"/>
    <n v="43.149999999999991"/>
    <n v="913.8"/>
    <n v="46"/>
    <s v="-"/>
  </r>
  <r>
    <x v="18"/>
    <x v="7"/>
    <s v="З"/>
    <n v="4"/>
    <n v="4"/>
    <n v="-10.9"/>
    <m/>
    <m/>
    <s v="~"/>
    <n v="98"/>
    <n v="-1"/>
    <n v="0"/>
    <n v="43.149999999999991"/>
    <n v="912.2"/>
    <n v="52"/>
    <s v="-"/>
  </r>
  <r>
    <x v="19"/>
    <x v="0"/>
    <s v="ЗСЗ"/>
    <n v="2"/>
    <n v="3"/>
    <n v="-11.1"/>
    <m/>
    <m/>
    <s v="~"/>
    <n v="98"/>
    <n v="0"/>
    <n v="0"/>
    <n v="43.149999999999991"/>
    <n v="909.7"/>
    <n v="46"/>
    <s v="-"/>
  </r>
  <r>
    <x v="19"/>
    <x v="1"/>
    <s v="СЗ"/>
    <n v="3"/>
    <n v="4"/>
    <n v="-11.9"/>
    <m/>
    <m/>
    <s v="~"/>
    <n v="97"/>
    <n v="-1"/>
    <n v="0"/>
    <n v="43.149999999999991"/>
    <n v="908"/>
    <n v="50"/>
    <s v="-"/>
  </r>
  <r>
    <x v="19"/>
    <x v="2"/>
    <s v="ЗСЗ"/>
    <n v="1"/>
    <n v="2"/>
    <n v="-11.9"/>
    <m/>
    <m/>
    <s v="~"/>
    <n v="97"/>
    <n v="0"/>
    <n v="0"/>
    <n v="43.149999999999991"/>
    <n v="906.9"/>
    <n v="51"/>
    <s v="-"/>
  </r>
  <r>
    <x v="19"/>
    <x v="3"/>
    <s v="З"/>
    <n v="2"/>
    <n v="5"/>
    <n v="-10.6"/>
    <m/>
    <m/>
    <s v="~"/>
    <n v="98"/>
    <n v="1"/>
    <n v="0"/>
    <n v="43.149999999999991"/>
    <n v="907.1"/>
    <n v="54"/>
    <s v="-"/>
  </r>
  <r>
    <x v="19"/>
    <x v="4"/>
    <s v="З"/>
    <n v="6"/>
    <n v="8"/>
    <n v="-8.1999999999999993"/>
    <m/>
    <m/>
    <s v="~"/>
    <n v="99"/>
    <n v="1"/>
    <n v="0"/>
    <n v="43.149999999999991"/>
    <n v="907.3"/>
    <n v="61"/>
    <s v="-"/>
  </r>
  <r>
    <x v="19"/>
    <x v="5"/>
    <s v="З"/>
    <n v="7"/>
    <n v="9"/>
    <n v="-8"/>
    <m/>
    <m/>
    <s v="~"/>
    <n v="99"/>
    <n v="0"/>
    <n v="0"/>
    <n v="43.149999999999991"/>
    <n v="906.5"/>
    <n v="58"/>
    <s v="-"/>
  </r>
  <r>
    <x v="19"/>
    <x v="6"/>
    <s v="З"/>
    <n v="3"/>
    <n v="4"/>
    <n v="-9"/>
    <m/>
    <m/>
    <s v="~"/>
    <n v="98"/>
    <n v="-1"/>
    <n v="0"/>
    <n v="43.149999999999991"/>
    <n v="906"/>
    <n v="56"/>
    <s v="-"/>
  </r>
  <r>
    <x v="19"/>
    <x v="7"/>
    <s v="З"/>
    <n v="3"/>
    <n v="4"/>
    <n v="-11.5"/>
    <m/>
    <m/>
    <s v="~"/>
    <n v="97"/>
    <n v="-1"/>
    <n v="0"/>
    <n v="43.149999999999991"/>
    <n v="906.3"/>
    <n v="65"/>
    <s v="-"/>
  </r>
  <r>
    <x v="20"/>
    <x v="0"/>
    <s v="З"/>
    <n v="3"/>
    <n v="4"/>
    <n v="-11.4"/>
    <m/>
    <m/>
    <s v="~"/>
    <n v="97"/>
    <n v="0"/>
    <n v="0"/>
    <n v="43.149999999999991"/>
    <n v="906.2"/>
    <n v="60"/>
    <s v="-"/>
  </r>
  <r>
    <x v="20"/>
    <x v="1"/>
    <s v="ЗСЗ"/>
    <n v="5"/>
    <n v="7"/>
    <n v="-9.1999999999999993"/>
    <m/>
    <m/>
    <s v="~"/>
    <n v="98"/>
    <n v="1"/>
    <n v="0"/>
    <n v="43.149999999999991"/>
    <n v="908"/>
    <n v="55"/>
    <s v="-"/>
  </r>
  <r>
    <x v="20"/>
    <x v="2"/>
    <s v="ЗСЗ"/>
    <n v="8"/>
    <n v="14"/>
    <n v="-8.5"/>
    <m/>
    <m/>
    <s v="~"/>
    <n v="98"/>
    <n v="0"/>
    <n v="0"/>
    <n v="43.149999999999991"/>
    <n v="911"/>
    <n v="72"/>
    <s v="-"/>
  </r>
  <r>
    <x v="20"/>
    <x v="3"/>
    <s v="ЗСЗ"/>
    <n v="13"/>
    <n v="19"/>
    <n v="-9.1999999999999993"/>
    <m/>
    <m/>
    <s v="то, м"/>
    <n v="97"/>
    <n v="-1"/>
    <n v="0"/>
    <n v="43.149999999999991"/>
    <n v="914.6"/>
    <n v="73"/>
    <s v="-"/>
  </r>
  <r>
    <x v="20"/>
    <x v="4"/>
    <s v="ЗСЗ"/>
    <n v="11"/>
    <n v="17"/>
    <n v="-8.1999999999999993"/>
    <m/>
    <m/>
    <s v="м"/>
    <n v="96"/>
    <n v="-1"/>
    <n v="0"/>
    <n v="43.149999999999991"/>
    <n v="918.4"/>
    <n v="67"/>
    <s v="-"/>
  </r>
  <r>
    <x v="20"/>
    <x v="5"/>
    <s v="ЗСЗ"/>
    <n v="13"/>
    <n v="20"/>
    <n v="-7.2"/>
    <m/>
    <m/>
    <s v="~"/>
    <n v="96"/>
    <n v="0"/>
    <n v="0"/>
    <n v="43.149999999999991"/>
    <n v="921.3"/>
    <n v="60"/>
    <s v="-"/>
  </r>
  <r>
    <x v="20"/>
    <x v="6"/>
    <s v="З"/>
    <n v="8"/>
    <n v="16"/>
    <n v="-8.4"/>
    <m/>
    <m/>
    <s v="~"/>
    <n v="96"/>
    <n v="0"/>
    <n v="0"/>
    <n v="43.149999999999991"/>
    <n v="924.7"/>
    <n v="54"/>
    <s v="-"/>
  </r>
  <r>
    <x v="20"/>
    <x v="7"/>
    <s v="З"/>
    <n v="9"/>
    <n v="18"/>
    <n v="-8.6"/>
    <m/>
    <m/>
    <s v="~"/>
    <n v="95"/>
    <n v="-1"/>
    <n v="0"/>
    <n v="43.149999999999991"/>
    <n v="928.6"/>
    <n v="50"/>
    <s v="-"/>
  </r>
  <r>
    <x v="21"/>
    <x v="0"/>
    <s v="З"/>
    <n v="8"/>
    <n v="11"/>
    <n v="-7.8"/>
    <m/>
    <m/>
    <s v="~"/>
    <n v="95"/>
    <n v="0"/>
    <n v="0"/>
    <n v="43.149999999999991"/>
    <n v="930"/>
    <n v="47"/>
    <s v="-"/>
  </r>
  <r>
    <x v="21"/>
    <x v="1"/>
    <s v="З"/>
    <n v="7"/>
    <n v="14"/>
    <n v="-6.5"/>
    <m/>
    <m/>
    <s v="~"/>
    <n v="96"/>
    <n v="1"/>
    <n v="0"/>
    <n v="43.149999999999991"/>
    <n v="930.2"/>
    <n v="54"/>
    <s v="-"/>
  </r>
  <r>
    <x v="21"/>
    <x v="2"/>
    <s v="З"/>
    <n v="11"/>
    <n v="20"/>
    <n v="-6"/>
    <m/>
    <m/>
    <s v="~"/>
    <n v="94"/>
    <n v="-2"/>
    <n v="0"/>
    <n v="43.149999999999991"/>
    <n v="930.1"/>
    <n v="63"/>
    <s v="-"/>
  </r>
  <r>
    <x v="21"/>
    <x v="3"/>
    <s v="З"/>
    <n v="11"/>
    <n v="18"/>
    <n v="-4"/>
    <m/>
    <m/>
    <s v="~"/>
    <n v="95"/>
    <n v="1"/>
    <n v="0"/>
    <n v="43.149999999999991"/>
    <n v="929"/>
    <n v="63"/>
    <s v="-"/>
  </r>
  <r>
    <x v="21"/>
    <x v="4"/>
    <s v="З"/>
    <n v="9"/>
    <n v="14"/>
    <n v="-1.6"/>
    <m/>
    <m/>
    <s v="~"/>
    <n v="95"/>
    <n v="0"/>
    <n v="0"/>
    <n v="43.149999999999991"/>
    <n v="928.2"/>
    <n v="55"/>
    <s v="-"/>
  </r>
  <r>
    <x v="21"/>
    <x v="5"/>
    <s v="З"/>
    <n v="7"/>
    <n v="12"/>
    <n v="0.5"/>
    <m/>
    <m/>
    <s v="~"/>
    <n v="97"/>
    <n v="2"/>
    <n v="0"/>
    <n v="43.149999999999991"/>
    <n v="926.2"/>
    <n v="50"/>
    <s v="-"/>
  </r>
  <r>
    <x v="21"/>
    <x v="6"/>
    <s v="З"/>
    <n v="8"/>
    <n v="15"/>
    <n v="0.9"/>
    <m/>
    <m/>
    <s v="~"/>
    <n v="97"/>
    <n v="0"/>
    <n v="0"/>
    <n v="43.149999999999991"/>
    <n v="925.7"/>
    <n v="52"/>
    <s v="-"/>
  </r>
  <r>
    <x v="21"/>
    <x v="7"/>
    <s v="З"/>
    <n v="8"/>
    <n v="13"/>
    <n v="0.4"/>
    <m/>
    <m/>
    <s v="~"/>
    <n v="97"/>
    <n v="0"/>
    <n v="0"/>
    <n v="43.149999999999991"/>
    <n v="926.6"/>
    <n v="59"/>
    <s v="-"/>
  </r>
  <r>
    <x v="22"/>
    <x v="0"/>
    <s v="З"/>
    <n v="8"/>
    <n v="15"/>
    <n v="-0.6"/>
    <m/>
    <m/>
    <s v="~"/>
    <n v="96"/>
    <n v="-1"/>
    <n v="0"/>
    <n v="43.149999999999991"/>
    <n v="927"/>
    <n v="65"/>
    <s v="-"/>
  </r>
  <r>
    <x v="22"/>
    <x v="1"/>
    <s v="З"/>
    <n v="9"/>
    <n v="14"/>
    <n v="-1.8"/>
    <m/>
    <m/>
    <s v="~"/>
    <n v="96"/>
    <n v="0"/>
    <n v="0"/>
    <n v="43.149999999999991"/>
    <n v="926.9"/>
    <n v="71"/>
    <s v="-"/>
  </r>
  <r>
    <x v="22"/>
    <x v="2"/>
    <s v="З"/>
    <n v="8"/>
    <n v="12"/>
    <n v="-1.9"/>
    <m/>
    <m/>
    <s v="~"/>
    <n v="96"/>
    <n v="0"/>
    <n v="0"/>
    <n v="43.149999999999991"/>
    <n v="926.9"/>
    <n v="74"/>
    <s v="-"/>
  </r>
  <r>
    <x v="22"/>
    <x v="3"/>
    <s v="ЗЮЗ"/>
    <n v="8"/>
    <n v="13"/>
    <n v="-2.8"/>
    <m/>
    <m/>
    <s v="~"/>
    <n v="95"/>
    <n v="-1"/>
    <n v="0"/>
    <n v="43.149999999999991"/>
    <n v="927.2"/>
    <n v="78"/>
    <s v="-"/>
  </r>
  <r>
    <x v="22"/>
    <x v="4"/>
    <s v="ЮЗ"/>
    <n v="4"/>
    <n v="12"/>
    <n v="-3.8"/>
    <m/>
    <m/>
    <s v="то"/>
    <n v="94"/>
    <n v="-1"/>
    <n v="0"/>
    <n v="43.149999999999991"/>
    <n v="927.9"/>
    <n v="77"/>
    <s v="-"/>
  </r>
  <r>
    <x v="22"/>
    <x v="5"/>
    <s v="ЮВ"/>
    <n v="4"/>
    <n v="6"/>
    <n v="-6.9"/>
    <m/>
    <m/>
    <s v="то"/>
    <n v="93"/>
    <n v="-1"/>
    <n v="0"/>
    <n v="43.149999999999991"/>
    <n v="927.4"/>
    <n v="91"/>
    <s v="-"/>
  </r>
  <r>
    <x v="22"/>
    <x v="6"/>
    <s v="В"/>
    <n v="3"/>
    <n v="4"/>
    <n v="-8.3000000000000007"/>
    <m/>
    <m/>
    <s v="то"/>
    <n v="91"/>
    <n v="-2"/>
    <n v="0"/>
    <n v="43.149999999999991"/>
    <n v="928.1"/>
    <n v="91"/>
    <s v="-"/>
  </r>
  <r>
    <x v="22"/>
    <x v="7"/>
    <s v="В"/>
    <n v="2"/>
    <n v="3"/>
    <n v="-9.6"/>
    <m/>
    <m/>
    <s v="то"/>
    <n v="97"/>
    <n v="6"/>
    <n v="0"/>
    <n v="43.149999999999991"/>
    <n v="928.4"/>
    <n v="91"/>
    <s v="-"/>
  </r>
  <r>
    <x v="23"/>
    <x v="0"/>
    <s v="В"/>
    <n v="0"/>
    <n v="1"/>
    <n v="-10.199999999999999"/>
    <m/>
    <m/>
    <s v="то"/>
    <n v="101"/>
    <n v="4"/>
    <n v="0"/>
    <n v="43.149999999999991"/>
    <n v="927.4"/>
    <n v="90"/>
    <s v="-"/>
  </r>
  <r>
    <x v="23"/>
    <x v="1"/>
    <s v="В"/>
    <n v="0"/>
    <n v="1"/>
    <n v="-10.6"/>
    <m/>
    <m/>
    <s v="то"/>
    <n v="103"/>
    <n v="2"/>
    <n v="0"/>
    <n v="43.149999999999991"/>
    <n v="926.9"/>
    <n v="90"/>
    <s v="-"/>
  </r>
  <r>
    <x v="23"/>
    <x v="2"/>
    <s v="В"/>
    <n v="0"/>
    <n v="2"/>
    <n v="-11"/>
    <m/>
    <m/>
    <s v="то"/>
    <n v="100"/>
    <n v="-3"/>
    <n v="0"/>
    <n v="43.149999999999991"/>
    <n v="926"/>
    <n v="89"/>
    <s v="-"/>
  </r>
  <r>
    <x v="23"/>
    <x v="3"/>
    <s v="~"/>
    <n v="0"/>
    <n v="0"/>
    <n v="-10.5"/>
    <m/>
    <m/>
    <s v="то"/>
    <n v="103"/>
    <n v="3"/>
    <n v="0"/>
    <n v="43.149999999999991"/>
    <n v="925.2"/>
    <n v="90"/>
    <s v="-"/>
  </r>
  <r>
    <x v="23"/>
    <x v="4"/>
    <s v="В"/>
    <n v="0"/>
    <n v="1"/>
    <n v="-8"/>
    <m/>
    <m/>
    <s v="то"/>
    <n v="107"/>
    <n v="4"/>
    <n v="0"/>
    <n v="43.149999999999991"/>
    <n v="922.9"/>
    <n v="86"/>
    <s v="-"/>
  </r>
  <r>
    <x v="23"/>
    <x v="5"/>
    <s v="В"/>
    <n v="1"/>
    <n v="2"/>
    <n v="-8.6"/>
    <m/>
    <m/>
    <s v="то"/>
    <n v="115"/>
    <n v="8"/>
    <n v="0"/>
    <n v="43.149999999999991"/>
    <n v="919.1"/>
    <n v="84"/>
    <s v="-"/>
  </r>
  <r>
    <x v="23"/>
    <x v="6"/>
    <s v="СЗ"/>
    <n v="1"/>
    <n v="2"/>
    <n v="-8.4"/>
    <m/>
    <m/>
    <s v="то"/>
    <n v="130"/>
    <n v="15"/>
    <n v="0"/>
    <n v="43.149999999999991"/>
    <n v="914.5"/>
    <n v="86"/>
    <s v="-"/>
  </r>
  <r>
    <x v="23"/>
    <x v="7"/>
    <s v="СВ"/>
    <n v="5"/>
    <n v="8"/>
    <n v="-9.9"/>
    <m/>
    <m/>
    <s v="то"/>
    <n v="135"/>
    <n v="5"/>
    <n v="0"/>
    <n v="43.149999999999991"/>
    <n v="910"/>
    <n v="80"/>
    <s v="-"/>
  </r>
  <r>
    <x v="24"/>
    <x v="0"/>
    <s v="СВ"/>
    <n v="2"/>
    <n v="3"/>
    <n v="-9.6"/>
    <m/>
    <m/>
    <s v="то"/>
    <n v="132"/>
    <n v="-3"/>
    <n v="0"/>
    <n v="43.149999999999991"/>
    <n v="905.7"/>
    <n v="80"/>
    <s v="-"/>
  </r>
  <r>
    <x v="24"/>
    <x v="1"/>
    <s v="СЗ"/>
    <n v="0"/>
    <n v="1"/>
    <n v="-10.4"/>
    <m/>
    <m/>
    <s v="то"/>
    <n v="132"/>
    <n v="0"/>
    <n v="0"/>
    <n v="43.149999999999991"/>
    <n v="902"/>
    <n v="89"/>
    <s v="-"/>
  </r>
  <r>
    <x v="24"/>
    <x v="2"/>
    <s v="З"/>
    <n v="2"/>
    <n v="5"/>
    <n v="-12.2"/>
    <m/>
    <m/>
    <s v="то"/>
    <n v="134"/>
    <n v="2"/>
    <n v="0"/>
    <n v="43.149999999999991"/>
    <n v="898.2"/>
    <n v="81"/>
    <s v="-"/>
  </r>
  <r>
    <x v="24"/>
    <x v="3"/>
    <s v="З"/>
    <n v="2"/>
    <n v="3"/>
    <n v="-13.6"/>
    <m/>
    <m/>
    <s v="то"/>
    <n v="133"/>
    <n v="-1"/>
    <n v="0"/>
    <n v="43.149999999999991"/>
    <n v="895.1"/>
    <n v="76"/>
    <s v="-"/>
  </r>
  <r>
    <x v="24"/>
    <x v="4"/>
    <s v="З"/>
    <n v="7"/>
    <n v="22"/>
    <n v="-16.100000000000001"/>
    <m/>
    <m/>
    <s v="м"/>
    <n v="88"/>
    <n v="-45"/>
    <n v="0"/>
    <n v="43.149999999999991"/>
    <n v="893.8"/>
    <n v="82"/>
    <s v="-"/>
  </r>
  <r>
    <x v="24"/>
    <x v="5"/>
    <s v="З"/>
    <m/>
    <m/>
    <n v="-13.1"/>
    <m/>
    <m/>
    <s v="м"/>
    <n v="89"/>
    <n v="1"/>
    <n v="0"/>
    <n v="43.149999999999991"/>
    <n v="895"/>
    <n v="84"/>
    <s v="-"/>
  </r>
  <r>
    <x v="24"/>
    <x v="6"/>
    <s v="З"/>
    <n v="22"/>
    <n v="29"/>
    <n v="-15.2"/>
    <m/>
    <m/>
    <s v="м"/>
    <n v="87"/>
    <n v="-2"/>
    <n v="0"/>
    <n v="43.149999999999991"/>
    <n v="896.4"/>
    <n v="82"/>
    <s v="-"/>
  </r>
  <r>
    <x v="24"/>
    <x v="7"/>
    <s v="З"/>
    <n v="20"/>
    <n v="26"/>
    <n v="-16.8"/>
    <m/>
    <m/>
    <s v="м"/>
    <n v="86"/>
    <n v="-1"/>
    <n v="0"/>
    <n v="43.149999999999991"/>
    <n v="901.1"/>
    <n v="77"/>
    <s v="-"/>
  </r>
  <r>
    <x v="25"/>
    <x v="0"/>
    <s v="З"/>
    <n v="15"/>
    <n v="22"/>
    <n v="-17.3"/>
    <m/>
    <m/>
    <s v="м"/>
    <n v="86"/>
    <n v="0"/>
    <n v="0"/>
    <n v="43.149999999999991"/>
    <n v="905.1"/>
    <n v="74"/>
    <s v="-"/>
  </r>
  <r>
    <x v="25"/>
    <x v="1"/>
    <s v="З"/>
    <n v="21"/>
    <n v="21"/>
    <n v="-16.399999999999999"/>
    <m/>
    <m/>
    <s v="м"/>
    <n v="86"/>
    <n v="0"/>
    <n v="0"/>
    <n v="43.149999999999991"/>
    <n v="907.8"/>
    <n v="68"/>
    <s v="-"/>
  </r>
  <r>
    <x v="25"/>
    <x v="2"/>
    <s v="З"/>
    <n v="18"/>
    <n v="18"/>
    <n v="-16"/>
    <m/>
    <m/>
    <s v="м"/>
    <n v="87"/>
    <n v="1"/>
    <n v="0"/>
    <n v="43.149999999999991"/>
    <n v="910"/>
    <n v="80"/>
    <s v="-"/>
  </r>
  <r>
    <x v="25"/>
    <x v="3"/>
    <s v="З"/>
    <m/>
    <m/>
    <n v="-15.1"/>
    <m/>
    <m/>
    <s v="м"/>
    <n v="87"/>
    <n v="0"/>
    <n v="0"/>
    <n v="43.149999999999991"/>
    <n v="912.1"/>
    <n v="60"/>
    <s v="-"/>
  </r>
  <r>
    <x v="25"/>
    <x v="4"/>
    <s v="З"/>
    <m/>
    <m/>
    <n v="-13.4"/>
    <m/>
    <m/>
    <s v="м"/>
    <n v="88"/>
    <n v="1"/>
    <n v="0"/>
    <n v="43.149999999999991"/>
    <n v="914.3"/>
    <n v="68"/>
    <s v="-"/>
  </r>
  <r>
    <x v="25"/>
    <x v="5"/>
    <s v="З"/>
    <m/>
    <m/>
    <n v="-11.6"/>
    <m/>
    <m/>
    <s v="м"/>
    <n v="89"/>
    <n v="1"/>
    <n v="0"/>
    <n v="43.149999999999991"/>
    <n v="916.2"/>
    <n v="60"/>
    <s v="-"/>
  </r>
  <r>
    <x v="25"/>
    <x v="6"/>
    <s v="З"/>
    <m/>
    <m/>
    <n v="-10.9"/>
    <m/>
    <m/>
    <s v="м"/>
    <n v="89"/>
    <n v="0"/>
    <n v="0"/>
    <n v="43.149999999999991"/>
    <n v="918.6"/>
    <n v="56"/>
    <s v="-"/>
  </r>
  <r>
    <x v="25"/>
    <x v="7"/>
    <s v="З"/>
    <m/>
    <m/>
    <n v="-10.199999999999999"/>
    <m/>
    <m/>
    <s v="~"/>
    <n v="89"/>
    <n v="0"/>
    <n v="0"/>
    <n v="43.149999999999991"/>
    <n v="921.9"/>
    <n v="48"/>
    <s v="-"/>
  </r>
  <r>
    <x v="26"/>
    <x v="0"/>
    <s v="З"/>
    <n v="2"/>
    <n v="4"/>
    <n v="-10.1"/>
    <m/>
    <m/>
    <s v="~"/>
    <n v="88"/>
    <n v="-1"/>
    <n v="0"/>
    <n v="43.149999999999991"/>
    <n v="924.8"/>
    <n v="74"/>
    <s v="-"/>
  </r>
  <r>
    <x v="26"/>
    <x v="1"/>
    <s v="З"/>
    <n v="6"/>
    <n v="8"/>
    <n v="-9.1"/>
    <m/>
    <m/>
    <s v="~"/>
    <n v="89"/>
    <n v="1"/>
    <n v="0"/>
    <n v="43.149999999999991"/>
    <n v="927.5"/>
    <n v="54"/>
    <s v="-"/>
  </r>
  <r>
    <x v="26"/>
    <x v="2"/>
    <s v="З"/>
    <n v="4"/>
    <n v="6"/>
    <n v="-8.4"/>
    <m/>
    <m/>
    <s v="~"/>
    <n v="90"/>
    <n v="1"/>
    <n v="0"/>
    <n v="43.149999999999991"/>
    <n v="931.2"/>
    <n v="43"/>
    <s v="-"/>
  </r>
  <r>
    <x v="26"/>
    <x v="3"/>
    <s v="З"/>
    <n v="7"/>
    <n v="12"/>
    <n v="-8.6"/>
    <m/>
    <m/>
    <s v="~"/>
    <n v="90"/>
    <n v="0"/>
    <n v="0"/>
    <n v="43.149999999999991"/>
    <n v="934"/>
    <n v="50"/>
    <s v="-"/>
  </r>
  <r>
    <x v="26"/>
    <x v="4"/>
    <s v="З"/>
    <n v="6"/>
    <n v="12"/>
    <n v="-6.2"/>
    <m/>
    <m/>
    <s v="~"/>
    <n v="91"/>
    <n v="1"/>
    <n v="0"/>
    <n v="43.149999999999991"/>
    <n v="936.5"/>
    <n v="51"/>
    <s v="-"/>
  </r>
  <r>
    <x v="26"/>
    <x v="5"/>
    <s v="З"/>
    <n v="7"/>
    <n v="11"/>
    <n v="-4.5999999999999996"/>
    <m/>
    <m/>
    <s v="~"/>
    <n v="92"/>
    <n v="1"/>
    <n v="0"/>
    <n v="43.149999999999991"/>
    <n v="936.1"/>
    <n v="54"/>
    <s v="-"/>
  </r>
  <r>
    <x v="26"/>
    <x v="6"/>
    <s v="З"/>
    <n v="1"/>
    <n v="2"/>
    <n v="-6.1"/>
    <m/>
    <m/>
    <s v="~"/>
    <n v="92"/>
    <n v="0"/>
    <n v="0"/>
    <n v="43.149999999999991"/>
    <n v="936.5"/>
    <n v="55"/>
    <s v="-"/>
  </r>
  <r>
    <x v="26"/>
    <x v="7"/>
    <s v="З"/>
    <n v="2"/>
    <n v="3"/>
    <n v="-8.3000000000000007"/>
    <m/>
    <m/>
    <s v="~"/>
    <n v="91"/>
    <n v="-1"/>
    <n v="0"/>
    <n v="43.149999999999991"/>
    <n v="935.9"/>
    <n v="58"/>
    <s v="-"/>
  </r>
  <r>
    <x v="27"/>
    <x v="0"/>
    <s v="З"/>
    <n v="2"/>
    <n v="4"/>
    <n v="-7.8"/>
    <m/>
    <m/>
    <s v="~"/>
    <n v="92"/>
    <n v="1"/>
    <n v="0"/>
    <n v="43.149999999999991"/>
    <n v="934.4"/>
    <n v="60"/>
    <s v="-"/>
  </r>
  <r>
    <x v="27"/>
    <x v="1"/>
    <s v="З"/>
    <n v="2"/>
    <n v="3"/>
    <n v="-8.4"/>
    <m/>
    <m/>
    <s v="то"/>
    <n v="91"/>
    <n v="-1"/>
    <n v="0"/>
    <n v="43.149999999999991"/>
    <n v="930.6"/>
    <n v="67"/>
    <s v="-"/>
  </r>
  <r>
    <x v="27"/>
    <x v="2"/>
    <s v="З"/>
    <n v="1"/>
    <n v="1"/>
    <n v="-8.1999999999999993"/>
    <m/>
    <m/>
    <s v="то"/>
    <n v="90"/>
    <n v="-1"/>
    <n v="0"/>
    <n v="43.149999999999991"/>
    <n v="927.6"/>
    <n v="88"/>
    <s v="-"/>
  </r>
  <r>
    <x v="27"/>
    <x v="3"/>
    <s v="ЗЮЗ"/>
    <n v="0"/>
    <n v="1"/>
    <n v="-6.9"/>
    <m/>
    <m/>
    <s v="то"/>
    <n v="93"/>
    <n v="3"/>
    <n v="0"/>
    <n v="43.149999999999991"/>
    <n v="923.2"/>
    <n v="90"/>
    <s v="-"/>
  </r>
  <r>
    <x v="27"/>
    <x v="4"/>
    <s v="Ю"/>
    <n v="1"/>
    <n v="2"/>
    <n v="-4.8"/>
    <m/>
    <m/>
    <s v="то"/>
    <n v="102"/>
    <n v="9"/>
    <n v="0"/>
    <n v="43.149999999999991"/>
    <n v="918.3"/>
    <n v="82"/>
    <s v="-"/>
  </r>
  <r>
    <x v="27"/>
    <x v="5"/>
    <s v="В"/>
    <n v="7"/>
    <n v="10"/>
    <n v="-3.7"/>
    <m/>
    <m/>
    <s v="м"/>
    <n v="105"/>
    <n v="3"/>
    <n v="0"/>
    <n v="43.149999999999991"/>
    <n v="916.2"/>
    <n v="70"/>
    <s v="-"/>
  </r>
  <r>
    <x v="27"/>
    <x v="6"/>
    <s v="В"/>
    <n v="6"/>
    <n v="12"/>
    <n v="-1.9"/>
    <m/>
    <m/>
    <s v="~"/>
    <n v="109"/>
    <n v="4"/>
    <n v="0"/>
    <n v="43.149999999999991"/>
    <n v="917"/>
    <n v="47"/>
    <s v="-"/>
  </r>
  <r>
    <x v="27"/>
    <x v="7"/>
    <s v="В"/>
    <n v="7"/>
    <n v="11"/>
    <n v="-4.8"/>
    <m/>
    <m/>
    <s v="~"/>
    <n v="107"/>
    <n v="-2"/>
    <n v="0"/>
    <n v="43.149999999999991"/>
    <n v="920.4"/>
    <n v="75"/>
    <s v="-"/>
  </r>
  <r>
    <x v="28"/>
    <x v="0"/>
    <s v="СВ"/>
    <n v="8"/>
    <n v="10"/>
    <n v="-5.3"/>
    <m/>
    <m/>
    <s v="~"/>
    <n v="107"/>
    <n v="0"/>
    <n v="0"/>
    <n v="43.149999999999991"/>
    <n v="923.4"/>
    <n v="74"/>
    <s v="-"/>
  </r>
  <r>
    <x v="28"/>
    <x v="1"/>
    <s v="ЗСЗ"/>
    <n v="7"/>
    <n v="12"/>
    <n v="-5.7"/>
    <m/>
    <m/>
    <s v="м"/>
    <n v="106"/>
    <n v="-1"/>
    <n v="0"/>
    <n v="43.149999999999991"/>
    <n v="925"/>
    <n v="79"/>
    <s v="-"/>
  </r>
  <r>
    <x v="28"/>
    <x v="2"/>
    <s v="З"/>
    <n v="9"/>
    <n v="15"/>
    <n v="-7"/>
    <m/>
    <m/>
    <s v="м"/>
    <n v="94"/>
    <n v="-12"/>
    <n v="0"/>
    <n v="43.149999999999991"/>
    <n v="926.7"/>
    <n v="72"/>
    <s v="-"/>
  </r>
  <r>
    <x v="28"/>
    <x v="3"/>
    <s v="Ю"/>
    <n v="12"/>
    <n v="17"/>
    <n v="-8.4"/>
    <m/>
    <m/>
    <s v="~"/>
    <n v="89"/>
    <n v="-5"/>
    <n v="0"/>
    <n v="43.149999999999991"/>
    <n v="928"/>
    <n v="71"/>
    <s v="-"/>
  </r>
  <r>
    <x v="28"/>
    <x v="4"/>
    <s v="Ю"/>
    <n v="10"/>
    <n v="14"/>
    <n v="-6.6"/>
    <m/>
    <m/>
    <s v="~"/>
    <n v="91"/>
    <n v="2"/>
    <n v="0"/>
    <n v="43.149999999999991"/>
    <n v="929.4"/>
    <n v="57"/>
    <s v="-"/>
  </r>
  <r>
    <x v="28"/>
    <x v="5"/>
    <s v="Ю"/>
    <n v="11"/>
    <n v="16"/>
    <n v="-6"/>
    <m/>
    <m/>
    <s v="~"/>
    <n v="91"/>
    <n v="0"/>
    <n v="0"/>
    <n v="43.149999999999991"/>
    <n v="929.3"/>
    <n v="57"/>
    <s v="-"/>
  </r>
  <r>
    <x v="28"/>
    <x v="6"/>
    <s v="Ю"/>
    <n v="9"/>
    <n v="13"/>
    <n v="-5.6"/>
    <m/>
    <m/>
    <s v="~"/>
    <n v="92"/>
    <n v="1"/>
    <n v="0"/>
    <n v="43.149999999999991"/>
    <n v="929.9"/>
    <n v="49"/>
    <s v="-"/>
  </r>
  <r>
    <x v="28"/>
    <x v="7"/>
    <s v="Ю"/>
    <n v="9"/>
    <n v="13"/>
    <n v="-5.7"/>
    <m/>
    <m/>
    <s v="~"/>
    <n v="91"/>
    <n v="-1"/>
    <n v="0"/>
    <n v="43.149999999999991"/>
    <n v="931.2"/>
    <n v="51"/>
    <s v="-"/>
  </r>
  <r>
    <x v="29"/>
    <x v="0"/>
    <s v="Ю"/>
    <n v="9"/>
    <n v="16"/>
    <n v="-6.2"/>
    <m/>
    <m/>
    <s v="~"/>
    <n v="91"/>
    <n v="0"/>
    <n v="0"/>
    <n v="43.149999999999991"/>
    <n v="932"/>
    <n v="49"/>
    <s v="-"/>
  </r>
  <r>
    <x v="29"/>
    <x v="1"/>
    <s v="Ю"/>
    <n v="10"/>
    <n v="15"/>
    <n v="-6.6"/>
    <m/>
    <m/>
    <s v="~"/>
    <n v="90"/>
    <n v="-1"/>
    <n v="0"/>
    <n v="43.149999999999991"/>
    <n v="932.1"/>
    <n v="52"/>
    <s v="-"/>
  </r>
  <r>
    <x v="29"/>
    <x v="2"/>
    <s v="Ю"/>
    <n v="9"/>
    <n v="13"/>
    <n v="-6.6"/>
    <m/>
    <m/>
    <s v="~"/>
    <n v="91"/>
    <n v="1"/>
    <n v="0"/>
    <n v="43.149999999999991"/>
    <n v="932.8"/>
    <n v="47"/>
    <s v="-"/>
  </r>
  <r>
    <x v="29"/>
    <x v="3"/>
    <s v="Ю"/>
    <n v="3"/>
    <n v="7"/>
    <n v="-7.4"/>
    <m/>
    <m/>
    <s v="~"/>
    <n v="90"/>
    <n v="-1"/>
    <n v="0"/>
    <n v="43.149999999999991"/>
    <n v="933.9"/>
    <n v="45"/>
    <s v="-"/>
  </r>
  <r>
    <x v="29"/>
    <x v="4"/>
    <s v="Ю"/>
    <n v="4"/>
    <n v="8"/>
    <n v="-3.8"/>
    <m/>
    <m/>
    <s v="~"/>
    <n v="92"/>
    <n v="2"/>
    <n v="0"/>
    <n v="43.149999999999991"/>
    <n v="934.4"/>
    <n v="49"/>
    <s v="-"/>
  </r>
  <r>
    <x v="29"/>
    <x v="5"/>
    <s v="Ю"/>
    <n v="1"/>
    <n v="2"/>
    <n v="-3.7"/>
    <m/>
    <m/>
    <s v="~"/>
    <n v="93"/>
    <n v="1"/>
    <n v="0"/>
    <n v="43.149999999999991"/>
    <n v="934.6"/>
    <n v="52"/>
    <s v="-"/>
  </r>
  <r>
    <x v="29"/>
    <x v="6"/>
    <s v="Ю"/>
    <n v="1"/>
    <n v="2"/>
    <n v="-4.4000000000000004"/>
    <m/>
    <m/>
    <s v="~"/>
    <n v="92"/>
    <n v="-1"/>
    <n v="0"/>
    <n v="43.149999999999991"/>
    <n v="935.7"/>
    <n v="64"/>
    <s v="-"/>
  </r>
  <r>
    <x v="29"/>
    <x v="7"/>
    <s v="Ю"/>
    <n v="1"/>
    <n v="2"/>
    <n v="-7.5"/>
    <m/>
    <m/>
    <s v="~"/>
    <n v="91"/>
    <n v="-1"/>
    <n v="0"/>
    <n v="43.149999999999991"/>
    <n v="937.6"/>
    <n v="67"/>
    <s v="-"/>
  </r>
  <r>
    <x v="30"/>
    <x v="0"/>
    <s v="Ю"/>
    <n v="1"/>
    <n v="2"/>
    <n v="-7.1"/>
    <m/>
    <m/>
    <s v="~"/>
    <n v="91"/>
    <n v="0"/>
    <n v="0"/>
    <n v="43.149999999999991"/>
    <n v="938.6"/>
    <n v="59"/>
    <s v="-"/>
  </r>
  <r>
    <x v="30"/>
    <x v="1"/>
    <s v="Ю"/>
    <n v="1"/>
    <n v="3"/>
    <n v="-7.2"/>
    <m/>
    <m/>
    <s v="~"/>
    <n v="91"/>
    <n v="0"/>
    <n v="0"/>
    <n v="43.149999999999991"/>
    <n v="939.3"/>
    <n v="58"/>
    <s v="-"/>
  </r>
  <r>
    <x v="30"/>
    <x v="2"/>
    <s v="Ю"/>
    <n v="1"/>
    <n v="2"/>
    <n v="-6.5"/>
    <m/>
    <m/>
    <s v="~"/>
    <n v="91"/>
    <n v="0"/>
    <n v="0"/>
    <n v="43.149999999999991"/>
    <n v="939.7"/>
    <n v="59"/>
    <s v="-"/>
  </r>
  <r>
    <x v="30"/>
    <x v="3"/>
    <s v="Ю"/>
    <n v="2"/>
    <n v="4"/>
    <n v="-6.6"/>
    <m/>
    <m/>
    <s v="~"/>
    <n v="91"/>
    <n v="0"/>
    <n v="0"/>
    <n v="43.149999999999991"/>
    <n v="940.7"/>
    <n v="60"/>
    <s v="-"/>
  </r>
  <r>
    <x v="30"/>
    <x v="4"/>
    <s v="Ю"/>
    <n v="1"/>
    <n v="3"/>
    <n v="-0.9"/>
    <m/>
    <m/>
    <s v="~"/>
    <n v="94"/>
    <n v="3"/>
    <n v="0"/>
    <n v="43.149999999999991"/>
    <n v="941"/>
    <n v="51"/>
    <s v="-"/>
  </r>
  <r>
    <x v="30"/>
    <x v="5"/>
    <s v="Ю"/>
    <n v="4"/>
    <n v="9"/>
    <n v="0.8"/>
    <m/>
    <m/>
    <s v="~"/>
    <n v="95"/>
    <n v="1"/>
    <n v="0"/>
    <n v="43.149999999999991"/>
    <n v="941.1"/>
    <n v="50"/>
    <s v="-"/>
  </r>
  <r>
    <x v="30"/>
    <x v="6"/>
    <s v="Ю"/>
    <n v="3"/>
    <n v="5"/>
    <n v="0.2"/>
    <m/>
    <m/>
    <s v="~"/>
    <n v="95"/>
    <n v="0"/>
    <n v="0"/>
    <n v="43.149999999999991"/>
    <n v="941.2"/>
    <n v="52"/>
    <s v="-"/>
  </r>
  <r>
    <x v="30"/>
    <x v="7"/>
    <s v="Ю"/>
    <n v="3"/>
    <n v="7"/>
    <n v="1.8"/>
    <m/>
    <m/>
    <s v="~"/>
    <n v="95"/>
    <n v="0"/>
    <n v="0"/>
    <n v="43.149999999999991"/>
    <n v="941.9"/>
    <n v="37"/>
    <s v="-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8">
  <r>
    <x v="0"/>
    <x v="0"/>
    <s v="З"/>
    <n v="31"/>
    <n v="9"/>
    <n v="-14.8"/>
    <m/>
    <m/>
    <s v="~"/>
    <n v="91"/>
    <n v="0"/>
    <n v="0"/>
    <n v="0"/>
    <n v="914.7"/>
    <n v="46"/>
    <s v="-"/>
  </r>
  <r>
    <x v="0"/>
    <x v="1"/>
    <s v="З"/>
    <n v="32"/>
    <n v="12"/>
    <n v="-14.1"/>
    <m/>
    <m/>
    <s v="м"/>
    <n v="91"/>
    <n v="0"/>
    <n v="10"/>
    <n v="10"/>
    <n v="914.8"/>
    <n v="54"/>
    <s v="-"/>
  </r>
  <r>
    <x v="0"/>
    <x v="2"/>
    <s v="ЗЮЗ"/>
    <n v="33"/>
    <n v="9"/>
    <n v="-13.5"/>
    <m/>
    <m/>
    <s v="м"/>
    <n v="92"/>
    <n v="1"/>
    <n v="0.1"/>
    <n v="10.1"/>
    <n v="915.6"/>
    <n v="68"/>
    <s v="-"/>
  </r>
  <r>
    <x v="0"/>
    <x v="3"/>
    <s v="ЗЮЗ"/>
    <n v="34"/>
    <n v="10"/>
    <n v="-13.9"/>
    <m/>
    <m/>
    <s v="м"/>
    <n v="91"/>
    <n v="-1"/>
    <n v="0.2"/>
    <n v="10.299999999999999"/>
    <n v="916.6"/>
    <n v="67"/>
    <s v="-"/>
  </r>
  <r>
    <x v="0"/>
    <x v="4"/>
    <s v="ЗЮЗ"/>
    <n v="35"/>
    <n v="9"/>
    <n v="-13.2"/>
    <m/>
    <m/>
    <s v="м"/>
    <n v="90"/>
    <n v="-1"/>
    <n v="0.3"/>
    <n v="10.6"/>
    <n v="917.1"/>
    <n v="58"/>
    <s v="-"/>
  </r>
  <r>
    <x v="0"/>
    <x v="5"/>
    <s v="З"/>
    <n v="36"/>
    <n v="7"/>
    <n v="-12.8"/>
    <m/>
    <m/>
    <s v="~"/>
    <n v="91"/>
    <n v="1"/>
    <n v="0.2"/>
    <n v="10.799999999999999"/>
    <n v="916.4"/>
    <n v="46"/>
    <s v="-"/>
  </r>
  <r>
    <x v="0"/>
    <x v="6"/>
    <s v="З"/>
    <n v="37"/>
    <n v="2"/>
    <n v="-13.3"/>
    <m/>
    <m/>
    <s v="~"/>
    <n v="91"/>
    <n v="0"/>
    <n v="0.5"/>
    <n v="11.299999999999999"/>
    <n v="916.5"/>
    <n v="49"/>
    <s v="-"/>
  </r>
  <r>
    <x v="0"/>
    <x v="7"/>
    <s v="З"/>
    <n v="38"/>
    <n v="7"/>
    <n v="-13.5"/>
    <m/>
    <m/>
    <s v="~"/>
    <n v="91"/>
    <n v="0"/>
    <n v="0.6"/>
    <n v="11.899999999999999"/>
    <n v="916.8"/>
    <n v="60"/>
    <s v="-"/>
  </r>
  <r>
    <x v="1"/>
    <x v="0"/>
    <s v="З"/>
    <n v="39"/>
    <n v="10"/>
    <n v="-13.6"/>
    <m/>
    <m/>
    <s v="м"/>
    <n v="91"/>
    <n v="0"/>
    <n v="0.1"/>
    <n v="11.999999999999998"/>
    <n v="917.3"/>
    <n v="68"/>
    <s v="-"/>
  </r>
  <r>
    <x v="1"/>
    <x v="1"/>
    <s v="З"/>
    <n v="40"/>
    <n v="10"/>
    <n v="-14.6"/>
    <m/>
    <m/>
    <s v="м"/>
    <n v="90"/>
    <n v="-1"/>
    <n v="0.85"/>
    <n v="12.849999999999998"/>
    <n v="918.2"/>
    <n v="66"/>
    <s v="-"/>
  </r>
  <r>
    <x v="1"/>
    <x v="2"/>
    <s v="З"/>
    <n v="3"/>
    <n v="11"/>
    <n v="-15.8"/>
    <m/>
    <m/>
    <s v="м"/>
    <n v="90"/>
    <n v="0"/>
    <n v="0"/>
    <n v="12.849999999999998"/>
    <n v="919.1"/>
    <n v="55"/>
    <s v="-"/>
  </r>
  <r>
    <x v="1"/>
    <x v="3"/>
    <s v="З"/>
    <n v="10"/>
    <n v="13"/>
    <n v="-16.7"/>
    <m/>
    <m/>
    <s v="м"/>
    <n v="89"/>
    <n v="-1"/>
    <n v="0"/>
    <n v="12.849999999999998"/>
    <n v="921.6"/>
    <n v="54"/>
    <s v="-"/>
  </r>
  <r>
    <x v="1"/>
    <x v="4"/>
    <s v="З"/>
    <n v="17"/>
    <n v="13"/>
    <n v="-15.6"/>
    <m/>
    <m/>
    <s v="м"/>
    <n v="90"/>
    <n v="1"/>
    <n v="0.5"/>
    <n v="13.349999999999998"/>
    <n v="924.5"/>
    <n v="53"/>
    <s v="-"/>
  </r>
  <r>
    <x v="1"/>
    <x v="5"/>
    <s v="З"/>
    <n v="7"/>
    <n v="10"/>
    <n v="-14.6"/>
    <m/>
    <m/>
    <s v="м"/>
    <n v="90"/>
    <n v="0"/>
    <n v="0.6"/>
    <n v="13.949999999999998"/>
    <n v="926.1"/>
    <n v="52"/>
    <s v="-"/>
  </r>
  <r>
    <x v="1"/>
    <x v="6"/>
    <s v="З"/>
    <n v="18"/>
    <n v="17"/>
    <n v="-13.9"/>
    <m/>
    <m/>
    <s v="м"/>
    <n v="91"/>
    <n v="1"/>
    <n v="0.5"/>
    <n v="14.449999999999998"/>
    <n v="928.1"/>
    <n v="60"/>
    <s v="-"/>
  </r>
  <r>
    <x v="1"/>
    <x v="7"/>
    <s v="З"/>
    <n v="19"/>
    <n v="10"/>
    <n v="-14.5"/>
    <m/>
    <m/>
    <s v="м"/>
    <n v="91"/>
    <n v="0"/>
    <n v="6"/>
    <n v="20.449999999999996"/>
    <n v="931.1"/>
    <n v="48"/>
    <s v="-"/>
  </r>
  <r>
    <x v="2"/>
    <x v="0"/>
    <s v="З"/>
    <n v="20"/>
    <n v="7"/>
    <n v="-14.6"/>
    <m/>
    <m/>
    <s v="~"/>
    <n v="90"/>
    <n v="-1"/>
    <n v="5.2"/>
    <n v="25.649999999999995"/>
    <n v="932.7"/>
    <n v="45"/>
    <s v="-"/>
  </r>
  <r>
    <x v="2"/>
    <x v="1"/>
    <s v="З"/>
    <n v="21"/>
    <n v="6"/>
    <n v="-13.6"/>
    <m/>
    <m/>
    <s v="~"/>
    <n v="91"/>
    <n v="1"/>
    <n v="0"/>
    <n v="25.649999999999995"/>
    <n v="932.3"/>
    <n v="41"/>
    <s v="-"/>
  </r>
  <r>
    <x v="2"/>
    <x v="2"/>
    <s v="З"/>
    <n v="22"/>
    <n v="8"/>
    <n v="-12.8"/>
    <m/>
    <m/>
    <s v="~"/>
    <n v="91"/>
    <n v="0"/>
    <n v="0.5"/>
    <n v="26.149999999999995"/>
    <n v="930.7"/>
    <n v="38"/>
    <s v="-"/>
  </r>
  <r>
    <x v="2"/>
    <x v="3"/>
    <s v="З"/>
    <n v="23"/>
    <n v="7"/>
    <n v="-12.4"/>
    <m/>
    <m/>
    <s v="~"/>
    <n v="92"/>
    <n v="1"/>
    <n v="0"/>
    <n v="26.149999999999995"/>
    <n v="929.5"/>
    <n v="39"/>
    <s v="-"/>
  </r>
  <r>
    <x v="2"/>
    <x v="4"/>
    <s v="З"/>
    <n v="24"/>
    <n v="2"/>
    <n v="-12.3"/>
    <m/>
    <m/>
    <s v="~"/>
    <n v="92"/>
    <n v="0"/>
    <n v="0"/>
    <n v="26.149999999999995"/>
    <n v="927.9"/>
    <n v="49"/>
    <s v="-"/>
  </r>
  <r>
    <x v="2"/>
    <x v="5"/>
    <s v="З"/>
    <n v="25"/>
    <n v="1"/>
    <n v="-11.6"/>
    <m/>
    <m/>
    <s v="~"/>
    <n v="92"/>
    <n v="0"/>
    <n v="0"/>
    <n v="26.149999999999995"/>
    <n v="925"/>
    <n v="46"/>
    <s v="-"/>
  </r>
  <r>
    <x v="2"/>
    <x v="6"/>
    <s v="З"/>
    <n v="26"/>
    <n v="2"/>
    <n v="-13"/>
    <m/>
    <m/>
    <s v="то"/>
    <n v="90"/>
    <n v="-2"/>
    <n v="0"/>
    <n v="26.149999999999995"/>
    <n v="922.9"/>
    <n v="76"/>
    <s v="-"/>
  </r>
  <r>
    <x v="2"/>
    <x v="7"/>
    <s v="СЗ"/>
    <n v="27"/>
    <n v="3"/>
    <n v="-12.3"/>
    <m/>
    <m/>
    <s v="то"/>
    <n v="91"/>
    <n v="1"/>
    <n v="0"/>
    <n v="26.149999999999995"/>
    <n v="921.6"/>
    <n v="79"/>
    <s v="-"/>
  </r>
  <r>
    <x v="3"/>
    <x v="0"/>
    <s v="СЗ"/>
    <n v="28"/>
    <n v="3"/>
    <n v="-12.1"/>
    <m/>
    <m/>
    <s v="то"/>
    <n v="92"/>
    <n v="1"/>
    <n v="0"/>
    <n v="26.149999999999995"/>
    <n v="920.2"/>
    <n v="73"/>
    <s v="-"/>
  </r>
  <r>
    <x v="3"/>
    <x v="1"/>
    <s v="СЗ"/>
    <n v="29"/>
    <n v="6"/>
    <n v="-12.8"/>
    <m/>
    <m/>
    <s v="~"/>
    <n v="92"/>
    <n v="0"/>
    <n v="0"/>
    <n v="26.149999999999995"/>
    <n v="920.3"/>
    <n v="69"/>
    <s v="-"/>
  </r>
  <r>
    <x v="3"/>
    <x v="2"/>
    <s v="СЗ"/>
    <n v="30"/>
    <n v="13"/>
    <n v="-12.9"/>
    <m/>
    <m/>
    <s v="м"/>
    <n v="90"/>
    <n v="-2"/>
    <n v="0"/>
    <n v="26.149999999999995"/>
    <n v="920.5"/>
    <n v="68"/>
    <s v="-"/>
  </r>
  <r>
    <x v="3"/>
    <x v="3"/>
    <s v="СЗ"/>
    <n v="8"/>
    <n v="12"/>
    <n v="-15.5"/>
    <m/>
    <m/>
    <s v="м"/>
    <n v="90"/>
    <n v="0"/>
    <n v="0"/>
    <n v="26.149999999999995"/>
    <n v="921.5"/>
    <n v="64"/>
    <s v="-"/>
  </r>
  <r>
    <x v="3"/>
    <x v="4"/>
    <s v="СЗ"/>
    <n v="9"/>
    <n v="18"/>
    <n v="-16"/>
    <m/>
    <m/>
    <s v="м"/>
    <n v="89"/>
    <n v="-1"/>
    <n v="1"/>
    <n v="27.149999999999995"/>
    <n v="921.6"/>
    <n v="67"/>
    <s v="-"/>
  </r>
  <r>
    <x v="3"/>
    <x v="5"/>
    <s v="СЗ"/>
    <n v="9"/>
    <n v="15"/>
    <n v="-15"/>
    <m/>
    <m/>
    <s v="м"/>
    <n v="89"/>
    <n v="0"/>
    <n v="0"/>
    <n v="27.149999999999995"/>
    <n v="921.4"/>
    <n v="64"/>
    <s v="-"/>
  </r>
  <r>
    <x v="3"/>
    <x v="6"/>
    <s v="СЗ"/>
    <n v="9"/>
    <n v="14"/>
    <n v="-14.7"/>
    <m/>
    <m/>
    <s v="~"/>
    <n v="89"/>
    <n v="0"/>
    <n v="0"/>
    <n v="27.149999999999995"/>
    <n v="922.3"/>
    <n v="55"/>
    <s v="-"/>
  </r>
  <r>
    <x v="3"/>
    <x v="7"/>
    <s v="ЗСЗ"/>
    <n v="2"/>
    <n v="4"/>
    <n v="-15.7"/>
    <m/>
    <m/>
    <s v="~"/>
    <n v="90"/>
    <n v="1"/>
    <n v="0"/>
    <n v="27.149999999999995"/>
    <n v="923.5"/>
    <n v="50"/>
    <s v="-"/>
  </r>
  <r>
    <x v="4"/>
    <x v="0"/>
    <s v="ЗСЗ"/>
    <n v="1"/>
    <n v="2"/>
    <n v="-19.3"/>
    <m/>
    <m/>
    <s v="~"/>
    <n v="88"/>
    <n v="-2"/>
    <n v="0"/>
    <n v="27.149999999999995"/>
    <n v="923.8"/>
    <n v="56"/>
    <s v="-"/>
  </r>
  <r>
    <x v="4"/>
    <x v="1"/>
    <s v="ЗСЗ"/>
    <n v="3"/>
    <n v="5"/>
    <n v="-17.899999999999999"/>
    <m/>
    <m/>
    <s v="~"/>
    <n v="88"/>
    <n v="0"/>
    <n v="0"/>
    <n v="27.149999999999995"/>
    <n v="923.2"/>
    <n v="54"/>
    <s v="-"/>
  </r>
  <r>
    <x v="4"/>
    <x v="2"/>
    <s v="З"/>
    <n v="6"/>
    <n v="9"/>
    <n v="-18.600000000000001"/>
    <m/>
    <m/>
    <s v="~"/>
    <n v="88"/>
    <n v="0"/>
    <n v="0"/>
    <n v="27.149999999999995"/>
    <n v="922.9"/>
    <n v="55"/>
    <s v="-"/>
  </r>
  <r>
    <x v="4"/>
    <x v="3"/>
    <s v="З"/>
    <n v="6"/>
    <n v="10"/>
    <n v="-18.899999999999999"/>
    <m/>
    <m/>
    <s v="~"/>
    <n v="87"/>
    <n v="-1"/>
    <n v="0"/>
    <n v="27.149999999999995"/>
    <n v="922.9"/>
    <n v="54"/>
    <s v="-"/>
  </r>
  <r>
    <x v="4"/>
    <x v="4"/>
    <s v="З"/>
    <n v="6"/>
    <n v="9"/>
    <n v="-17.8"/>
    <m/>
    <m/>
    <s v="~"/>
    <n v="88"/>
    <n v="1"/>
    <n v="0"/>
    <n v="27.149999999999995"/>
    <n v="922.5"/>
    <n v="53"/>
    <s v="-"/>
  </r>
  <r>
    <x v="4"/>
    <x v="5"/>
    <s v="З"/>
    <n v="8"/>
    <n v="12"/>
    <n v="-17.100000000000001"/>
    <m/>
    <m/>
    <s v="~"/>
    <n v="88"/>
    <n v="0"/>
    <n v="5"/>
    <n v="32.149999999999991"/>
    <n v="921.4"/>
    <n v="64"/>
    <s v="-"/>
  </r>
  <r>
    <x v="4"/>
    <x v="6"/>
    <s v="З"/>
    <n v="9"/>
    <n v="13"/>
    <n v="-16.7"/>
    <m/>
    <m/>
    <s v="~"/>
    <n v="88"/>
    <n v="0"/>
    <n v="0"/>
    <n v="32.149999999999991"/>
    <n v="921.2"/>
    <n v="48"/>
    <s v="-"/>
  </r>
  <r>
    <x v="4"/>
    <x v="7"/>
    <s v="З"/>
    <n v="6"/>
    <n v="12"/>
    <n v="-16.3"/>
    <m/>
    <m/>
    <s v="м"/>
    <n v="89"/>
    <n v="1"/>
    <n v="0"/>
    <n v="32.149999999999991"/>
    <n v="922.3"/>
    <n v="44"/>
    <s v="-"/>
  </r>
  <r>
    <x v="5"/>
    <x v="0"/>
    <s v="З"/>
    <n v="2"/>
    <n v="6"/>
    <n v="-17.5"/>
    <m/>
    <m/>
    <s v="~"/>
    <n v="88"/>
    <n v="-1"/>
    <n v="0"/>
    <n v="32.149999999999991"/>
    <n v="922.3"/>
    <n v="43"/>
    <s v="-"/>
  </r>
  <r>
    <x v="5"/>
    <x v="1"/>
    <s v="З"/>
    <n v="3"/>
    <n v="10"/>
    <n v="-16.2"/>
    <m/>
    <m/>
    <s v="~"/>
    <n v="89"/>
    <n v="1"/>
    <n v="0"/>
    <n v="32.149999999999991"/>
    <n v="922"/>
    <n v="42"/>
    <s v="-"/>
  </r>
  <r>
    <x v="5"/>
    <x v="2"/>
    <s v="З"/>
    <n v="3"/>
    <n v="7"/>
    <n v="-14.5"/>
    <m/>
    <m/>
    <s v="~"/>
    <n v="90"/>
    <n v="1"/>
    <n v="11"/>
    <n v="43.149999999999991"/>
    <n v="922.4"/>
    <n v="39"/>
    <s v="-"/>
  </r>
  <r>
    <x v="5"/>
    <x v="3"/>
    <s v="ЗЮЗ"/>
    <n v="1"/>
    <n v="1"/>
    <n v="-13.8"/>
    <m/>
    <m/>
    <s v="~"/>
    <n v="91"/>
    <n v="1"/>
    <n v="0"/>
    <n v="43.149999999999991"/>
    <n v="922.1"/>
    <n v="40"/>
    <s v="-"/>
  </r>
  <r>
    <x v="5"/>
    <x v="4"/>
    <s v="ЗЮЗ"/>
    <n v="1"/>
    <n v="2"/>
    <n v="-14.4"/>
    <m/>
    <m/>
    <s v="~"/>
    <n v="90"/>
    <n v="-1"/>
    <n v="0"/>
    <n v="43.149999999999991"/>
    <n v="920.8"/>
    <n v="44"/>
    <s v="-"/>
  </r>
  <r>
    <x v="5"/>
    <x v="5"/>
    <s v="ЗЮЗ"/>
    <n v="1"/>
    <n v="2"/>
    <n v="-12.7"/>
    <m/>
    <m/>
    <s v="то"/>
    <n v="91"/>
    <n v="1"/>
    <n v="0"/>
    <n v="43.149999999999991"/>
    <n v="919.7"/>
    <n v="46"/>
    <s v="-"/>
  </r>
  <r>
    <x v="5"/>
    <x v="6"/>
    <s v="З"/>
    <n v="1"/>
    <n v="2"/>
    <n v="-13.1"/>
    <m/>
    <m/>
    <s v="~"/>
    <n v="91"/>
    <n v="0"/>
    <n v="0"/>
    <n v="43.149999999999991"/>
    <n v="919.8"/>
    <n v="57"/>
    <s v="-"/>
  </r>
  <r>
    <x v="5"/>
    <x v="7"/>
    <s v="З"/>
    <n v="2"/>
    <n v="3"/>
    <n v="-13.3"/>
    <m/>
    <m/>
    <s v="~"/>
    <n v="91"/>
    <n v="0"/>
    <n v="0"/>
    <n v="43.149999999999991"/>
    <n v="920.5"/>
    <n v="56"/>
    <s v="-"/>
  </r>
  <r>
    <x v="6"/>
    <x v="0"/>
    <s v="З"/>
    <n v="5"/>
    <n v="8"/>
    <n v="-4"/>
    <m/>
    <m/>
    <s v="м"/>
    <n v="91"/>
    <n v="0"/>
    <n v="0"/>
    <n v="43.149999999999991"/>
    <n v="920.9"/>
    <n v="59"/>
    <s v="-"/>
  </r>
  <r>
    <x v="6"/>
    <x v="1"/>
    <s v="З"/>
    <n v="2"/>
    <n v="2"/>
    <n v="-11.7"/>
    <m/>
    <m/>
    <s v="~"/>
    <n v="92"/>
    <n v="1"/>
    <n v="0"/>
    <n v="43.149999999999991"/>
    <n v="921.8"/>
    <n v="63"/>
    <s v="-"/>
  </r>
  <r>
    <x v="6"/>
    <x v="2"/>
    <s v="З"/>
    <n v="3"/>
    <n v="4"/>
    <n v="-9.9"/>
    <m/>
    <m/>
    <s v="~"/>
    <n v="93"/>
    <n v="1"/>
    <n v="0"/>
    <n v="43.149999999999991"/>
    <n v="922.2"/>
    <n v="67"/>
    <s v="-"/>
  </r>
  <r>
    <x v="6"/>
    <x v="3"/>
    <s v="ЗЮЗ"/>
    <n v="3"/>
    <n v="4"/>
    <n v="-7.6"/>
    <m/>
    <m/>
    <s v="~"/>
    <n v="94"/>
    <n v="1"/>
    <n v="0"/>
    <n v="43.149999999999991"/>
    <n v="922"/>
    <n v="71"/>
    <s v="-"/>
  </r>
  <r>
    <x v="6"/>
    <x v="4"/>
    <s v="ЮЗ"/>
    <n v="1"/>
    <n v="2"/>
    <n v="-9.1"/>
    <m/>
    <m/>
    <s v="~"/>
    <n v="91"/>
    <n v="-3"/>
    <n v="0"/>
    <n v="43.149999999999991"/>
    <n v="922.2"/>
    <n v="69"/>
    <s v="-"/>
  </r>
  <r>
    <x v="6"/>
    <x v="5"/>
    <s v="ЗЮЗ"/>
    <n v="8"/>
    <n v="12"/>
    <n v="-3.1"/>
    <m/>
    <m/>
    <s v="м"/>
    <n v="95"/>
    <n v="4"/>
    <n v="0"/>
    <n v="43.149999999999991"/>
    <n v="922.7"/>
    <n v="69"/>
    <s v="-"/>
  </r>
  <r>
    <x v="6"/>
    <x v="6"/>
    <s v="ЗЮЗ"/>
    <n v="6"/>
    <n v="10"/>
    <n v="-4.2"/>
    <m/>
    <m/>
    <s v="~"/>
    <n v="95"/>
    <n v="0"/>
    <n v="0"/>
    <n v="43.149999999999991"/>
    <n v="925.5"/>
    <n v="69"/>
    <s v="-"/>
  </r>
  <r>
    <x v="6"/>
    <x v="7"/>
    <s v="З"/>
    <n v="6"/>
    <n v="8"/>
    <n v="-5.8"/>
    <m/>
    <m/>
    <s v="~"/>
    <n v="94"/>
    <n v="-1"/>
    <n v="0"/>
    <n v="43.149999999999991"/>
    <n v="928.2"/>
    <n v="66"/>
    <s v="-"/>
  </r>
  <r>
    <x v="7"/>
    <x v="0"/>
    <s v="З"/>
    <n v="10"/>
    <n v="15"/>
    <n v="-6.7"/>
    <m/>
    <m/>
    <s v="~"/>
    <n v="93"/>
    <n v="-1"/>
    <n v="0"/>
    <n v="43.149999999999991"/>
    <n v="929"/>
    <n v="57"/>
    <s v="-"/>
  </r>
  <r>
    <x v="7"/>
    <x v="1"/>
    <s v="ЗЮЗ"/>
    <n v="9"/>
    <n v="12"/>
    <n v="-7.1"/>
    <m/>
    <m/>
    <s v="~"/>
    <n v="93"/>
    <n v="0"/>
    <n v="0"/>
    <n v="43.149999999999991"/>
    <n v="930.3"/>
    <n v="52"/>
    <s v="-"/>
  </r>
  <r>
    <x v="7"/>
    <x v="2"/>
    <s v="ЗЮЗ"/>
    <n v="1"/>
    <n v="3"/>
    <n v="-11.5"/>
    <m/>
    <m/>
    <s v="~"/>
    <n v="90"/>
    <n v="-3"/>
    <n v="0"/>
    <n v="43.149999999999991"/>
    <n v="931.9"/>
    <n v="71"/>
    <s v="-"/>
  </r>
  <r>
    <x v="7"/>
    <x v="3"/>
    <s v="ЮЗ"/>
    <n v="1"/>
    <n v="2"/>
    <n v="-10.3"/>
    <m/>
    <m/>
    <s v="~"/>
    <n v="91"/>
    <n v="1"/>
    <n v="0"/>
    <n v="43.149999999999991"/>
    <n v="932.8"/>
    <n v="66"/>
    <s v="-"/>
  </r>
  <r>
    <x v="7"/>
    <x v="4"/>
    <s v="ЮЮЗ"/>
    <n v="1"/>
    <n v="2"/>
    <n v="-6.9"/>
    <m/>
    <m/>
    <s v="~"/>
    <n v="93"/>
    <n v="2"/>
    <n v="0"/>
    <n v="43.149999999999991"/>
    <n v="932.9"/>
    <n v="70"/>
    <s v="-"/>
  </r>
  <r>
    <x v="7"/>
    <x v="5"/>
    <s v="ЮВ"/>
    <n v="1"/>
    <n v="2"/>
    <n v="-7"/>
    <m/>
    <m/>
    <s v="~"/>
    <n v="93"/>
    <n v="0"/>
    <n v="0"/>
    <n v="43.149999999999991"/>
    <n v="932.3"/>
    <n v="73"/>
    <s v="-"/>
  </r>
  <r>
    <x v="7"/>
    <x v="6"/>
    <s v="ЮВ"/>
    <n v="0"/>
    <n v="1"/>
    <n v="-8.1"/>
    <m/>
    <m/>
    <s v="то"/>
    <n v="90"/>
    <n v="-3"/>
    <n v="0"/>
    <n v="43.149999999999991"/>
    <n v="931.7"/>
    <n v="91"/>
    <s v="-"/>
  </r>
  <r>
    <x v="7"/>
    <x v="7"/>
    <s v="ЮВ"/>
    <n v="1"/>
    <n v="1"/>
    <n v="-7.8"/>
    <m/>
    <m/>
    <s v="то"/>
    <n v="95"/>
    <n v="5"/>
    <n v="0"/>
    <n v="43.149999999999991"/>
    <n v="931.4"/>
    <n v="91"/>
    <s v="-"/>
  </r>
  <r>
    <x v="8"/>
    <x v="0"/>
    <s v="ЮЗ"/>
    <n v="0"/>
    <n v="1"/>
    <n v="-7.1"/>
    <m/>
    <m/>
    <s v="то"/>
    <n v="99"/>
    <n v="4"/>
    <n v="0"/>
    <n v="43.149999999999991"/>
    <n v="930.8"/>
    <n v="89"/>
    <s v="-"/>
  </r>
  <r>
    <x v="8"/>
    <x v="1"/>
    <s v="З"/>
    <n v="2"/>
    <n v="3"/>
    <n v="-10.4"/>
    <m/>
    <m/>
    <s v="~"/>
    <n v="98"/>
    <n v="-1"/>
    <n v="0"/>
    <n v="43.149999999999991"/>
    <n v="930.9"/>
    <n v="86"/>
    <s v="-"/>
  </r>
  <r>
    <x v="8"/>
    <x v="2"/>
    <s v="ЗСЗ"/>
    <n v="1"/>
    <n v="3"/>
    <n v="-9.6999999999999993"/>
    <m/>
    <m/>
    <s v="~"/>
    <n v="98"/>
    <n v="0"/>
    <n v="0"/>
    <n v="43.149999999999991"/>
    <n v="932"/>
    <n v="83"/>
    <s v="-"/>
  </r>
  <r>
    <x v="8"/>
    <x v="3"/>
    <s v="З"/>
    <n v="6"/>
    <n v="9"/>
    <n v="-6.1"/>
    <m/>
    <m/>
    <s v="м"/>
    <n v="101"/>
    <n v="3"/>
    <n v="0"/>
    <n v="43.149999999999991"/>
    <n v="934"/>
    <n v="71"/>
    <s v="-"/>
  </r>
  <r>
    <x v="8"/>
    <x v="4"/>
    <s v="З"/>
    <n v="0"/>
    <n v="1"/>
    <n v="-7.3"/>
    <m/>
    <m/>
    <s v="~"/>
    <n v="100"/>
    <n v="-1"/>
    <n v="0"/>
    <n v="43.149999999999991"/>
    <n v="935.6"/>
    <n v="88"/>
    <s v="-"/>
  </r>
  <r>
    <x v="8"/>
    <x v="5"/>
    <s v="ЗЮЗ"/>
    <n v="0"/>
    <n v="1"/>
    <n v="-5.5"/>
    <m/>
    <m/>
    <s v="~"/>
    <n v="101"/>
    <n v="1"/>
    <n v="0"/>
    <n v="43.149999999999991"/>
    <n v="935.6"/>
    <n v="78"/>
    <s v="-"/>
  </r>
  <r>
    <x v="8"/>
    <x v="6"/>
    <s v="ЗЮЗ"/>
    <n v="2"/>
    <n v="2"/>
    <n v="-7"/>
    <m/>
    <m/>
    <s v="~"/>
    <n v="100"/>
    <n v="-1"/>
    <n v="0"/>
    <n v="43.149999999999991"/>
    <n v="936.7"/>
    <n v="93"/>
    <s v="-"/>
  </r>
  <r>
    <x v="8"/>
    <x v="7"/>
    <s v="ЗЮЗ"/>
    <n v="1"/>
    <n v="3"/>
    <n v="-7.7"/>
    <m/>
    <m/>
    <s v="~"/>
    <n v="97"/>
    <n v="-3"/>
    <n v="0"/>
    <n v="43.149999999999991"/>
    <n v="938.5"/>
    <n v="93"/>
    <s v="-"/>
  </r>
  <r>
    <x v="9"/>
    <x v="0"/>
    <s v="З"/>
    <n v="2"/>
    <n v="4"/>
    <n v="-8.1999999999999993"/>
    <m/>
    <m/>
    <s v="м"/>
    <n v="102"/>
    <n v="5"/>
    <n v="0"/>
    <n v="43.149999999999991"/>
    <n v="940.6"/>
    <n v="71"/>
    <s v="-"/>
  </r>
  <r>
    <x v="9"/>
    <x v="1"/>
    <s v="З"/>
    <n v="3"/>
    <n v="4"/>
    <n v="-11.6"/>
    <m/>
    <m/>
    <s v="м"/>
    <n v="99"/>
    <n v="-3"/>
    <n v="0"/>
    <n v="43.149999999999991"/>
    <n v="942.8"/>
    <n v="79"/>
    <s v="-"/>
  </r>
  <r>
    <x v="9"/>
    <x v="2"/>
    <s v="З"/>
    <n v="4"/>
    <n v="4"/>
    <n v="-12"/>
    <m/>
    <m/>
    <s v="~"/>
    <n v="99"/>
    <n v="0"/>
    <n v="0"/>
    <n v="43.149999999999991"/>
    <n v="944.4"/>
    <n v="71"/>
    <s v="-"/>
  </r>
  <r>
    <x v="9"/>
    <x v="3"/>
    <s v="З"/>
    <n v="3"/>
    <n v="4"/>
    <n v="-9.6999999999999993"/>
    <m/>
    <m/>
    <s v="~"/>
    <n v="101"/>
    <n v="2"/>
    <n v="0"/>
    <n v="43.149999999999991"/>
    <n v="945.9"/>
    <n v="65"/>
    <s v="-"/>
  </r>
  <r>
    <x v="9"/>
    <x v="4"/>
    <s v="ЮЗ"/>
    <n v="2"/>
    <n v="3"/>
    <n v="-7.8"/>
    <m/>
    <m/>
    <s v="~"/>
    <n v="102"/>
    <n v="1"/>
    <n v="0"/>
    <n v="43.149999999999991"/>
    <n v="946.8"/>
    <n v="67"/>
    <s v="-"/>
  </r>
  <r>
    <x v="9"/>
    <x v="5"/>
    <s v="ЮЗ"/>
    <n v="1"/>
    <n v="1"/>
    <n v="-6.6"/>
    <m/>
    <m/>
    <s v="~"/>
    <n v="102"/>
    <n v="0"/>
    <n v="0"/>
    <n v="43.149999999999991"/>
    <n v="947"/>
    <n v="65"/>
    <s v="-"/>
  </r>
  <r>
    <x v="9"/>
    <x v="6"/>
    <s v="ЮЮВ"/>
    <n v="1"/>
    <n v="1"/>
    <n v="-7.8"/>
    <m/>
    <m/>
    <s v="то"/>
    <n v="102"/>
    <n v="0"/>
    <n v="0"/>
    <n v="43.149999999999991"/>
    <n v="947.7"/>
    <n v="85"/>
    <s v="-"/>
  </r>
  <r>
    <x v="9"/>
    <x v="7"/>
    <s v="-"/>
    <n v="0"/>
    <n v="0"/>
    <n v="-8.3000000000000007"/>
    <m/>
    <m/>
    <s v="то"/>
    <n v="96"/>
    <n v="-6"/>
    <n v="0"/>
    <n v="43.149999999999991"/>
    <n v="948.4"/>
    <n v="88"/>
    <s v="-"/>
  </r>
  <r>
    <x v="10"/>
    <x v="0"/>
    <s v="ЮВ"/>
    <n v="2"/>
    <n v="3"/>
    <n v="-8.1999999999999993"/>
    <m/>
    <m/>
    <s v="то"/>
    <n v="101"/>
    <n v="5"/>
    <n v="0"/>
    <n v="43.149999999999991"/>
    <n v="948.4"/>
    <n v="86"/>
    <s v="-"/>
  </r>
  <r>
    <x v="10"/>
    <x v="1"/>
    <s v="ЮВ"/>
    <n v="1"/>
    <n v="2"/>
    <n v="-8.3000000000000007"/>
    <m/>
    <m/>
    <s v="~"/>
    <n v="101"/>
    <n v="0"/>
    <n v="0"/>
    <n v="43.149999999999991"/>
    <n v="947.9"/>
    <n v="85"/>
    <s v="-"/>
  </r>
  <r>
    <x v="10"/>
    <x v="2"/>
    <s v="ЮЗ"/>
    <n v="1"/>
    <n v="2"/>
    <n v="-9.6"/>
    <m/>
    <m/>
    <s v="~"/>
    <n v="100"/>
    <n v="-1"/>
    <n v="0"/>
    <n v="43.149999999999991"/>
    <n v="948.3"/>
    <n v="86"/>
    <s v="-"/>
  </r>
  <r>
    <x v="10"/>
    <x v="3"/>
    <s v="З"/>
    <n v="3"/>
    <n v="4"/>
    <n v="-12.2"/>
    <m/>
    <m/>
    <s v="~"/>
    <n v="99"/>
    <n v="-1"/>
    <n v="0"/>
    <n v="43.149999999999991"/>
    <n v="948.7"/>
    <n v="84"/>
    <s v="-"/>
  </r>
  <r>
    <x v="10"/>
    <x v="4"/>
    <s v="З"/>
    <n v="3"/>
    <n v="3"/>
    <n v="-8.6999999999999993"/>
    <m/>
    <m/>
    <s v="~"/>
    <n v="99"/>
    <n v="0"/>
    <n v="0"/>
    <n v="43.149999999999991"/>
    <n v="948.7"/>
    <n v="75"/>
    <s v="-"/>
  </r>
  <r>
    <x v="10"/>
    <x v="5"/>
    <s v="З"/>
    <n v="0"/>
    <n v="1"/>
    <n v="-7.3"/>
    <m/>
    <m/>
    <s v="~"/>
    <n v="100"/>
    <n v="1"/>
    <n v="0"/>
    <n v="43.149999999999991"/>
    <n v="948.1"/>
    <n v="70"/>
    <s v="-"/>
  </r>
  <r>
    <x v="10"/>
    <x v="6"/>
    <s v="З"/>
    <n v="2"/>
    <n v="3"/>
    <n v="-10.4"/>
    <m/>
    <m/>
    <s v="~"/>
    <n v="100"/>
    <n v="0"/>
    <n v="0"/>
    <n v="43.149999999999991"/>
    <n v="949.1"/>
    <n v="74"/>
    <s v="-"/>
  </r>
  <r>
    <x v="10"/>
    <x v="7"/>
    <s v="З"/>
    <n v="3"/>
    <n v="3"/>
    <n v="-11"/>
    <m/>
    <m/>
    <s v="~"/>
    <n v="100"/>
    <n v="0"/>
    <n v="0"/>
    <n v="43.149999999999991"/>
    <n v="950.5"/>
    <n v="73"/>
    <s v="-"/>
  </r>
  <r>
    <x v="11"/>
    <x v="0"/>
    <s v="З"/>
    <n v="3"/>
    <n v="4"/>
    <n v="-10.9"/>
    <m/>
    <m/>
    <s v="~"/>
    <n v="100"/>
    <n v="0"/>
    <n v="0"/>
    <n v="43.149999999999991"/>
    <n v="950.6"/>
    <n v="63"/>
    <s v="-"/>
  </r>
  <r>
    <x v="11"/>
    <x v="1"/>
    <s v="ЗСЗ"/>
    <n v="4"/>
    <n v="4"/>
    <n v="-12.1"/>
    <m/>
    <m/>
    <s v="~"/>
    <n v="99"/>
    <n v="-1"/>
    <n v="0"/>
    <n v="43.149999999999991"/>
    <n v="950.3"/>
    <n v="55"/>
    <s v="-"/>
  </r>
  <r>
    <x v="11"/>
    <x v="2"/>
    <s v="ЗСЗ"/>
    <n v="3"/>
    <n v="4"/>
    <n v="-13"/>
    <m/>
    <m/>
    <s v="~"/>
    <n v="97"/>
    <n v="-2"/>
    <n v="0"/>
    <n v="43.149999999999991"/>
    <n v="950.8"/>
    <n v="55"/>
    <s v="-"/>
  </r>
  <r>
    <x v="11"/>
    <x v="3"/>
    <s v="З"/>
    <n v="3"/>
    <n v="4"/>
    <n v="-12.6"/>
    <m/>
    <m/>
    <s v="~"/>
    <n v="97"/>
    <n v="0"/>
    <n v="0"/>
    <n v="43.149999999999991"/>
    <n v="951.7"/>
    <n v="50"/>
    <s v="-"/>
  </r>
  <r>
    <x v="11"/>
    <x v="4"/>
    <s v="З"/>
    <n v="2"/>
    <n v="3"/>
    <n v="-10.3"/>
    <m/>
    <m/>
    <s v="~"/>
    <n v="99"/>
    <n v="2"/>
    <n v="0"/>
    <n v="43.149999999999991"/>
    <n v="951.5"/>
    <n v="50"/>
    <s v="-"/>
  </r>
  <r>
    <x v="11"/>
    <x v="5"/>
    <s v="З"/>
    <n v="2"/>
    <n v="3"/>
    <n v="-8.1999999999999993"/>
    <m/>
    <m/>
    <s v="~"/>
    <n v="98"/>
    <n v="-1"/>
    <n v="0"/>
    <n v="43.149999999999991"/>
    <n v="950.7"/>
    <n v="52"/>
    <s v="-"/>
  </r>
  <r>
    <x v="11"/>
    <x v="6"/>
    <s v="З"/>
    <n v="4"/>
    <n v="5"/>
    <n v="-11.3"/>
    <m/>
    <m/>
    <s v="~"/>
    <n v="95"/>
    <n v="-3"/>
    <n v="0"/>
    <n v="43.149999999999991"/>
    <n v="951.5"/>
    <n v="57"/>
    <s v="-"/>
  </r>
  <r>
    <x v="11"/>
    <x v="7"/>
    <s v="З"/>
    <n v="1"/>
    <n v="2"/>
    <n v="-12.7"/>
    <m/>
    <m/>
    <s v="~"/>
    <n v="95"/>
    <n v="0"/>
    <n v="0"/>
    <n v="43.149999999999991"/>
    <n v="952.3"/>
    <n v="65"/>
    <s v="-"/>
  </r>
  <r>
    <x v="12"/>
    <x v="0"/>
    <s v="ЗЮЗ"/>
    <n v="2"/>
    <n v="3"/>
    <n v="-13.4"/>
    <m/>
    <m/>
    <s v="~"/>
    <n v="94"/>
    <n v="-1"/>
    <n v="0"/>
    <n v="43.149999999999991"/>
    <n v="952"/>
    <n v="67"/>
    <s v="-"/>
  </r>
  <r>
    <x v="12"/>
    <x v="1"/>
    <s v="ЗЮЗ"/>
    <n v="2"/>
    <n v="4"/>
    <n v="-11.7"/>
    <m/>
    <m/>
    <s v="~"/>
    <n v="96"/>
    <n v="2"/>
    <n v="0"/>
    <n v="43.149999999999991"/>
    <n v="951.3"/>
    <n v="70"/>
    <s v="-"/>
  </r>
  <r>
    <x v="12"/>
    <x v="2"/>
    <s v="З"/>
    <n v="1"/>
    <n v="2"/>
    <n v="-11.4"/>
    <m/>
    <m/>
    <s v="~"/>
    <n v="97"/>
    <n v="1"/>
    <n v="0"/>
    <n v="43.149999999999991"/>
    <n v="951.6"/>
    <n v="70"/>
    <s v="-"/>
  </r>
  <r>
    <x v="12"/>
    <x v="3"/>
    <s v="З"/>
    <n v="1"/>
    <n v="1"/>
    <n v="-9.6999999999999993"/>
    <m/>
    <m/>
    <s v="~"/>
    <n v="100"/>
    <n v="3"/>
    <n v="0"/>
    <n v="43.149999999999991"/>
    <n v="952.7"/>
    <n v="64"/>
    <s v="-"/>
  </r>
  <r>
    <x v="12"/>
    <x v="4"/>
    <s v="С"/>
    <n v="1"/>
    <n v="2"/>
    <n v="-5.8"/>
    <m/>
    <m/>
    <s v="~"/>
    <n v="102"/>
    <n v="2"/>
    <n v="0"/>
    <n v="43.149999999999991"/>
    <n v="953"/>
    <n v="60"/>
    <s v="-"/>
  </r>
  <r>
    <x v="12"/>
    <x v="5"/>
    <s v="З"/>
    <n v="1"/>
    <n v="2"/>
    <n v="-4.8"/>
    <m/>
    <m/>
    <s v="~"/>
    <n v="102"/>
    <n v="0"/>
    <n v="0"/>
    <n v="43.149999999999991"/>
    <n v="952.4"/>
    <n v="70"/>
    <s v="-"/>
  </r>
  <r>
    <x v="12"/>
    <x v="6"/>
    <s v="З"/>
    <n v="1"/>
    <n v="2"/>
    <n v="-4.3"/>
    <m/>
    <m/>
    <s v="~"/>
    <n v="103"/>
    <n v="1"/>
    <n v="0"/>
    <n v="43.149999999999991"/>
    <n v="952.3"/>
    <n v="76"/>
    <s v="-"/>
  </r>
  <r>
    <x v="12"/>
    <x v="7"/>
    <s v="З"/>
    <n v="2"/>
    <n v="3"/>
    <n v="-4.8"/>
    <m/>
    <m/>
    <s v="~"/>
    <n v="102"/>
    <n v="-1"/>
    <n v="0"/>
    <n v="43.149999999999991"/>
    <n v="953.7"/>
    <n v="74"/>
    <s v="-"/>
  </r>
  <r>
    <x v="13"/>
    <x v="0"/>
    <s v="З"/>
    <n v="3"/>
    <n v="5"/>
    <n v="-5.7"/>
    <m/>
    <m/>
    <s v="~"/>
    <n v="101"/>
    <n v="-1"/>
    <n v="0"/>
    <n v="43.149999999999991"/>
    <n v="953.9"/>
    <n v="77"/>
    <s v="-"/>
  </r>
  <r>
    <x v="13"/>
    <x v="1"/>
    <s v="З"/>
    <n v="3"/>
    <n v="4"/>
    <n v="-3.9"/>
    <m/>
    <m/>
    <s v="~"/>
    <n v="103"/>
    <n v="2"/>
    <n v="0"/>
    <n v="43.149999999999991"/>
    <n v="954.4"/>
    <n v="72"/>
    <s v="-"/>
  </r>
  <r>
    <x v="13"/>
    <x v="2"/>
    <s v="З"/>
    <n v="3"/>
    <n v="3"/>
    <n v="-3.2"/>
    <m/>
    <m/>
    <s v="~"/>
    <n v="102"/>
    <n v="-1"/>
    <n v="0"/>
    <n v="43.149999999999991"/>
    <n v="954.6"/>
    <n v="69"/>
    <s v="-"/>
  </r>
  <r>
    <x v="13"/>
    <x v="3"/>
    <s v="З"/>
    <n v="3"/>
    <n v="4"/>
    <n v="-3.2"/>
    <m/>
    <m/>
    <s v="~"/>
    <n v="102"/>
    <n v="0"/>
    <n v="0"/>
    <n v="43.149999999999991"/>
    <n v="955.3"/>
    <n v="69"/>
    <s v="-"/>
  </r>
  <r>
    <x v="13"/>
    <x v="4"/>
    <s v="З"/>
    <n v="1"/>
    <n v="2"/>
    <n v="-1.8"/>
    <m/>
    <m/>
    <s v="~"/>
    <n v="102"/>
    <n v="0"/>
    <n v="0"/>
    <n v="43.149999999999991"/>
    <n v="955.8"/>
    <n v="68"/>
    <s v="-"/>
  </r>
  <r>
    <x v="13"/>
    <x v="5"/>
    <s v="З"/>
    <n v="0"/>
    <n v="1"/>
    <n v="1.5"/>
    <m/>
    <m/>
    <s v="~"/>
    <n v="104"/>
    <n v="2"/>
    <n v="0"/>
    <n v="43.149999999999991"/>
    <n v="955.4"/>
    <n v="57"/>
    <s v="-"/>
  </r>
  <r>
    <x v="13"/>
    <x v="6"/>
    <s v="З"/>
    <n v="2"/>
    <n v="3"/>
    <n v="-4.5"/>
    <m/>
    <m/>
    <s v="~"/>
    <n v="100"/>
    <n v="-4"/>
    <n v="0"/>
    <n v="43.149999999999991"/>
    <n v="956.1"/>
    <n v="78"/>
    <s v="-"/>
  </r>
  <r>
    <x v="13"/>
    <x v="7"/>
    <s v="З"/>
    <n v="3"/>
    <n v="4"/>
    <n v="-5.5"/>
    <m/>
    <m/>
    <s v="~"/>
    <n v="100"/>
    <n v="0"/>
    <n v="0"/>
    <n v="43.149999999999991"/>
    <n v="957.1"/>
    <n v="79"/>
    <s v="-"/>
  </r>
  <r>
    <x v="14"/>
    <x v="0"/>
    <s v="З"/>
    <n v="2"/>
    <n v="3"/>
    <n v="-6.4"/>
    <m/>
    <m/>
    <s v="~"/>
    <n v="100"/>
    <n v="0"/>
    <n v="0"/>
    <n v="43.149999999999991"/>
    <n v="956.9"/>
    <n v="78"/>
    <s v="-"/>
  </r>
  <r>
    <x v="14"/>
    <x v="1"/>
    <s v="ЗЮЗ"/>
    <n v="2"/>
    <n v="3"/>
    <n v="-7.7"/>
    <m/>
    <m/>
    <s v="~"/>
    <n v="99"/>
    <n v="-1"/>
    <n v="0"/>
    <n v="43.149999999999991"/>
    <n v="955.9"/>
    <n v="82"/>
    <s v="-"/>
  </r>
  <r>
    <x v="14"/>
    <x v="2"/>
    <s v="ЗЮЗ"/>
    <n v="1"/>
    <n v="3"/>
    <n v="-7.2"/>
    <m/>
    <m/>
    <s v="~"/>
    <n v="98"/>
    <n v="-1"/>
    <n v="0"/>
    <n v="43.149999999999991"/>
    <n v="955.2"/>
    <n v="78"/>
    <s v="-"/>
  </r>
  <r>
    <x v="14"/>
    <x v="3"/>
    <s v="ЗЮЗ"/>
    <n v="3"/>
    <n v="4"/>
    <n v="-5.8"/>
    <m/>
    <m/>
    <s v="~"/>
    <n v="99"/>
    <n v="1"/>
    <n v="0"/>
    <n v="43.149999999999991"/>
    <n v="955.5"/>
    <n v="74"/>
    <s v="-"/>
  </r>
  <r>
    <x v="14"/>
    <x v="4"/>
    <s v="З"/>
    <n v="1"/>
    <n v="2"/>
    <n v="-3.5"/>
    <m/>
    <m/>
    <s v="~"/>
    <n v="100"/>
    <n v="1"/>
    <n v="0"/>
    <n v="43.149999999999991"/>
    <n v="954.6"/>
    <n v="72"/>
    <s v="-"/>
  </r>
  <r>
    <x v="14"/>
    <x v="5"/>
    <s v="З"/>
    <n v="2"/>
    <n v="3"/>
    <n v="-4.3"/>
    <m/>
    <m/>
    <s v="~"/>
    <n v="100"/>
    <n v="0"/>
    <n v="0"/>
    <n v="43.149999999999991"/>
    <n v="953.2"/>
    <n v="81"/>
    <s v="-"/>
  </r>
  <r>
    <x v="14"/>
    <x v="6"/>
    <s v="З"/>
    <n v="2"/>
    <n v="3"/>
    <n v="-4.9000000000000004"/>
    <m/>
    <m/>
    <s v="~"/>
    <n v="99"/>
    <n v="-1"/>
    <n v="0"/>
    <n v="43.149999999999991"/>
    <n v="952.6"/>
    <n v="75"/>
    <s v="-"/>
  </r>
  <r>
    <x v="14"/>
    <x v="7"/>
    <s v="З"/>
    <n v="2"/>
    <n v="5"/>
    <n v="-5.3"/>
    <m/>
    <m/>
    <s v="~"/>
    <n v="99"/>
    <n v="0"/>
    <n v="0"/>
    <n v="43.149999999999991"/>
    <n v="952.1"/>
    <n v="69"/>
    <s v="-"/>
  </r>
  <r>
    <x v="15"/>
    <x v="0"/>
    <s v="З"/>
    <n v="2"/>
    <n v="4"/>
    <n v="-5.2"/>
    <m/>
    <m/>
    <s v="~"/>
    <n v="99"/>
    <n v="0"/>
    <n v="0"/>
    <n v="43.149999999999991"/>
    <n v="951.3"/>
    <n v="61"/>
    <s v="-"/>
  </r>
  <r>
    <x v="15"/>
    <x v="1"/>
    <s v="З"/>
    <n v="0"/>
    <n v="1"/>
    <n v="-4.4000000000000004"/>
    <m/>
    <m/>
    <s v="~"/>
    <n v="99"/>
    <n v="0"/>
    <n v="0"/>
    <n v="43.149999999999991"/>
    <n v="950.5"/>
    <n v="57"/>
    <s v="-"/>
  </r>
  <r>
    <x v="15"/>
    <x v="2"/>
    <s v="З"/>
    <n v="1"/>
    <n v="2"/>
    <n v="-6"/>
    <m/>
    <m/>
    <s v="~"/>
    <n v="98"/>
    <n v="-1"/>
    <n v="0"/>
    <n v="43.149999999999991"/>
    <n v="950.1"/>
    <n v="67"/>
    <s v="-"/>
  </r>
  <r>
    <x v="15"/>
    <x v="3"/>
    <s v="З"/>
    <n v="1"/>
    <n v="2"/>
    <n v="-6.5"/>
    <m/>
    <m/>
    <s v="~"/>
    <n v="98"/>
    <n v="0"/>
    <n v="0"/>
    <n v="43.149999999999991"/>
    <n v="950.4"/>
    <n v="70"/>
    <s v="-"/>
  </r>
  <r>
    <x v="15"/>
    <x v="4"/>
    <s v="ЗЮЗ"/>
    <n v="1"/>
    <n v="2"/>
    <n v="-4"/>
    <m/>
    <m/>
    <s v="~"/>
    <n v="99"/>
    <n v="1"/>
    <n v="0"/>
    <n v="43.149999999999991"/>
    <n v="950"/>
    <n v="59"/>
    <s v="-"/>
  </r>
  <r>
    <x v="15"/>
    <x v="5"/>
    <s v="ЗЮЗ"/>
    <n v="1"/>
    <n v="2"/>
    <n v="-2.8"/>
    <m/>
    <m/>
    <s v="~"/>
    <n v="100"/>
    <n v="1"/>
    <n v="0"/>
    <n v="43.149999999999991"/>
    <n v="948.4"/>
    <n v="61"/>
    <s v="-"/>
  </r>
  <r>
    <x v="15"/>
    <x v="6"/>
    <s v="ЗЮЗ"/>
    <n v="2"/>
    <n v="3"/>
    <n v="-6.1"/>
    <m/>
    <m/>
    <s v="~"/>
    <n v="98"/>
    <n v="-2"/>
    <n v="0"/>
    <n v="43.149999999999991"/>
    <n v="948"/>
    <n v="77"/>
    <s v="-"/>
  </r>
  <r>
    <x v="15"/>
    <x v="7"/>
    <s v="ЮЗ"/>
    <n v="3"/>
    <n v="3"/>
    <n v="-8"/>
    <m/>
    <m/>
    <s v="~"/>
    <n v="97"/>
    <n v="-1"/>
    <n v="0"/>
    <n v="43.149999999999991"/>
    <n v="947.4"/>
    <n v="79"/>
    <s v="-"/>
  </r>
  <r>
    <x v="16"/>
    <x v="0"/>
    <s v="ЮЗ"/>
    <n v="3"/>
    <n v="3"/>
    <n v="-9.9"/>
    <m/>
    <m/>
    <s v="~"/>
    <n v="97"/>
    <n v="0"/>
    <n v="0"/>
    <n v="43.149999999999991"/>
    <n v="945.8"/>
    <n v="83"/>
    <s v="-"/>
  </r>
  <r>
    <x v="16"/>
    <x v="1"/>
    <s v="ЮЗ"/>
    <n v="2"/>
    <n v="3"/>
    <n v="-9.3000000000000007"/>
    <m/>
    <m/>
    <s v="~"/>
    <n v="97"/>
    <n v="0"/>
    <n v="0"/>
    <n v="43.149999999999991"/>
    <n v="944"/>
    <n v="79"/>
    <s v="-"/>
  </r>
  <r>
    <x v="16"/>
    <x v="2"/>
    <s v="ЮЗ"/>
    <n v="1"/>
    <n v="3"/>
    <n v="-12"/>
    <m/>
    <m/>
    <s v="~"/>
    <n v="96"/>
    <n v="-1"/>
    <n v="0"/>
    <n v="43.149999999999991"/>
    <n v="942.2"/>
    <n v="91"/>
    <s v="-"/>
  </r>
  <r>
    <x v="16"/>
    <x v="3"/>
    <s v="ЮЗ"/>
    <n v="1"/>
    <n v="2"/>
    <n v="-11.3"/>
    <m/>
    <m/>
    <s v="~"/>
    <n v="97"/>
    <n v="1"/>
    <n v="0"/>
    <n v="43.149999999999991"/>
    <n v="940.5"/>
    <n v="84"/>
    <s v="-"/>
  </r>
  <r>
    <x v="16"/>
    <x v="4"/>
    <s v="З"/>
    <n v="1"/>
    <n v="1"/>
    <n v="-6.3"/>
    <m/>
    <m/>
    <s v="~"/>
    <n v="99"/>
    <n v="2"/>
    <n v="0"/>
    <n v="43.149999999999991"/>
    <n v="938.5"/>
    <n v="70"/>
    <s v="-"/>
  </r>
  <r>
    <x v="16"/>
    <x v="5"/>
    <s v="З"/>
    <n v="0"/>
    <n v="1"/>
    <n v="-4.4000000000000004"/>
    <m/>
    <m/>
    <s v="~"/>
    <n v="100"/>
    <n v="1"/>
    <n v="0"/>
    <n v="43.149999999999991"/>
    <n v="936.2"/>
    <n v="66"/>
    <s v="-"/>
  </r>
  <r>
    <x v="16"/>
    <x v="6"/>
    <s v="З"/>
    <n v="1"/>
    <n v="2"/>
    <n v="-6.5"/>
    <m/>
    <m/>
    <s v="~"/>
    <n v="99"/>
    <n v="-1"/>
    <n v="0"/>
    <n v="43.149999999999991"/>
    <n v="935.3"/>
    <n v="84"/>
    <s v="-"/>
  </r>
  <r>
    <x v="16"/>
    <x v="7"/>
    <s v="З"/>
    <n v="1"/>
    <n v="2"/>
    <n v="-8.1"/>
    <m/>
    <m/>
    <s v="~"/>
    <n v="98"/>
    <n v="-1"/>
    <n v="0"/>
    <n v="43.149999999999991"/>
    <n v="934"/>
    <n v="85"/>
    <s v="-"/>
  </r>
  <r>
    <x v="17"/>
    <x v="0"/>
    <s v="З"/>
    <n v="1"/>
    <n v="2"/>
    <n v="-7.4"/>
    <m/>
    <m/>
    <s v="~"/>
    <n v="99"/>
    <n v="1"/>
    <n v="0"/>
    <n v="43.149999999999991"/>
    <n v="932"/>
    <n v="88"/>
    <s v="-"/>
  </r>
  <r>
    <x v="17"/>
    <x v="1"/>
    <s v="ЗЮЗ"/>
    <n v="1"/>
    <n v="2"/>
    <n v="-7.3"/>
    <m/>
    <m/>
    <s v="~"/>
    <n v="99"/>
    <n v="0"/>
    <n v="0"/>
    <n v="43.149999999999991"/>
    <n v="929.5"/>
    <n v="79"/>
    <s v="-"/>
  </r>
  <r>
    <x v="17"/>
    <x v="2"/>
    <s v="ЗЮЗ"/>
    <n v="1"/>
    <n v="3"/>
    <n v="-4.4000000000000004"/>
    <m/>
    <m/>
    <s v="~"/>
    <n v="100"/>
    <n v="1"/>
    <n v="0"/>
    <n v="43.149999999999991"/>
    <n v="926.6"/>
    <n v="74"/>
    <s v="-"/>
  </r>
  <r>
    <x v="17"/>
    <x v="3"/>
    <s v="ЮЗ"/>
    <n v="2"/>
    <n v="3"/>
    <n v="-5.8"/>
    <m/>
    <m/>
    <s v="т"/>
    <n v="100"/>
    <n v="0"/>
    <n v="0"/>
    <n v="43.149999999999991"/>
    <n v="924.6"/>
    <n v="91"/>
    <s v="-"/>
  </r>
  <r>
    <x v="17"/>
    <x v="4"/>
    <s v="ЮЗ"/>
    <n v="2"/>
    <n v="3"/>
    <n v="-4.0999999999999996"/>
    <m/>
    <m/>
    <s v="т, то"/>
    <n v="101"/>
    <n v="1"/>
    <n v="0"/>
    <n v="43.149999999999991"/>
    <n v="920.5"/>
    <n v="92"/>
    <s v="-"/>
  </r>
  <r>
    <x v="17"/>
    <x v="5"/>
    <s v="ЮЗ"/>
    <n v="1"/>
    <n v="2"/>
    <n v="-2.5"/>
    <m/>
    <m/>
    <s v="~"/>
    <n v="100"/>
    <n v="-1"/>
    <n v="0"/>
    <n v="43.149999999999991"/>
    <n v="916.1"/>
    <n v="95"/>
    <s v="-"/>
  </r>
  <r>
    <x v="17"/>
    <x v="6"/>
    <s v="ЗЮЗ"/>
    <n v="12"/>
    <n v="18"/>
    <n v="-4"/>
    <m/>
    <m/>
    <s v="т, то, м"/>
    <n v="101"/>
    <n v="1"/>
    <n v="0"/>
    <n v="43.149999999999991"/>
    <n v="914.5"/>
    <n v="88"/>
    <s v="-"/>
  </r>
  <r>
    <x v="17"/>
    <x v="7"/>
    <s v="З"/>
    <n v="13"/>
    <n v="20"/>
    <n v="-5.9"/>
    <m/>
    <m/>
    <s v="м"/>
    <n v="99"/>
    <n v="-2"/>
    <n v="0"/>
    <n v="43.149999999999991"/>
    <n v="916"/>
    <n v="68"/>
    <s v="-"/>
  </r>
  <r>
    <x v="18"/>
    <x v="0"/>
    <s v="З"/>
    <n v="12"/>
    <n v="19"/>
    <n v="-7.3"/>
    <m/>
    <m/>
    <s v="м"/>
    <n v="99"/>
    <n v="0"/>
    <n v="0"/>
    <n v="43.149999999999991"/>
    <n v="916.9"/>
    <n v="75"/>
    <s v="-"/>
  </r>
  <r>
    <x v="18"/>
    <x v="1"/>
    <s v="З"/>
    <n v="10"/>
    <n v="15"/>
    <n v="-7.9"/>
    <m/>
    <m/>
    <s v="м"/>
    <n v="98"/>
    <n v="-1"/>
    <n v="0"/>
    <n v="43.149999999999991"/>
    <n v="917.2"/>
    <n v="61"/>
    <s v="-"/>
  </r>
  <r>
    <x v="18"/>
    <x v="2"/>
    <s v="З"/>
    <n v="9"/>
    <n v="14"/>
    <n v="-8.6999999999999993"/>
    <m/>
    <m/>
    <s v="~"/>
    <n v="98"/>
    <n v="0"/>
    <n v="0"/>
    <n v="43.149999999999991"/>
    <n v="917.7"/>
    <n v="59"/>
    <s v="-"/>
  </r>
  <r>
    <x v="18"/>
    <x v="3"/>
    <s v="З"/>
    <n v="10"/>
    <n v="15"/>
    <n v="-9.3000000000000007"/>
    <m/>
    <m/>
    <s v="~"/>
    <n v="97"/>
    <n v="-1"/>
    <n v="0"/>
    <n v="43.149999999999991"/>
    <n v="917.3"/>
    <n v="57"/>
    <s v="-"/>
  </r>
  <r>
    <x v="18"/>
    <x v="4"/>
    <s v="З"/>
    <n v="9"/>
    <n v="12"/>
    <n v="-8.3000000000000007"/>
    <m/>
    <m/>
    <s v="~"/>
    <n v="98"/>
    <n v="1"/>
    <n v="0"/>
    <n v="43.149999999999991"/>
    <n v="917.4"/>
    <n v="57"/>
    <s v="-"/>
  </r>
  <r>
    <x v="18"/>
    <x v="5"/>
    <s v="З"/>
    <n v="6"/>
    <n v="9"/>
    <n v="-6.8"/>
    <m/>
    <m/>
    <s v="~"/>
    <n v="99"/>
    <n v="1"/>
    <n v="0"/>
    <n v="43.149999999999991"/>
    <n v="915.5"/>
    <n v="48"/>
    <s v="-"/>
  </r>
  <r>
    <x v="18"/>
    <x v="6"/>
    <s v="З"/>
    <n v="2"/>
    <n v="3"/>
    <n v="-8.1"/>
    <m/>
    <m/>
    <s v="~"/>
    <n v="99"/>
    <n v="0"/>
    <n v="0"/>
    <n v="43.149999999999991"/>
    <n v="913.8"/>
    <n v="46"/>
    <s v="-"/>
  </r>
  <r>
    <x v="18"/>
    <x v="7"/>
    <s v="З"/>
    <n v="4"/>
    <n v="4"/>
    <n v="-10.9"/>
    <m/>
    <m/>
    <s v="~"/>
    <n v="98"/>
    <n v="-1"/>
    <n v="0"/>
    <n v="43.149999999999991"/>
    <n v="912.2"/>
    <n v="52"/>
    <s v="-"/>
  </r>
  <r>
    <x v="19"/>
    <x v="0"/>
    <s v="ЗСЗ"/>
    <n v="2"/>
    <n v="3"/>
    <n v="-11.1"/>
    <m/>
    <m/>
    <s v="~"/>
    <n v="98"/>
    <n v="0"/>
    <n v="0"/>
    <n v="43.149999999999991"/>
    <n v="909.7"/>
    <n v="46"/>
    <s v="-"/>
  </r>
  <r>
    <x v="19"/>
    <x v="1"/>
    <s v="СЗ"/>
    <n v="3"/>
    <n v="4"/>
    <n v="-11.9"/>
    <m/>
    <m/>
    <s v="~"/>
    <n v="97"/>
    <n v="-1"/>
    <n v="0"/>
    <n v="43.149999999999991"/>
    <n v="908"/>
    <n v="50"/>
    <s v="-"/>
  </r>
  <r>
    <x v="19"/>
    <x v="2"/>
    <s v="ЗСЗ"/>
    <n v="1"/>
    <n v="2"/>
    <n v="-11.9"/>
    <m/>
    <m/>
    <s v="~"/>
    <n v="97"/>
    <n v="0"/>
    <n v="0"/>
    <n v="43.149999999999991"/>
    <n v="906.9"/>
    <n v="51"/>
    <s v="-"/>
  </r>
  <r>
    <x v="19"/>
    <x v="3"/>
    <s v="З"/>
    <n v="2"/>
    <n v="5"/>
    <n v="-10.6"/>
    <m/>
    <m/>
    <s v="~"/>
    <n v="98"/>
    <n v="1"/>
    <n v="0"/>
    <n v="43.149999999999991"/>
    <n v="907.1"/>
    <n v="54"/>
    <s v="-"/>
  </r>
  <r>
    <x v="19"/>
    <x v="4"/>
    <s v="З"/>
    <n v="6"/>
    <n v="8"/>
    <n v="-8.1999999999999993"/>
    <m/>
    <m/>
    <s v="~"/>
    <n v="99"/>
    <n v="1"/>
    <n v="0"/>
    <n v="43.149999999999991"/>
    <n v="907.3"/>
    <n v="61"/>
    <s v="-"/>
  </r>
  <r>
    <x v="19"/>
    <x v="5"/>
    <s v="З"/>
    <n v="7"/>
    <n v="9"/>
    <n v="-8"/>
    <m/>
    <m/>
    <s v="~"/>
    <n v="99"/>
    <n v="0"/>
    <n v="0"/>
    <n v="43.149999999999991"/>
    <n v="906.5"/>
    <n v="58"/>
    <s v="-"/>
  </r>
  <r>
    <x v="19"/>
    <x v="6"/>
    <s v="З"/>
    <n v="3"/>
    <n v="4"/>
    <n v="-9"/>
    <m/>
    <m/>
    <s v="~"/>
    <n v="98"/>
    <n v="-1"/>
    <n v="0"/>
    <n v="43.149999999999991"/>
    <n v="906"/>
    <n v="56"/>
    <s v="-"/>
  </r>
  <r>
    <x v="19"/>
    <x v="7"/>
    <s v="З"/>
    <n v="3"/>
    <n v="4"/>
    <n v="-11.5"/>
    <m/>
    <m/>
    <s v="~"/>
    <n v="97"/>
    <n v="-1"/>
    <n v="0"/>
    <n v="43.149999999999991"/>
    <n v="906.3"/>
    <n v="65"/>
    <s v="-"/>
  </r>
  <r>
    <x v="20"/>
    <x v="0"/>
    <s v="З"/>
    <n v="3"/>
    <n v="4"/>
    <n v="-11.4"/>
    <m/>
    <m/>
    <s v="~"/>
    <n v="97"/>
    <n v="0"/>
    <n v="0"/>
    <n v="43.149999999999991"/>
    <n v="906.2"/>
    <n v="60"/>
    <s v="-"/>
  </r>
  <r>
    <x v="20"/>
    <x v="1"/>
    <s v="ЗСЗ"/>
    <n v="5"/>
    <n v="7"/>
    <n v="-9.1999999999999993"/>
    <m/>
    <m/>
    <s v="~"/>
    <n v="98"/>
    <n v="1"/>
    <n v="0"/>
    <n v="43.149999999999991"/>
    <n v="908"/>
    <n v="55"/>
    <s v="-"/>
  </r>
  <r>
    <x v="20"/>
    <x v="2"/>
    <s v="ЗСЗ"/>
    <n v="8"/>
    <n v="14"/>
    <n v="-8.5"/>
    <m/>
    <m/>
    <s v="~"/>
    <n v="98"/>
    <n v="0"/>
    <n v="0"/>
    <n v="43.149999999999991"/>
    <n v="911"/>
    <n v="72"/>
    <s v="-"/>
  </r>
  <r>
    <x v="20"/>
    <x v="3"/>
    <s v="ЗСЗ"/>
    <n v="13"/>
    <n v="19"/>
    <n v="-9.1999999999999993"/>
    <m/>
    <m/>
    <s v="то, м"/>
    <n v="97"/>
    <n v="-1"/>
    <n v="0"/>
    <n v="43.149999999999991"/>
    <n v="914.6"/>
    <n v="73"/>
    <s v="-"/>
  </r>
  <r>
    <x v="20"/>
    <x v="4"/>
    <s v="ЗСЗ"/>
    <n v="11"/>
    <n v="17"/>
    <n v="-8.1999999999999993"/>
    <m/>
    <m/>
    <s v="м"/>
    <n v="96"/>
    <n v="-1"/>
    <n v="0"/>
    <n v="43.149999999999991"/>
    <n v="918.4"/>
    <n v="67"/>
    <s v="-"/>
  </r>
  <r>
    <x v="20"/>
    <x v="5"/>
    <s v="ЗСЗ"/>
    <n v="13"/>
    <n v="20"/>
    <n v="-7.2"/>
    <m/>
    <m/>
    <s v="~"/>
    <n v="96"/>
    <n v="0"/>
    <n v="0"/>
    <n v="43.149999999999991"/>
    <n v="921.3"/>
    <n v="60"/>
    <s v="-"/>
  </r>
  <r>
    <x v="20"/>
    <x v="6"/>
    <s v="З"/>
    <n v="8"/>
    <n v="16"/>
    <n v="-8.4"/>
    <m/>
    <m/>
    <s v="~"/>
    <n v="96"/>
    <n v="0"/>
    <n v="0"/>
    <n v="43.149999999999991"/>
    <n v="924.7"/>
    <n v="54"/>
    <s v="-"/>
  </r>
  <r>
    <x v="20"/>
    <x v="7"/>
    <s v="З"/>
    <n v="9"/>
    <n v="18"/>
    <n v="-8.6"/>
    <m/>
    <m/>
    <s v="~"/>
    <n v="95"/>
    <n v="-1"/>
    <n v="0"/>
    <n v="43.149999999999991"/>
    <n v="928.6"/>
    <n v="50"/>
    <s v="-"/>
  </r>
  <r>
    <x v="21"/>
    <x v="0"/>
    <s v="З"/>
    <n v="8"/>
    <n v="11"/>
    <n v="-7.8"/>
    <m/>
    <m/>
    <s v="~"/>
    <n v="95"/>
    <n v="0"/>
    <n v="0"/>
    <n v="43.149999999999991"/>
    <n v="930"/>
    <n v="47"/>
    <s v="-"/>
  </r>
  <r>
    <x v="21"/>
    <x v="1"/>
    <s v="З"/>
    <n v="7"/>
    <n v="14"/>
    <n v="-6.5"/>
    <m/>
    <m/>
    <s v="~"/>
    <n v="96"/>
    <n v="1"/>
    <n v="0"/>
    <n v="43.149999999999991"/>
    <n v="930.2"/>
    <n v="54"/>
    <s v="-"/>
  </r>
  <r>
    <x v="21"/>
    <x v="2"/>
    <s v="З"/>
    <n v="11"/>
    <n v="20"/>
    <n v="-6"/>
    <m/>
    <m/>
    <s v="~"/>
    <n v="94"/>
    <n v="-2"/>
    <n v="0"/>
    <n v="43.149999999999991"/>
    <n v="930.1"/>
    <n v="63"/>
    <s v="-"/>
  </r>
  <r>
    <x v="21"/>
    <x v="3"/>
    <s v="З"/>
    <n v="11"/>
    <n v="18"/>
    <n v="-4"/>
    <m/>
    <m/>
    <s v="~"/>
    <n v="95"/>
    <n v="1"/>
    <n v="0"/>
    <n v="43.149999999999991"/>
    <n v="929"/>
    <n v="63"/>
    <s v="-"/>
  </r>
  <r>
    <x v="21"/>
    <x v="4"/>
    <s v="З"/>
    <n v="9"/>
    <n v="14"/>
    <n v="-1.6"/>
    <m/>
    <m/>
    <s v="~"/>
    <n v="95"/>
    <n v="0"/>
    <n v="0"/>
    <n v="43.149999999999991"/>
    <n v="928.2"/>
    <n v="55"/>
    <s v="-"/>
  </r>
  <r>
    <x v="21"/>
    <x v="5"/>
    <s v="З"/>
    <n v="7"/>
    <n v="12"/>
    <n v="0.5"/>
    <m/>
    <m/>
    <s v="~"/>
    <n v="97"/>
    <n v="2"/>
    <n v="0"/>
    <n v="43.149999999999991"/>
    <n v="926.2"/>
    <n v="50"/>
    <s v="-"/>
  </r>
  <r>
    <x v="21"/>
    <x v="6"/>
    <s v="З"/>
    <n v="8"/>
    <n v="15"/>
    <n v="0.9"/>
    <m/>
    <m/>
    <s v="~"/>
    <n v="97"/>
    <n v="0"/>
    <n v="0"/>
    <n v="43.149999999999991"/>
    <n v="925.7"/>
    <n v="52"/>
    <s v="-"/>
  </r>
  <r>
    <x v="21"/>
    <x v="7"/>
    <s v="З"/>
    <n v="8"/>
    <n v="13"/>
    <n v="0.4"/>
    <m/>
    <m/>
    <s v="~"/>
    <n v="97"/>
    <n v="0"/>
    <n v="0"/>
    <n v="43.149999999999991"/>
    <n v="926.6"/>
    <n v="59"/>
    <s v="-"/>
  </r>
  <r>
    <x v="22"/>
    <x v="0"/>
    <s v="З"/>
    <n v="8"/>
    <n v="15"/>
    <n v="-0.6"/>
    <m/>
    <m/>
    <s v="~"/>
    <n v="96"/>
    <n v="-1"/>
    <n v="0"/>
    <n v="43.149999999999991"/>
    <n v="927"/>
    <n v="65"/>
    <s v="-"/>
  </r>
  <r>
    <x v="22"/>
    <x v="1"/>
    <s v="З"/>
    <n v="9"/>
    <n v="14"/>
    <n v="-1.8"/>
    <m/>
    <m/>
    <s v="~"/>
    <n v="96"/>
    <n v="0"/>
    <n v="0"/>
    <n v="43.149999999999991"/>
    <n v="926.9"/>
    <n v="71"/>
    <s v="-"/>
  </r>
  <r>
    <x v="22"/>
    <x v="2"/>
    <s v="З"/>
    <n v="8"/>
    <n v="12"/>
    <n v="-1.9"/>
    <m/>
    <m/>
    <s v="~"/>
    <n v="96"/>
    <n v="0"/>
    <n v="0"/>
    <n v="43.149999999999991"/>
    <n v="926.9"/>
    <n v="74"/>
    <s v="-"/>
  </r>
  <r>
    <x v="22"/>
    <x v="3"/>
    <s v="ЗЮЗ"/>
    <n v="8"/>
    <n v="13"/>
    <n v="-2.8"/>
    <m/>
    <m/>
    <s v="~"/>
    <n v="95"/>
    <n v="-1"/>
    <n v="0"/>
    <n v="43.149999999999991"/>
    <n v="927.2"/>
    <n v="78"/>
    <s v="-"/>
  </r>
  <r>
    <x v="22"/>
    <x v="4"/>
    <s v="ЮЗ"/>
    <n v="4"/>
    <n v="12"/>
    <n v="-3.8"/>
    <m/>
    <m/>
    <s v="то"/>
    <n v="94"/>
    <n v="-1"/>
    <n v="0"/>
    <n v="43.149999999999991"/>
    <n v="927.9"/>
    <n v="77"/>
    <s v="-"/>
  </r>
  <r>
    <x v="22"/>
    <x v="5"/>
    <s v="ЮВ"/>
    <n v="4"/>
    <n v="6"/>
    <n v="-6.9"/>
    <m/>
    <m/>
    <s v="то"/>
    <n v="93"/>
    <n v="-1"/>
    <n v="0"/>
    <n v="43.149999999999991"/>
    <n v="927.4"/>
    <n v="91"/>
    <s v="-"/>
  </r>
  <r>
    <x v="22"/>
    <x v="6"/>
    <s v="В"/>
    <n v="3"/>
    <n v="4"/>
    <n v="-8.3000000000000007"/>
    <m/>
    <m/>
    <s v="то"/>
    <n v="91"/>
    <n v="-2"/>
    <n v="0"/>
    <n v="43.149999999999991"/>
    <n v="928.1"/>
    <n v="91"/>
    <s v="-"/>
  </r>
  <r>
    <x v="22"/>
    <x v="7"/>
    <s v="В"/>
    <n v="2"/>
    <n v="3"/>
    <n v="-9.6"/>
    <m/>
    <m/>
    <s v="то"/>
    <n v="97"/>
    <n v="6"/>
    <n v="0"/>
    <n v="43.149999999999991"/>
    <n v="928.4"/>
    <n v="91"/>
    <s v="-"/>
  </r>
  <r>
    <x v="23"/>
    <x v="0"/>
    <s v="В"/>
    <n v="0"/>
    <n v="1"/>
    <n v="-10.199999999999999"/>
    <m/>
    <m/>
    <s v="то"/>
    <n v="101"/>
    <n v="4"/>
    <n v="0"/>
    <n v="43.149999999999991"/>
    <n v="927.4"/>
    <n v="90"/>
    <s v="-"/>
  </r>
  <r>
    <x v="23"/>
    <x v="1"/>
    <s v="В"/>
    <n v="0"/>
    <n v="1"/>
    <n v="-10.6"/>
    <m/>
    <m/>
    <s v="то"/>
    <n v="103"/>
    <n v="2"/>
    <n v="0"/>
    <n v="43.149999999999991"/>
    <n v="926.9"/>
    <n v="90"/>
    <s v="-"/>
  </r>
  <r>
    <x v="23"/>
    <x v="2"/>
    <s v="В"/>
    <n v="0"/>
    <n v="2"/>
    <n v="-11"/>
    <m/>
    <m/>
    <s v="то"/>
    <n v="100"/>
    <n v="-3"/>
    <n v="0"/>
    <n v="43.149999999999991"/>
    <n v="926"/>
    <n v="89"/>
    <s v="-"/>
  </r>
  <r>
    <x v="23"/>
    <x v="3"/>
    <s v="~"/>
    <n v="0"/>
    <n v="0"/>
    <n v="-10.5"/>
    <m/>
    <m/>
    <s v="то"/>
    <n v="103"/>
    <n v="3"/>
    <n v="0"/>
    <n v="43.149999999999991"/>
    <n v="925.2"/>
    <n v="90"/>
    <s v="-"/>
  </r>
  <r>
    <x v="23"/>
    <x v="4"/>
    <s v="В"/>
    <n v="0"/>
    <n v="1"/>
    <n v="-8"/>
    <m/>
    <m/>
    <s v="то"/>
    <n v="107"/>
    <n v="4"/>
    <n v="0"/>
    <n v="43.149999999999991"/>
    <n v="922.9"/>
    <n v="86"/>
    <s v="-"/>
  </r>
  <r>
    <x v="23"/>
    <x v="5"/>
    <s v="В"/>
    <n v="1"/>
    <n v="2"/>
    <n v="-8.6"/>
    <m/>
    <m/>
    <s v="то"/>
    <n v="115"/>
    <n v="8"/>
    <n v="0"/>
    <n v="43.149999999999991"/>
    <n v="919.1"/>
    <n v="84"/>
    <s v="-"/>
  </r>
  <r>
    <x v="23"/>
    <x v="6"/>
    <s v="СЗ"/>
    <n v="1"/>
    <n v="2"/>
    <n v="-8.4"/>
    <m/>
    <m/>
    <s v="то"/>
    <n v="130"/>
    <n v="15"/>
    <n v="0"/>
    <n v="43.149999999999991"/>
    <n v="914.5"/>
    <n v="86"/>
    <s v="-"/>
  </r>
  <r>
    <x v="23"/>
    <x v="7"/>
    <s v="СВ"/>
    <n v="5"/>
    <n v="8"/>
    <n v="-9.9"/>
    <m/>
    <m/>
    <s v="то"/>
    <n v="135"/>
    <n v="5"/>
    <n v="0"/>
    <n v="43.149999999999991"/>
    <n v="910"/>
    <n v="80"/>
    <s v="-"/>
  </r>
  <r>
    <x v="24"/>
    <x v="0"/>
    <s v="СВ"/>
    <n v="2"/>
    <n v="3"/>
    <n v="-9.6"/>
    <m/>
    <m/>
    <s v="то"/>
    <n v="132"/>
    <n v="-3"/>
    <n v="0"/>
    <n v="43.149999999999991"/>
    <n v="905.7"/>
    <n v="80"/>
    <s v="-"/>
  </r>
  <r>
    <x v="24"/>
    <x v="1"/>
    <s v="СЗ"/>
    <n v="0"/>
    <n v="1"/>
    <n v="-10.4"/>
    <m/>
    <m/>
    <s v="то"/>
    <n v="132"/>
    <n v="0"/>
    <n v="0"/>
    <n v="43.149999999999991"/>
    <n v="902"/>
    <n v="89"/>
    <s v="-"/>
  </r>
  <r>
    <x v="24"/>
    <x v="2"/>
    <s v="З"/>
    <n v="2"/>
    <n v="5"/>
    <n v="-12.2"/>
    <m/>
    <m/>
    <s v="то"/>
    <n v="134"/>
    <n v="2"/>
    <n v="0"/>
    <n v="43.149999999999991"/>
    <n v="898.2"/>
    <n v="81"/>
    <s v="-"/>
  </r>
  <r>
    <x v="24"/>
    <x v="3"/>
    <s v="З"/>
    <n v="2"/>
    <n v="3"/>
    <n v="-13.6"/>
    <m/>
    <m/>
    <s v="то"/>
    <n v="133"/>
    <n v="-1"/>
    <n v="0"/>
    <n v="43.149999999999991"/>
    <n v="895.1"/>
    <n v="76"/>
    <s v="-"/>
  </r>
  <r>
    <x v="24"/>
    <x v="4"/>
    <s v="З"/>
    <n v="7"/>
    <n v="22"/>
    <n v="-16.100000000000001"/>
    <m/>
    <m/>
    <s v="м"/>
    <n v="88"/>
    <n v="-45"/>
    <n v="0"/>
    <n v="43.149999999999991"/>
    <n v="893.8"/>
    <n v="82"/>
    <s v="-"/>
  </r>
  <r>
    <x v="24"/>
    <x v="5"/>
    <s v="З"/>
    <m/>
    <m/>
    <n v="-13.1"/>
    <m/>
    <m/>
    <s v="м"/>
    <n v="89"/>
    <n v="1"/>
    <n v="0"/>
    <n v="43.149999999999991"/>
    <n v="895"/>
    <n v="84"/>
    <s v="-"/>
  </r>
  <r>
    <x v="24"/>
    <x v="6"/>
    <s v="З"/>
    <n v="22"/>
    <n v="29"/>
    <n v="-15.2"/>
    <m/>
    <m/>
    <s v="м"/>
    <n v="87"/>
    <n v="-2"/>
    <n v="0"/>
    <n v="43.149999999999991"/>
    <n v="896.4"/>
    <n v="82"/>
    <s v="-"/>
  </r>
  <r>
    <x v="24"/>
    <x v="7"/>
    <s v="З"/>
    <n v="20"/>
    <n v="26"/>
    <n v="-16.8"/>
    <m/>
    <m/>
    <s v="м"/>
    <n v="86"/>
    <n v="-1"/>
    <n v="0"/>
    <n v="43.149999999999991"/>
    <n v="901.1"/>
    <n v="77"/>
    <s v="-"/>
  </r>
  <r>
    <x v="25"/>
    <x v="0"/>
    <s v="З"/>
    <n v="15"/>
    <n v="22"/>
    <n v="-17.3"/>
    <m/>
    <m/>
    <s v="м"/>
    <n v="86"/>
    <n v="0"/>
    <n v="0"/>
    <n v="43.149999999999991"/>
    <n v="905.1"/>
    <n v="74"/>
    <s v="-"/>
  </r>
  <r>
    <x v="25"/>
    <x v="1"/>
    <s v="З"/>
    <n v="21"/>
    <n v="21"/>
    <n v="-16.399999999999999"/>
    <m/>
    <m/>
    <s v="м"/>
    <n v="86"/>
    <n v="0"/>
    <n v="0"/>
    <n v="43.149999999999991"/>
    <n v="907.8"/>
    <n v="68"/>
    <s v="-"/>
  </r>
  <r>
    <x v="25"/>
    <x v="2"/>
    <s v="З"/>
    <n v="18"/>
    <n v="18"/>
    <n v="-16"/>
    <m/>
    <m/>
    <s v="м"/>
    <n v="87"/>
    <n v="1"/>
    <n v="0"/>
    <n v="43.149999999999991"/>
    <n v="910"/>
    <n v="80"/>
    <s v="-"/>
  </r>
  <r>
    <x v="25"/>
    <x v="3"/>
    <s v="З"/>
    <m/>
    <m/>
    <n v="-15.1"/>
    <m/>
    <m/>
    <s v="м"/>
    <n v="87"/>
    <n v="0"/>
    <n v="0"/>
    <n v="43.149999999999991"/>
    <n v="912.1"/>
    <n v="60"/>
    <s v="-"/>
  </r>
  <r>
    <x v="25"/>
    <x v="4"/>
    <s v="З"/>
    <m/>
    <m/>
    <n v="-13.4"/>
    <m/>
    <m/>
    <s v="м"/>
    <n v="88"/>
    <n v="1"/>
    <n v="0"/>
    <n v="43.149999999999991"/>
    <n v="914.3"/>
    <n v="68"/>
    <s v="-"/>
  </r>
  <r>
    <x v="25"/>
    <x v="5"/>
    <s v="З"/>
    <m/>
    <m/>
    <n v="-11.6"/>
    <m/>
    <m/>
    <s v="м"/>
    <n v="89"/>
    <n v="1"/>
    <n v="0"/>
    <n v="43.149999999999991"/>
    <n v="916.2"/>
    <n v="60"/>
    <s v="-"/>
  </r>
  <r>
    <x v="25"/>
    <x v="6"/>
    <s v="З"/>
    <m/>
    <m/>
    <n v="-10.9"/>
    <m/>
    <m/>
    <s v="м"/>
    <n v="89"/>
    <n v="0"/>
    <n v="0"/>
    <n v="43.149999999999991"/>
    <n v="918.6"/>
    <n v="56"/>
    <s v="-"/>
  </r>
  <r>
    <x v="25"/>
    <x v="7"/>
    <s v="З"/>
    <m/>
    <m/>
    <n v="-10.199999999999999"/>
    <m/>
    <m/>
    <s v="~"/>
    <n v="89"/>
    <n v="0"/>
    <n v="0"/>
    <n v="43.149999999999991"/>
    <n v="921.9"/>
    <n v="48"/>
    <s v="-"/>
  </r>
  <r>
    <x v="26"/>
    <x v="0"/>
    <s v="З"/>
    <n v="2"/>
    <n v="4"/>
    <n v="-10.1"/>
    <m/>
    <m/>
    <s v="~"/>
    <n v="88"/>
    <n v="-1"/>
    <n v="0"/>
    <n v="43.149999999999991"/>
    <n v="924.8"/>
    <n v="74"/>
    <s v="-"/>
  </r>
  <r>
    <x v="26"/>
    <x v="1"/>
    <s v="З"/>
    <n v="6"/>
    <n v="8"/>
    <n v="-9.1"/>
    <m/>
    <m/>
    <s v="~"/>
    <n v="89"/>
    <n v="1"/>
    <n v="0"/>
    <n v="43.149999999999991"/>
    <n v="927.5"/>
    <n v="54"/>
    <s v="-"/>
  </r>
  <r>
    <x v="26"/>
    <x v="2"/>
    <s v="З"/>
    <n v="4"/>
    <n v="6"/>
    <n v="-8.4"/>
    <m/>
    <m/>
    <s v="~"/>
    <n v="90"/>
    <n v="1"/>
    <n v="0"/>
    <n v="43.149999999999991"/>
    <n v="931.2"/>
    <n v="43"/>
    <s v="-"/>
  </r>
  <r>
    <x v="26"/>
    <x v="3"/>
    <s v="З"/>
    <n v="7"/>
    <n v="12"/>
    <n v="-8.6"/>
    <m/>
    <m/>
    <s v="~"/>
    <n v="90"/>
    <n v="0"/>
    <n v="0"/>
    <n v="43.149999999999991"/>
    <n v="934"/>
    <n v="50"/>
    <s v="-"/>
  </r>
  <r>
    <x v="26"/>
    <x v="4"/>
    <s v="З"/>
    <n v="6"/>
    <n v="12"/>
    <n v="-6.2"/>
    <m/>
    <m/>
    <s v="~"/>
    <n v="91"/>
    <n v="1"/>
    <n v="0"/>
    <n v="43.149999999999991"/>
    <n v="936.5"/>
    <n v="51"/>
    <s v="-"/>
  </r>
  <r>
    <x v="26"/>
    <x v="5"/>
    <s v="З"/>
    <n v="7"/>
    <n v="11"/>
    <n v="-4.5999999999999996"/>
    <m/>
    <m/>
    <s v="~"/>
    <n v="92"/>
    <n v="1"/>
    <n v="0"/>
    <n v="43.149999999999991"/>
    <n v="936.1"/>
    <n v="54"/>
    <s v="-"/>
  </r>
  <r>
    <x v="26"/>
    <x v="6"/>
    <s v="З"/>
    <n v="1"/>
    <n v="2"/>
    <n v="-6.1"/>
    <m/>
    <m/>
    <s v="~"/>
    <n v="92"/>
    <n v="0"/>
    <n v="0"/>
    <n v="43.149999999999991"/>
    <n v="936.5"/>
    <n v="55"/>
    <s v="-"/>
  </r>
  <r>
    <x v="26"/>
    <x v="7"/>
    <s v="З"/>
    <n v="2"/>
    <n v="3"/>
    <n v="-8.3000000000000007"/>
    <m/>
    <m/>
    <s v="~"/>
    <n v="91"/>
    <n v="-1"/>
    <n v="0"/>
    <n v="43.149999999999991"/>
    <n v="935.9"/>
    <n v="58"/>
    <s v="-"/>
  </r>
  <r>
    <x v="27"/>
    <x v="0"/>
    <s v="З"/>
    <n v="2"/>
    <n v="4"/>
    <n v="-7.8"/>
    <m/>
    <m/>
    <s v="~"/>
    <n v="92"/>
    <n v="1"/>
    <n v="0"/>
    <n v="43.149999999999991"/>
    <n v="934.4"/>
    <n v="60"/>
    <s v="-"/>
  </r>
  <r>
    <x v="27"/>
    <x v="1"/>
    <s v="З"/>
    <n v="2"/>
    <n v="3"/>
    <n v="-8.4"/>
    <m/>
    <m/>
    <s v="то"/>
    <n v="91"/>
    <n v="-1"/>
    <n v="0"/>
    <n v="43.149999999999991"/>
    <n v="930.6"/>
    <n v="67"/>
    <s v="-"/>
  </r>
  <r>
    <x v="27"/>
    <x v="2"/>
    <s v="З"/>
    <n v="1"/>
    <n v="1"/>
    <n v="-8.1999999999999993"/>
    <m/>
    <m/>
    <s v="то"/>
    <n v="90"/>
    <n v="-1"/>
    <n v="0"/>
    <n v="43.149999999999991"/>
    <n v="927.6"/>
    <n v="88"/>
    <s v="-"/>
  </r>
  <r>
    <x v="27"/>
    <x v="3"/>
    <s v="ЗЮЗ"/>
    <n v="0"/>
    <n v="1"/>
    <n v="-6.9"/>
    <m/>
    <m/>
    <s v="то"/>
    <n v="93"/>
    <n v="3"/>
    <n v="0"/>
    <n v="43.149999999999991"/>
    <n v="923.2"/>
    <n v="90"/>
    <s v="-"/>
  </r>
  <r>
    <x v="27"/>
    <x v="4"/>
    <s v="Ю"/>
    <n v="1"/>
    <n v="2"/>
    <n v="-4.8"/>
    <m/>
    <m/>
    <s v="то"/>
    <n v="102"/>
    <n v="9"/>
    <n v="0"/>
    <n v="43.149999999999991"/>
    <n v="918.3"/>
    <n v="82"/>
    <s v="-"/>
  </r>
  <r>
    <x v="27"/>
    <x v="5"/>
    <s v="В"/>
    <n v="7"/>
    <n v="10"/>
    <n v="-3.7"/>
    <m/>
    <m/>
    <s v="м"/>
    <n v="105"/>
    <n v="3"/>
    <n v="0"/>
    <n v="43.149999999999991"/>
    <n v="916.2"/>
    <n v="70"/>
    <s v="-"/>
  </r>
  <r>
    <x v="27"/>
    <x v="6"/>
    <s v="В"/>
    <n v="6"/>
    <n v="12"/>
    <n v="-1.9"/>
    <m/>
    <m/>
    <s v="~"/>
    <n v="109"/>
    <n v="4"/>
    <n v="0"/>
    <n v="43.149999999999991"/>
    <n v="917"/>
    <n v="47"/>
    <s v="-"/>
  </r>
  <r>
    <x v="27"/>
    <x v="7"/>
    <s v="В"/>
    <n v="7"/>
    <n v="11"/>
    <n v="-4.8"/>
    <m/>
    <m/>
    <s v="~"/>
    <n v="107"/>
    <n v="-2"/>
    <n v="0"/>
    <n v="43.149999999999991"/>
    <n v="920.4"/>
    <n v="75"/>
    <s v="-"/>
  </r>
  <r>
    <x v="28"/>
    <x v="0"/>
    <s v="СВ"/>
    <n v="8"/>
    <n v="10"/>
    <n v="-5.3"/>
    <m/>
    <m/>
    <s v="~"/>
    <n v="107"/>
    <n v="0"/>
    <n v="0"/>
    <n v="43.149999999999991"/>
    <n v="923.4"/>
    <n v="74"/>
    <s v="-"/>
  </r>
  <r>
    <x v="28"/>
    <x v="1"/>
    <s v="ЗСЗ"/>
    <n v="7"/>
    <n v="12"/>
    <n v="-5.7"/>
    <m/>
    <m/>
    <s v="м"/>
    <n v="106"/>
    <n v="-1"/>
    <n v="0"/>
    <n v="43.149999999999991"/>
    <n v="925"/>
    <n v="79"/>
    <s v="-"/>
  </r>
  <r>
    <x v="28"/>
    <x v="2"/>
    <s v="З"/>
    <n v="9"/>
    <n v="15"/>
    <n v="-7"/>
    <m/>
    <m/>
    <s v="м"/>
    <n v="94"/>
    <n v="-12"/>
    <n v="0"/>
    <n v="43.149999999999991"/>
    <n v="926.7"/>
    <n v="72"/>
    <s v="-"/>
  </r>
  <r>
    <x v="28"/>
    <x v="3"/>
    <s v="Ю"/>
    <n v="12"/>
    <n v="17"/>
    <n v="-8.4"/>
    <m/>
    <m/>
    <s v="~"/>
    <n v="89"/>
    <n v="-5"/>
    <n v="0"/>
    <n v="43.149999999999991"/>
    <n v="928"/>
    <n v="71"/>
    <s v="-"/>
  </r>
  <r>
    <x v="28"/>
    <x v="4"/>
    <s v="Ю"/>
    <n v="10"/>
    <n v="14"/>
    <n v="-6.6"/>
    <m/>
    <m/>
    <s v="~"/>
    <n v="91"/>
    <n v="2"/>
    <n v="0"/>
    <n v="43.149999999999991"/>
    <n v="929.4"/>
    <n v="57"/>
    <s v="-"/>
  </r>
  <r>
    <x v="28"/>
    <x v="5"/>
    <s v="Ю"/>
    <n v="11"/>
    <n v="16"/>
    <n v="-6"/>
    <m/>
    <m/>
    <s v="~"/>
    <n v="91"/>
    <n v="0"/>
    <n v="0"/>
    <n v="43.149999999999991"/>
    <n v="929.3"/>
    <n v="57"/>
    <s v="-"/>
  </r>
  <r>
    <x v="28"/>
    <x v="6"/>
    <s v="Ю"/>
    <n v="9"/>
    <n v="13"/>
    <n v="-5.6"/>
    <m/>
    <m/>
    <s v="~"/>
    <n v="92"/>
    <n v="1"/>
    <n v="0"/>
    <n v="43.149999999999991"/>
    <n v="929.9"/>
    <n v="49"/>
    <s v="-"/>
  </r>
  <r>
    <x v="28"/>
    <x v="7"/>
    <s v="Ю"/>
    <n v="9"/>
    <n v="13"/>
    <n v="-5.7"/>
    <m/>
    <m/>
    <s v="~"/>
    <n v="91"/>
    <n v="-1"/>
    <n v="0"/>
    <n v="43.149999999999991"/>
    <n v="931.2"/>
    <n v="51"/>
    <s v="-"/>
  </r>
  <r>
    <x v="29"/>
    <x v="0"/>
    <s v="Ю"/>
    <n v="9"/>
    <n v="16"/>
    <n v="-6.2"/>
    <m/>
    <m/>
    <s v="~"/>
    <n v="91"/>
    <n v="0"/>
    <n v="0"/>
    <n v="43.149999999999991"/>
    <n v="932"/>
    <n v="49"/>
    <s v="-"/>
  </r>
  <r>
    <x v="29"/>
    <x v="1"/>
    <s v="Ю"/>
    <n v="10"/>
    <n v="15"/>
    <n v="-6.6"/>
    <m/>
    <m/>
    <s v="~"/>
    <n v="90"/>
    <n v="-1"/>
    <n v="0"/>
    <n v="43.149999999999991"/>
    <n v="932.1"/>
    <n v="52"/>
    <s v="-"/>
  </r>
  <r>
    <x v="29"/>
    <x v="2"/>
    <s v="Ю"/>
    <n v="9"/>
    <n v="13"/>
    <n v="-6.6"/>
    <m/>
    <m/>
    <s v="~"/>
    <n v="91"/>
    <n v="1"/>
    <n v="0"/>
    <n v="43.149999999999991"/>
    <n v="932.8"/>
    <n v="47"/>
    <s v="-"/>
  </r>
  <r>
    <x v="29"/>
    <x v="3"/>
    <s v="Ю"/>
    <n v="3"/>
    <n v="7"/>
    <n v="-7.4"/>
    <m/>
    <m/>
    <s v="~"/>
    <n v="90"/>
    <n v="-1"/>
    <n v="0"/>
    <n v="43.149999999999991"/>
    <n v="933.9"/>
    <n v="45"/>
    <s v="-"/>
  </r>
  <r>
    <x v="29"/>
    <x v="4"/>
    <s v="Ю"/>
    <n v="4"/>
    <n v="8"/>
    <n v="-3.8"/>
    <m/>
    <m/>
    <s v="~"/>
    <n v="92"/>
    <n v="2"/>
    <n v="0"/>
    <n v="43.149999999999991"/>
    <n v="934.4"/>
    <n v="49"/>
    <s v="-"/>
  </r>
  <r>
    <x v="29"/>
    <x v="5"/>
    <s v="Ю"/>
    <n v="1"/>
    <n v="2"/>
    <n v="-3.7"/>
    <m/>
    <m/>
    <s v="~"/>
    <n v="93"/>
    <n v="1"/>
    <n v="0"/>
    <n v="43.149999999999991"/>
    <n v="934.6"/>
    <n v="52"/>
    <s v="-"/>
  </r>
  <r>
    <x v="29"/>
    <x v="6"/>
    <s v="Ю"/>
    <n v="1"/>
    <n v="2"/>
    <n v="-4.4000000000000004"/>
    <m/>
    <m/>
    <s v="~"/>
    <n v="92"/>
    <n v="-1"/>
    <n v="0"/>
    <n v="43.149999999999991"/>
    <n v="935.7"/>
    <n v="64"/>
    <s v="-"/>
  </r>
  <r>
    <x v="29"/>
    <x v="7"/>
    <s v="Ю"/>
    <n v="1"/>
    <n v="2"/>
    <n v="-7.5"/>
    <m/>
    <m/>
    <s v="~"/>
    <n v="91"/>
    <n v="-1"/>
    <n v="0"/>
    <n v="43.149999999999991"/>
    <n v="937.6"/>
    <n v="67"/>
    <s v="-"/>
  </r>
  <r>
    <x v="30"/>
    <x v="0"/>
    <s v="Ю"/>
    <n v="1"/>
    <n v="2"/>
    <n v="-7.1"/>
    <m/>
    <m/>
    <s v="~"/>
    <n v="91"/>
    <n v="0"/>
    <n v="0"/>
    <n v="43.149999999999991"/>
    <n v="938.6"/>
    <n v="59"/>
    <s v="-"/>
  </r>
  <r>
    <x v="30"/>
    <x v="1"/>
    <s v="Ю"/>
    <n v="1"/>
    <n v="3"/>
    <n v="-7.2"/>
    <m/>
    <m/>
    <s v="~"/>
    <n v="91"/>
    <n v="0"/>
    <n v="0"/>
    <n v="43.149999999999991"/>
    <n v="939.3"/>
    <n v="58"/>
    <s v="-"/>
  </r>
  <r>
    <x v="30"/>
    <x v="2"/>
    <s v="Ю"/>
    <n v="1"/>
    <n v="2"/>
    <n v="-6.5"/>
    <m/>
    <m/>
    <s v="~"/>
    <n v="91"/>
    <n v="0"/>
    <n v="0"/>
    <n v="43.149999999999991"/>
    <n v="939.7"/>
    <n v="59"/>
    <s v="-"/>
  </r>
  <r>
    <x v="30"/>
    <x v="3"/>
    <s v="Ю"/>
    <n v="2"/>
    <n v="4"/>
    <n v="-6.6"/>
    <m/>
    <m/>
    <s v="~"/>
    <n v="91"/>
    <n v="0"/>
    <n v="0"/>
    <n v="43.149999999999991"/>
    <n v="940.7"/>
    <n v="60"/>
    <s v="-"/>
  </r>
  <r>
    <x v="30"/>
    <x v="4"/>
    <s v="Ю"/>
    <n v="1"/>
    <n v="3"/>
    <n v="-0.9"/>
    <m/>
    <m/>
    <s v="~"/>
    <n v="94"/>
    <n v="3"/>
    <n v="0"/>
    <n v="43.149999999999991"/>
    <n v="941"/>
    <n v="51"/>
    <s v="-"/>
  </r>
  <r>
    <x v="30"/>
    <x v="5"/>
    <s v="Ю"/>
    <n v="4"/>
    <n v="9"/>
    <n v="0.8"/>
    <m/>
    <m/>
    <s v="~"/>
    <n v="95"/>
    <n v="1"/>
    <n v="0"/>
    <n v="43.149999999999991"/>
    <n v="941.1"/>
    <n v="50"/>
    <s v="-"/>
  </r>
  <r>
    <x v="30"/>
    <x v="6"/>
    <s v="Ю"/>
    <n v="3"/>
    <n v="5"/>
    <n v="0.2"/>
    <m/>
    <m/>
    <s v="~"/>
    <n v="95"/>
    <n v="0"/>
    <n v="0"/>
    <n v="43.149999999999991"/>
    <n v="941.2"/>
    <n v="52"/>
    <s v="-"/>
  </r>
  <r>
    <x v="30"/>
    <x v="7"/>
    <s v="Ю"/>
    <n v="3"/>
    <n v="7"/>
    <n v="1.8"/>
    <m/>
    <m/>
    <s v="~"/>
    <n v="95"/>
    <n v="0"/>
    <n v="0"/>
    <n v="43.149999999999991"/>
    <n v="941.9"/>
    <n v="37"/>
    <s v="-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B432E5-E441-4FA0-8DF7-6851E794160D}" name="Сводная таблица1" cacheId="1" applyNumberFormats="0" applyBorderFormats="0" applyFontFormats="0" applyPatternFormats="0" applyAlignmentFormats="0" applyWidthHeightFormats="1" dataCaption="Значения" missingCaption="~" updatedVersion="7" minRefreshableVersion="3" rowGrandTotals="0" itemPrintTitles="1" createdVersion="7" indent="0" outline="1" outlineData="1" multipleFieldFilters="0" rowHeaderCaption="Дата">
  <location ref="A3:K34" firstHeaderRow="0" firstDataRow="1" firstDataCol="1"/>
  <pivotFields count="17">
    <pivotField axis="axisRow" numFmtId="14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multipleItemSelectionAllowed="1" showAll="0" defaultSubtotal="0"/>
    <pivotField showAll="0" defaultSubtotal="0"/>
    <pivotField dataField="1" showAll="0" defaultSubtotal="0">
      <items count="42">
        <item x="33"/>
        <item x="30"/>
        <item x="29"/>
        <item x="10"/>
        <item x="34"/>
        <item x="32"/>
        <item x="31"/>
        <item x="13"/>
        <item x="27"/>
        <item x="28"/>
        <item x="11"/>
        <item x="37"/>
        <item x="35"/>
        <item x="36"/>
        <item x="39"/>
        <item x="14"/>
        <item x="16"/>
        <item x="17"/>
        <item x="18"/>
        <item m="1" x="41"/>
        <item x="12"/>
        <item x="15"/>
        <item x="19"/>
        <item x="20"/>
        <item x="21"/>
        <item x="22"/>
        <item x="23"/>
        <item x="24"/>
        <item x="25"/>
        <item x="26"/>
        <item m="1" x="40"/>
        <item x="0"/>
        <item x="1"/>
        <item x="2"/>
        <item x="3"/>
        <item x="4"/>
        <item x="5"/>
        <item x="6"/>
        <item x="7"/>
        <item x="8"/>
        <item x="9"/>
        <item x="38"/>
      </items>
    </pivotField>
    <pivotField dataField="1" showAll="0" defaultSubtotal="0"/>
    <pivotField dataField="1" numFmtId="164" showAll="0" defaultSubtotal="0"/>
    <pivotField dataField="1" showAll="0" defaultSubtotal="0"/>
    <pivotField dataField="1" showAll="0" defaultSubtotal="0"/>
    <pivotField showAll="0" defaultSubtotal="0"/>
    <pivotField numFmtId="1" showAll="0" defaultSubtotal="0"/>
    <pivotField numFmtId="1" showAll="0" defaultSubtotal="0"/>
    <pivotField dataField="1" showAll="0" defaultSubtotal="0"/>
    <pivotField numFmtId="2" showAll="0" defaultSubtotal="0"/>
    <pivotField dataField="1" numFmtId="164" showAll="0" defaultSubtotal="0"/>
    <pivotField numFmtId="1" showAll="0" defaultSubtotal="0"/>
    <pivotField showAll="0" defaultSubtotal="0"/>
    <pivotField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1"/>
        <item x="12"/>
        <item x="14"/>
      </items>
    </pivotField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 Т. Средн. ° С" fld="5" subtotal="average" baseField="0" baseItem="0" numFmtId="164"/>
    <dataField name=" Т. Макс. ° С" fld="6" subtotal="max" baseField="0" baseItem="0"/>
    <dataField name=" Т. Мин. ° С" fld="7" subtotal="min" baseField="0" baseItem="0"/>
    <dataField name="Средн.  Давление гПа" fld="13" subtotal="average" baseField="0" baseItem="0" numFmtId="164"/>
    <dataField name="Макс. Давление гПа2" fld="13" subtotal="max" baseField="0" baseItem="0"/>
    <dataField name="Мин. Давление гПа3" fld="13" subtotal="min" baseField="0" baseItem="0"/>
    <dataField name="Средн. скор. Ветра м/с" fld="3" subtotal="average" baseField="0" baseItem="0" numFmtId="1"/>
    <dataField name="Макс. скор. Ветра м/с" fld="3" subtotal="max" baseField="0" baseItem="0" numFmtId="1"/>
    <dataField name="Макс. Порыв Ветра м/с" fld="4" subtotal="max" baseField="0" baseItem="0" numFmtId="1"/>
    <dataField name=" Осадки за сутки мм" fld="11" baseField="0" baseItem="0" numFmtId="164"/>
  </dataFields>
  <formats count="52">
    <format dxfId="208">
      <pivotArea dataOnly="0" labelOnly="1" outline="0" axis="axisValues" fieldPosition="0"/>
    </format>
    <format dxfId="207">
      <pivotArea dataOnly="0" labelOnly="1" outline="0" axis="axisValues" fieldPosition="0"/>
    </format>
    <format dxfId="206">
      <pivotArea dataOnly="0" labelOnly="1" outline="0" axis="axisValues" fieldPosition="0"/>
    </format>
    <format dxfId="205">
      <pivotArea field="0" type="button" dataOnly="0" labelOnly="1" outline="0" axis="axisRow" fieldPosition="0"/>
    </format>
    <format dxfId="204">
      <pivotArea field="0" type="button" dataOnly="0" labelOnly="1" outline="0" axis="axisRow" fieldPosition="0"/>
    </format>
    <format dxfId="20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0">
      <pivotArea field="0" type="button" dataOnly="0" labelOnly="1" outline="0" axis="axisRow" fieldPosition="0"/>
    </format>
    <format dxfId="19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6">
      <pivotArea dataOnly="0" outline="0" fieldPosition="0">
        <references count="1">
          <reference field="4294967294" count="1">
            <x v="2"/>
          </reference>
        </references>
      </pivotArea>
    </format>
    <format dxfId="195">
      <pivotArea dataOnly="0" outline="0" fieldPosition="0">
        <references count="1">
          <reference field="4294967294" count="1">
            <x v="2"/>
          </reference>
        </references>
      </pivotArea>
    </format>
    <format dxfId="194">
      <pivotArea dataOnly="0" outline="0" fieldPosition="0">
        <references count="1">
          <reference field="4294967294" count="1">
            <x v="2"/>
          </reference>
        </references>
      </pivotArea>
    </format>
    <format dxfId="19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92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191">
      <pivotArea dataOnly="0" labelOnly="1" outline="0" fieldPosition="0">
        <references count="1">
          <reference field="4294967294" count="3">
            <x v="3"/>
            <x v="4"/>
            <x v="5"/>
          </reference>
        </references>
      </pivotArea>
    </format>
    <format dxfId="190">
      <pivotArea dataOnly="0" labelOnly="1" outline="0" fieldPosition="0">
        <references count="1">
          <reference field="4294967294" count="3">
            <x v="3"/>
            <x v="4"/>
            <x v="5"/>
          </reference>
        </references>
      </pivotArea>
    </format>
    <format dxfId="18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8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8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8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8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8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83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82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8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80">
      <pivotArea outline="0" collapsedLevelsAreSubtotals="1" fieldPosition="0">
        <references count="1">
          <reference field="4294967294" count="3" selected="0">
            <x v="6"/>
            <x v="7"/>
            <x v="8"/>
          </reference>
        </references>
      </pivotArea>
    </format>
    <format dxfId="179">
      <pivotArea field="0" type="button" dataOnly="0" labelOnly="1" outline="0" axis="axisRow" fieldPosition="0"/>
    </format>
    <format dxfId="178">
      <pivotArea dataOnly="0" labelOnly="1" fieldPosition="0">
        <references count="1">
          <reference field="0" count="0"/>
        </references>
      </pivotArea>
    </format>
    <format dxfId="17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75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74">
      <pivotArea type="all" dataOnly="0" outline="0" fieldPosition="0"/>
    </format>
    <format dxfId="173">
      <pivotArea outline="0" collapsedLevelsAreSubtotals="1" fieldPosition="0"/>
    </format>
    <format dxfId="172">
      <pivotArea field="0" type="button" dataOnly="0" labelOnly="1" outline="0" axis="axisRow" fieldPosition="0"/>
    </format>
    <format dxfId="171">
      <pivotArea dataOnly="0" labelOnly="1" fieldPosition="0">
        <references count="1">
          <reference field="0" count="0"/>
        </references>
      </pivotArea>
    </format>
    <format dxfId="170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69">
      <pivotArea outline="0" collapsedLevelsAreSubtotals="1" fieldPosition="0"/>
    </format>
    <format dxfId="168">
      <pivotArea outline="0" collapsedLevelsAreSubtotals="1" fieldPosition="0"/>
    </format>
    <format dxfId="167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166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65">
      <pivotArea collapsedLevelsAreSubtotals="1" fieldPosition="0">
        <references count="2">
          <reference field="4294967294" count="1" selected="0">
            <x v="1"/>
          </reference>
          <reference field="0" count="1">
            <x v="7"/>
          </reference>
        </references>
      </pivotArea>
    </format>
    <format dxfId="164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63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62">
      <pivotArea collapsedLevelsAreSubtotals="1" fieldPosition="0">
        <references count="2">
          <reference field="4294967294" count="1" selected="0">
            <x v="1"/>
          </reference>
          <reference field="0" count="1">
            <x v="7"/>
          </reference>
        </references>
      </pivotArea>
    </format>
    <format dxfId="161">
      <pivotArea collapsedLevelsAreSubtotals="1" fieldPosition="0">
        <references count="2">
          <reference field="4294967294" count="1" selected="0">
            <x v="1"/>
          </reference>
          <reference field="0" count="1">
            <x v="7"/>
          </reference>
        </references>
      </pivotArea>
    </format>
    <format dxfId="160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59">
      <pivotArea collapsedLevelsAreSubtotals="1" fieldPosition="0">
        <references count="1">
          <reference field="0" count="1">
            <x v="1"/>
          </reference>
        </references>
      </pivotArea>
    </format>
    <format dxfId="158">
      <pivotArea collapsedLevelsAreSubtotals="1" fieldPosition="0">
        <references count="2">
          <reference field="4294967294" count="1" selected="0">
            <x v="9"/>
          </reference>
          <reference field="0" count="1">
            <x v="1"/>
          </reference>
        </references>
      </pivotArea>
    </format>
    <format dxfId="157">
      <pivotArea collapsedLevelsAreSubtotals="1" fieldPosition="0">
        <references count="1">
          <reference field="0" count="1">
            <x v="1"/>
          </reference>
        </references>
      </pivotArea>
    </format>
  </formats>
  <pivotTableStyleInfo name="ку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5FC4B9-946A-44A6-B114-E1CA32399C08}" name="Сводная таблица9" cacheId="4" applyNumberFormats="0" applyBorderFormats="0" applyFontFormats="0" applyPatternFormats="0" applyAlignmentFormats="0" applyWidthHeightFormats="1" dataCaption="Значения" updatedVersion="7" minRefreshableVersion="3" useAutoFormatting="1" rowGrandTotals="0" itemPrintTitles="1" createdVersion="7" indent="0" outline="1" outlineData="1" multipleFieldFilters="0" rowHeaderCaption="Дата">
  <location ref="M3:N34" firstHeaderRow="1" firstDataRow="1" firstDataCol="1" rowPageCount="1" colPageCount="1"/>
  <pivotFields count="16">
    <pivotField axis="axisRow" numFmtId="14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Page" showAll="0">
      <items count="9">
        <item x="0"/>
        <item x="4"/>
        <item x="5"/>
        <item x="6"/>
        <item x="7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</rowItems>
  <colItems count="1">
    <i/>
  </colItems>
  <pageFields count="1">
    <pageField fld="1" item="7" hier="-1"/>
  </pageFields>
  <dataFields count="1">
    <dataField name=" Высота снега см" fld="9" baseField="0" baseItem="0"/>
  </dataFields>
  <formats count="15">
    <format dxfId="223">
      <pivotArea outline="0" collapsedLevelsAreSubtotals="1" fieldPosition="0"/>
    </format>
    <format dxfId="222">
      <pivotArea dataOnly="0" labelOnly="1" outline="0" fieldPosition="0">
        <references count="1">
          <reference field="1" count="1">
            <x v="7"/>
          </reference>
        </references>
      </pivotArea>
    </format>
    <format dxfId="221">
      <pivotArea dataOnly="0" labelOnly="1" outline="0" axis="axisValues" fieldPosition="0"/>
    </format>
    <format dxfId="220">
      <pivotArea outline="0" collapsedLevelsAreSubtotals="1" fieldPosition="0"/>
    </format>
    <format dxfId="219">
      <pivotArea dataOnly="0" labelOnly="1" outline="0" fieldPosition="0">
        <references count="1">
          <reference field="1" count="1">
            <x v="7"/>
          </reference>
        </references>
      </pivotArea>
    </format>
    <format dxfId="218">
      <pivotArea dataOnly="0" labelOnly="1" outline="0" axis="axisValues" fieldPosition="0"/>
    </format>
    <format dxfId="217">
      <pivotArea collapsedLevelsAreSubtotals="1" fieldPosition="0">
        <references count="1">
          <reference field="0" count="0"/>
        </references>
      </pivotArea>
    </format>
    <format dxfId="216">
      <pivotArea field="0" type="button" dataOnly="0" labelOnly="1" outline="0" axis="axisRow" fieldPosition="0"/>
    </format>
    <format dxfId="215">
      <pivotArea dataOnly="0" labelOnly="1" fieldPosition="0">
        <references count="1">
          <reference field="0" count="0"/>
        </references>
      </pivotArea>
    </format>
    <format dxfId="214">
      <pivotArea dataOnly="0" labelOnly="1" outline="0" axis="axisValues" fieldPosition="0"/>
    </format>
    <format dxfId="213">
      <pivotArea field="1" type="button" dataOnly="0" labelOnly="1" outline="0" axis="axisPage" fieldPosition="0"/>
    </format>
    <format dxfId="212">
      <pivotArea field="1" type="button" dataOnly="0" labelOnly="1" outline="0" axis="axisPage" fieldPosition="0"/>
    </format>
    <format dxfId="211">
      <pivotArea field="0" type="button" dataOnly="0" labelOnly="1" outline="0" axis="axisRow" fieldPosition="0"/>
    </format>
    <format dxfId="210">
      <pivotArea field="0" type="button" dataOnly="0" labelOnly="1" outline="0" axis="axisRow" fieldPosition="0"/>
    </format>
    <format dxfId="209">
      <pivotArea dataOnly="0" labelOnly="1" outline="0" axis="axisValues" fieldPosition="0"/>
    </format>
  </formats>
  <pivotTableStyleInfo name="ку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209C47-934C-421D-A53F-9DAAE77F1055}" name="Сводная таблица8" cacheId="3" applyNumberFormats="0" applyBorderFormats="0" applyFontFormats="0" applyPatternFormats="0" applyAlignmentFormats="0" applyWidthHeightFormats="1" dataCaption="Значения" grandTotalCaption="Сутки" updatedVersion="7" minRefreshableVersion="3" useAutoFormatting="1" rowGrandTotals="0" itemPrintTitles="1" createdVersion="7" indent="0" outline="1" outlineData="1" multipleFieldFilters="0" rowHeaderCaption="Дата">
  <location ref="P2:S34" firstHeaderRow="1" firstDataRow="2" firstDataCol="1"/>
  <pivotFields count="17">
    <pivotField axis="axisRow" numFmtId="14" showAll="0">
      <items count="3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Col" showAll="0">
      <items count="3">
        <item n="День" sd="0" x="0"/>
        <item n="Ночь" sd="0" x="1"/>
        <item t="default"/>
      </items>
    </pivotField>
  </pivotFields>
  <rowFields count="2">
    <field x="0"/>
    <field x="1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</rowItems>
  <colFields count="1">
    <field x="16"/>
  </colFields>
  <colItems count="3">
    <i>
      <x/>
    </i>
    <i>
      <x v="1"/>
    </i>
    <i t="grand">
      <x/>
    </i>
  </colItems>
  <dataFields count="1">
    <dataField name="Осадки  мм" fld="11" baseField="0" baseItem="0"/>
  </dataFields>
  <formats count="137">
    <format dxfId="360">
      <pivotArea collapsedLevelsAreSubtotals="1" fieldPosition="0">
        <references count="1">
          <reference field="0" count="1">
            <x v="0"/>
          </reference>
        </references>
      </pivotArea>
    </format>
    <format dxfId="359">
      <pivotArea collapsedLevelsAreSubtotals="1" fieldPosition="0">
        <references count="2">
          <reference field="0" count="1" selected="0">
            <x v="0"/>
          </reference>
          <reference field="16" count="1">
            <x v="0"/>
          </reference>
        </references>
      </pivotArea>
    </format>
    <format dxfId="358">
      <pivotArea collapsedLevelsAreSubtotals="1" fieldPosition="0">
        <references count="2">
          <reference field="0" count="1" selected="0">
            <x v="0"/>
          </reference>
          <reference field="16" count="1">
            <x v="1"/>
          </reference>
        </references>
      </pivotArea>
    </format>
    <format dxfId="357">
      <pivotArea collapsedLevelsAreSubtotals="1" fieldPosition="0">
        <references count="1">
          <reference field="0" count="1">
            <x v="1"/>
          </reference>
        </references>
      </pivotArea>
    </format>
    <format dxfId="356">
      <pivotArea collapsedLevelsAreSubtotals="1" fieldPosition="0">
        <references count="2">
          <reference field="0" count="1" selected="0">
            <x v="1"/>
          </reference>
          <reference field="16" count="1">
            <x v="0"/>
          </reference>
        </references>
      </pivotArea>
    </format>
    <format dxfId="355">
      <pivotArea collapsedLevelsAreSubtotals="1" fieldPosition="0">
        <references count="2">
          <reference field="0" count="1" selected="0">
            <x v="1"/>
          </reference>
          <reference field="16" count="1">
            <x v="1"/>
          </reference>
        </references>
      </pivotArea>
    </format>
    <format dxfId="354">
      <pivotArea collapsedLevelsAreSubtotals="1" fieldPosition="0">
        <references count="1">
          <reference field="0" count="1">
            <x v="2"/>
          </reference>
        </references>
      </pivotArea>
    </format>
    <format dxfId="353">
      <pivotArea collapsedLevelsAreSubtotals="1" fieldPosition="0">
        <references count="2">
          <reference field="0" count="1" selected="0">
            <x v="2"/>
          </reference>
          <reference field="16" count="1">
            <x v="0"/>
          </reference>
        </references>
      </pivotArea>
    </format>
    <format dxfId="352">
      <pivotArea collapsedLevelsAreSubtotals="1" fieldPosition="0">
        <references count="2">
          <reference field="0" count="1" selected="0">
            <x v="2"/>
          </reference>
          <reference field="16" count="1">
            <x v="1"/>
          </reference>
        </references>
      </pivotArea>
    </format>
    <format dxfId="351">
      <pivotArea collapsedLevelsAreSubtotals="1" fieldPosition="0">
        <references count="1">
          <reference field="0" count="1">
            <x v="3"/>
          </reference>
        </references>
      </pivotArea>
    </format>
    <format dxfId="350">
      <pivotArea collapsedLevelsAreSubtotals="1" fieldPosition="0">
        <references count="2">
          <reference field="0" count="1" selected="0">
            <x v="3"/>
          </reference>
          <reference field="16" count="1">
            <x v="0"/>
          </reference>
        </references>
      </pivotArea>
    </format>
    <format dxfId="349">
      <pivotArea collapsedLevelsAreSubtotals="1" fieldPosition="0">
        <references count="2">
          <reference field="0" count="1" selected="0">
            <x v="3"/>
          </reference>
          <reference field="16" count="1">
            <x v="1"/>
          </reference>
        </references>
      </pivotArea>
    </format>
    <format dxfId="348">
      <pivotArea collapsedLevelsAreSubtotals="1" fieldPosition="0">
        <references count="1">
          <reference field="0" count="1">
            <x v="4"/>
          </reference>
        </references>
      </pivotArea>
    </format>
    <format dxfId="347">
      <pivotArea collapsedLevelsAreSubtotals="1" fieldPosition="0">
        <references count="2">
          <reference field="0" count="1" selected="0">
            <x v="4"/>
          </reference>
          <reference field="16" count="1">
            <x v="0"/>
          </reference>
        </references>
      </pivotArea>
    </format>
    <format dxfId="346">
      <pivotArea collapsedLevelsAreSubtotals="1" fieldPosition="0">
        <references count="2">
          <reference field="0" count="1" selected="0">
            <x v="4"/>
          </reference>
          <reference field="16" count="1">
            <x v="1"/>
          </reference>
        </references>
      </pivotArea>
    </format>
    <format dxfId="345">
      <pivotArea collapsedLevelsAreSubtotals="1" fieldPosition="0">
        <references count="1">
          <reference field="0" count="1">
            <x v="5"/>
          </reference>
        </references>
      </pivotArea>
    </format>
    <format dxfId="344">
      <pivotArea collapsedLevelsAreSubtotals="1" fieldPosition="0">
        <references count="2">
          <reference field="0" count="1" selected="0">
            <x v="5"/>
          </reference>
          <reference field="16" count="1">
            <x v="0"/>
          </reference>
        </references>
      </pivotArea>
    </format>
    <format dxfId="343">
      <pivotArea collapsedLevelsAreSubtotals="1" fieldPosition="0">
        <references count="2">
          <reference field="0" count="1" selected="0">
            <x v="5"/>
          </reference>
          <reference field="16" count="1">
            <x v="1"/>
          </reference>
        </references>
      </pivotArea>
    </format>
    <format dxfId="342">
      <pivotArea collapsedLevelsAreSubtotals="1" fieldPosition="0">
        <references count="1">
          <reference field="0" count="1">
            <x v="6"/>
          </reference>
        </references>
      </pivotArea>
    </format>
    <format dxfId="341">
      <pivotArea collapsedLevelsAreSubtotals="1" fieldPosition="0">
        <references count="2">
          <reference field="0" count="1" selected="0">
            <x v="6"/>
          </reference>
          <reference field="16" count="1">
            <x v="0"/>
          </reference>
        </references>
      </pivotArea>
    </format>
    <format dxfId="340">
      <pivotArea collapsedLevelsAreSubtotals="1" fieldPosition="0">
        <references count="2">
          <reference field="0" count="1" selected="0">
            <x v="6"/>
          </reference>
          <reference field="16" count="1">
            <x v="1"/>
          </reference>
        </references>
      </pivotArea>
    </format>
    <format dxfId="339">
      <pivotArea collapsedLevelsAreSubtotals="1" fieldPosition="0">
        <references count="1">
          <reference field="0" count="1">
            <x v="7"/>
          </reference>
        </references>
      </pivotArea>
    </format>
    <format dxfId="338">
      <pivotArea collapsedLevelsAreSubtotals="1" fieldPosition="0">
        <references count="2">
          <reference field="0" count="1" selected="0">
            <x v="7"/>
          </reference>
          <reference field="16" count="1">
            <x v="0"/>
          </reference>
        </references>
      </pivotArea>
    </format>
    <format dxfId="337">
      <pivotArea collapsedLevelsAreSubtotals="1" fieldPosition="0">
        <references count="2">
          <reference field="0" count="1" selected="0">
            <x v="7"/>
          </reference>
          <reference field="16" count="1">
            <x v="1"/>
          </reference>
        </references>
      </pivotArea>
    </format>
    <format dxfId="336">
      <pivotArea collapsedLevelsAreSubtotals="1" fieldPosition="0">
        <references count="1">
          <reference field="0" count="1">
            <x v="8"/>
          </reference>
        </references>
      </pivotArea>
    </format>
    <format dxfId="335">
      <pivotArea collapsedLevelsAreSubtotals="1" fieldPosition="0">
        <references count="2">
          <reference field="0" count="1" selected="0">
            <x v="8"/>
          </reference>
          <reference field="16" count="1">
            <x v="0"/>
          </reference>
        </references>
      </pivotArea>
    </format>
    <format dxfId="334">
      <pivotArea collapsedLevelsAreSubtotals="1" fieldPosition="0">
        <references count="2">
          <reference field="0" count="1" selected="0">
            <x v="8"/>
          </reference>
          <reference field="16" count="1">
            <x v="1"/>
          </reference>
        </references>
      </pivotArea>
    </format>
    <format dxfId="333">
      <pivotArea collapsedLevelsAreSubtotals="1" fieldPosition="0">
        <references count="1">
          <reference field="0" count="1">
            <x v="9"/>
          </reference>
        </references>
      </pivotArea>
    </format>
    <format dxfId="332">
      <pivotArea collapsedLevelsAreSubtotals="1" fieldPosition="0">
        <references count="2">
          <reference field="0" count="1" selected="0">
            <x v="9"/>
          </reference>
          <reference field="16" count="1">
            <x v="0"/>
          </reference>
        </references>
      </pivotArea>
    </format>
    <format dxfId="331">
      <pivotArea collapsedLevelsAreSubtotals="1" fieldPosition="0">
        <references count="2">
          <reference field="0" count="1" selected="0">
            <x v="9"/>
          </reference>
          <reference field="16" count="1">
            <x v="1"/>
          </reference>
        </references>
      </pivotArea>
    </format>
    <format dxfId="330">
      <pivotArea collapsedLevelsAreSubtotals="1" fieldPosition="0">
        <references count="1">
          <reference field="0" count="1">
            <x v="10"/>
          </reference>
        </references>
      </pivotArea>
    </format>
    <format dxfId="329">
      <pivotArea collapsedLevelsAreSubtotals="1" fieldPosition="0">
        <references count="2">
          <reference field="0" count="1" selected="0">
            <x v="10"/>
          </reference>
          <reference field="16" count="1">
            <x v="0"/>
          </reference>
        </references>
      </pivotArea>
    </format>
    <format dxfId="328">
      <pivotArea collapsedLevelsAreSubtotals="1" fieldPosition="0">
        <references count="2">
          <reference field="0" count="1" selected="0">
            <x v="10"/>
          </reference>
          <reference field="16" count="1">
            <x v="1"/>
          </reference>
        </references>
      </pivotArea>
    </format>
    <format dxfId="327">
      <pivotArea collapsedLevelsAreSubtotals="1" fieldPosition="0">
        <references count="1">
          <reference field="0" count="1">
            <x v="11"/>
          </reference>
        </references>
      </pivotArea>
    </format>
    <format dxfId="326">
      <pivotArea collapsedLevelsAreSubtotals="1" fieldPosition="0">
        <references count="2">
          <reference field="0" count="1" selected="0">
            <x v="11"/>
          </reference>
          <reference field="16" count="1">
            <x v="0"/>
          </reference>
        </references>
      </pivotArea>
    </format>
    <format dxfId="325">
      <pivotArea collapsedLevelsAreSubtotals="1" fieldPosition="0">
        <references count="2">
          <reference field="0" count="1" selected="0">
            <x v="11"/>
          </reference>
          <reference field="16" count="1">
            <x v="1"/>
          </reference>
        </references>
      </pivotArea>
    </format>
    <format dxfId="324">
      <pivotArea collapsedLevelsAreSubtotals="1" fieldPosition="0">
        <references count="1">
          <reference field="0" count="1">
            <x v="12"/>
          </reference>
        </references>
      </pivotArea>
    </format>
    <format dxfId="323">
      <pivotArea collapsedLevelsAreSubtotals="1" fieldPosition="0">
        <references count="2">
          <reference field="0" count="1" selected="0">
            <x v="12"/>
          </reference>
          <reference field="16" count="1">
            <x v="0"/>
          </reference>
        </references>
      </pivotArea>
    </format>
    <format dxfId="322">
      <pivotArea collapsedLevelsAreSubtotals="1" fieldPosition="0">
        <references count="2">
          <reference field="0" count="1" selected="0">
            <x v="12"/>
          </reference>
          <reference field="16" count="1">
            <x v="1"/>
          </reference>
        </references>
      </pivotArea>
    </format>
    <format dxfId="321">
      <pivotArea collapsedLevelsAreSubtotals="1" fieldPosition="0">
        <references count="1">
          <reference field="0" count="1">
            <x v="13"/>
          </reference>
        </references>
      </pivotArea>
    </format>
    <format dxfId="320">
      <pivotArea collapsedLevelsAreSubtotals="1" fieldPosition="0">
        <references count="2">
          <reference field="0" count="1" selected="0">
            <x v="13"/>
          </reference>
          <reference field="16" count="1">
            <x v="0"/>
          </reference>
        </references>
      </pivotArea>
    </format>
    <format dxfId="319">
      <pivotArea collapsedLevelsAreSubtotals="1" fieldPosition="0">
        <references count="2">
          <reference field="0" count="1" selected="0">
            <x v="13"/>
          </reference>
          <reference field="16" count="1">
            <x v="1"/>
          </reference>
        </references>
      </pivotArea>
    </format>
    <format dxfId="318">
      <pivotArea collapsedLevelsAreSubtotals="1" fieldPosition="0">
        <references count="1">
          <reference field="0" count="1">
            <x v="14"/>
          </reference>
        </references>
      </pivotArea>
    </format>
    <format dxfId="317">
      <pivotArea collapsedLevelsAreSubtotals="1" fieldPosition="0">
        <references count="2">
          <reference field="0" count="1" selected="0">
            <x v="14"/>
          </reference>
          <reference field="16" count="1">
            <x v="0"/>
          </reference>
        </references>
      </pivotArea>
    </format>
    <format dxfId="316">
      <pivotArea collapsedLevelsAreSubtotals="1" fieldPosition="0">
        <references count="2">
          <reference field="0" count="1" selected="0">
            <x v="14"/>
          </reference>
          <reference field="16" count="1">
            <x v="1"/>
          </reference>
        </references>
      </pivotArea>
    </format>
    <format dxfId="315">
      <pivotArea collapsedLevelsAreSubtotals="1" fieldPosition="0">
        <references count="1">
          <reference field="0" count="1">
            <x v="15"/>
          </reference>
        </references>
      </pivotArea>
    </format>
    <format dxfId="314">
      <pivotArea collapsedLevelsAreSubtotals="1" fieldPosition="0">
        <references count="2">
          <reference field="0" count="1" selected="0">
            <x v="15"/>
          </reference>
          <reference field="16" count="1">
            <x v="0"/>
          </reference>
        </references>
      </pivotArea>
    </format>
    <format dxfId="313">
      <pivotArea collapsedLevelsAreSubtotals="1" fieldPosition="0">
        <references count="2">
          <reference field="0" count="1" selected="0">
            <x v="15"/>
          </reference>
          <reference field="16" count="1">
            <x v="1"/>
          </reference>
        </references>
      </pivotArea>
    </format>
    <format dxfId="312">
      <pivotArea collapsedLevelsAreSubtotals="1" fieldPosition="0">
        <references count="1">
          <reference field="0" count="1">
            <x v="16"/>
          </reference>
        </references>
      </pivotArea>
    </format>
    <format dxfId="311">
      <pivotArea collapsedLevelsAreSubtotals="1" fieldPosition="0">
        <references count="2">
          <reference field="0" count="1" selected="0">
            <x v="16"/>
          </reference>
          <reference field="16" count="1">
            <x v="0"/>
          </reference>
        </references>
      </pivotArea>
    </format>
    <format dxfId="310">
      <pivotArea collapsedLevelsAreSubtotals="1" fieldPosition="0">
        <references count="2">
          <reference field="0" count="1" selected="0">
            <x v="16"/>
          </reference>
          <reference field="16" count="1">
            <x v="1"/>
          </reference>
        </references>
      </pivotArea>
    </format>
    <format dxfId="309">
      <pivotArea collapsedLevelsAreSubtotals="1" fieldPosition="0">
        <references count="1">
          <reference field="0" count="1">
            <x v="17"/>
          </reference>
        </references>
      </pivotArea>
    </format>
    <format dxfId="308">
      <pivotArea collapsedLevelsAreSubtotals="1" fieldPosition="0">
        <references count="2">
          <reference field="0" count="1" selected="0">
            <x v="17"/>
          </reference>
          <reference field="16" count="1">
            <x v="0"/>
          </reference>
        </references>
      </pivotArea>
    </format>
    <format dxfId="307">
      <pivotArea collapsedLevelsAreSubtotals="1" fieldPosition="0">
        <references count="2">
          <reference field="0" count="1" selected="0">
            <x v="17"/>
          </reference>
          <reference field="16" count="1">
            <x v="1"/>
          </reference>
        </references>
      </pivotArea>
    </format>
    <format dxfId="306">
      <pivotArea collapsedLevelsAreSubtotals="1" fieldPosition="0">
        <references count="1">
          <reference field="0" count="1">
            <x v="18"/>
          </reference>
        </references>
      </pivotArea>
    </format>
    <format dxfId="305">
      <pivotArea collapsedLevelsAreSubtotals="1" fieldPosition="0">
        <references count="2">
          <reference field="0" count="1" selected="0">
            <x v="18"/>
          </reference>
          <reference field="16" count="1">
            <x v="0"/>
          </reference>
        </references>
      </pivotArea>
    </format>
    <format dxfId="304">
      <pivotArea collapsedLevelsAreSubtotals="1" fieldPosition="0">
        <references count="2">
          <reference field="0" count="1" selected="0">
            <x v="18"/>
          </reference>
          <reference field="16" count="1">
            <x v="1"/>
          </reference>
        </references>
      </pivotArea>
    </format>
    <format dxfId="303">
      <pivotArea collapsedLevelsAreSubtotals="1" fieldPosition="0">
        <references count="1">
          <reference field="0" count="1">
            <x v="19"/>
          </reference>
        </references>
      </pivotArea>
    </format>
    <format dxfId="302">
      <pivotArea collapsedLevelsAreSubtotals="1" fieldPosition="0">
        <references count="2">
          <reference field="0" count="1" selected="0">
            <x v="19"/>
          </reference>
          <reference field="16" count="1">
            <x v="0"/>
          </reference>
        </references>
      </pivotArea>
    </format>
    <format dxfId="301">
      <pivotArea collapsedLevelsAreSubtotals="1" fieldPosition="0">
        <references count="2">
          <reference field="0" count="1" selected="0">
            <x v="19"/>
          </reference>
          <reference field="16" count="1">
            <x v="1"/>
          </reference>
        </references>
      </pivotArea>
    </format>
    <format dxfId="300">
      <pivotArea collapsedLevelsAreSubtotals="1" fieldPosition="0">
        <references count="1">
          <reference field="0" count="1">
            <x v="20"/>
          </reference>
        </references>
      </pivotArea>
    </format>
    <format dxfId="299">
      <pivotArea collapsedLevelsAreSubtotals="1" fieldPosition="0">
        <references count="2">
          <reference field="0" count="1" selected="0">
            <x v="20"/>
          </reference>
          <reference field="16" count="1">
            <x v="0"/>
          </reference>
        </references>
      </pivotArea>
    </format>
    <format dxfId="298">
      <pivotArea collapsedLevelsAreSubtotals="1" fieldPosition="0">
        <references count="2">
          <reference field="0" count="1" selected="0">
            <x v="20"/>
          </reference>
          <reference field="16" count="1">
            <x v="1"/>
          </reference>
        </references>
      </pivotArea>
    </format>
    <format dxfId="297">
      <pivotArea collapsedLevelsAreSubtotals="1" fieldPosition="0">
        <references count="1">
          <reference field="0" count="1">
            <x v="21"/>
          </reference>
        </references>
      </pivotArea>
    </format>
    <format dxfId="296">
      <pivotArea collapsedLevelsAreSubtotals="1" fieldPosition="0">
        <references count="2">
          <reference field="0" count="1" selected="0">
            <x v="21"/>
          </reference>
          <reference field="16" count="1">
            <x v="0"/>
          </reference>
        </references>
      </pivotArea>
    </format>
    <format dxfId="295">
      <pivotArea collapsedLevelsAreSubtotals="1" fieldPosition="0">
        <references count="2">
          <reference field="0" count="1" selected="0">
            <x v="21"/>
          </reference>
          <reference field="16" count="1">
            <x v="1"/>
          </reference>
        </references>
      </pivotArea>
    </format>
    <format dxfId="294">
      <pivotArea collapsedLevelsAreSubtotals="1" fieldPosition="0">
        <references count="1">
          <reference field="0" count="1">
            <x v="22"/>
          </reference>
        </references>
      </pivotArea>
    </format>
    <format dxfId="293">
      <pivotArea collapsedLevelsAreSubtotals="1" fieldPosition="0">
        <references count="2">
          <reference field="0" count="1" selected="0">
            <x v="22"/>
          </reference>
          <reference field="16" count="1">
            <x v="0"/>
          </reference>
        </references>
      </pivotArea>
    </format>
    <format dxfId="292">
      <pivotArea collapsedLevelsAreSubtotals="1" fieldPosition="0">
        <references count="2">
          <reference field="0" count="1" selected="0">
            <x v="22"/>
          </reference>
          <reference field="16" count="1">
            <x v="1"/>
          </reference>
        </references>
      </pivotArea>
    </format>
    <format dxfId="291">
      <pivotArea collapsedLevelsAreSubtotals="1" fieldPosition="0">
        <references count="1">
          <reference field="0" count="1">
            <x v="23"/>
          </reference>
        </references>
      </pivotArea>
    </format>
    <format dxfId="290">
      <pivotArea collapsedLevelsAreSubtotals="1" fieldPosition="0">
        <references count="2">
          <reference field="0" count="1" selected="0">
            <x v="23"/>
          </reference>
          <reference field="16" count="1">
            <x v="0"/>
          </reference>
        </references>
      </pivotArea>
    </format>
    <format dxfId="289">
      <pivotArea collapsedLevelsAreSubtotals="1" fieldPosition="0">
        <references count="2">
          <reference field="0" count="1" selected="0">
            <x v="23"/>
          </reference>
          <reference field="16" count="1">
            <x v="1"/>
          </reference>
        </references>
      </pivotArea>
    </format>
    <format dxfId="288">
      <pivotArea collapsedLevelsAreSubtotals="1" fieldPosition="0">
        <references count="1">
          <reference field="0" count="1">
            <x v="24"/>
          </reference>
        </references>
      </pivotArea>
    </format>
    <format dxfId="287">
      <pivotArea collapsedLevelsAreSubtotals="1" fieldPosition="0">
        <references count="2">
          <reference field="0" count="1" selected="0">
            <x v="24"/>
          </reference>
          <reference field="16" count="1">
            <x v="0"/>
          </reference>
        </references>
      </pivotArea>
    </format>
    <format dxfId="286">
      <pivotArea collapsedLevelsAreSubtotals="1" fieldPosition="0">
        <references count="2">
          <reference field="0" count="1" selected="0">
            <x v="24"/>
          </reference>
          <reference field="16" count="1">
            <x v="1"/>
          </reference>
        </references>
      </pivotArea>
    </format>
    <format dxfId="285">
      <pivotArea collapsedLevelsAreSubtotals="1" fieldPosition="0">
        <references count="1">
          <reference field="0" count="1">
            <x v="25"/>
          </reference>
        </references>
      </pivotArea>
    </format>
    <format dxfId="284">
      <pivotArea collapsedLevelsAreSubtotals="1" fieldPosition="0">
        <references count="2">
          <reference field="0" count="1" selected="0">
            <x v="25"/>
          </reference>
          <reference field="16" count="1">
            <x v="0"/>
          </reference>
        </references>
      </pivotArea>
    </format>
    <format dxfId="283">
      <pivotArea collapsedLevelsAreSubtotals="1" fieldPosition="0">
        <references count="2">
          <reference field="0" count="1" selected="0">
            <x v="25"/>
          </reference>
          <reference field="16" count="1">
            <x v="1"/>
          </reference>
        </references>
      </pivotArea>
    </format>
    <format dxfId="282">
      <pivotArea collapsedLevelsAreSubtotals="1" fieldPosition="0">
        <references count="1">
          <reference field="0" count="1">
            <x v="26"/>
          </reference>
        </references>
      </pivotArea>
    </format>
    <format dxfId="281">
      <pivotArea collapsedLevelsAreSubtotals="1" fieldPosition="0">
        <references count="2">
          <reference field="0" count="1" selected="0">
            <x v="26"/>
          </reference>
          <reference field="16" count="1">
            <x v="0"/>
          </reference>
        </references>
      </pivotArea>
    </format>
    <format dxfId="280">
      <pivotArea collapsedLevelsAreSubtotals="1" fieldPosition="0">
        <references count="2">
          <reference field="0" count="1" selected="0">
            <x v="26"/>
          </reference>
          <reference field="16" count="1">
            <x v="1"/>
          </reference>
        </references>
      </pivotArea>
    </format>
    <format dxfId="279">
      <pivotArea collapsedLevelsAreSubtotals="1" fieldPosition="0">
        <references count="1">
          <reference field="0" count="1">
            <x v="27"/>
          </reference>
        </references>
      </pivotArea>
    </format>
    <format dxfId="278">
      <pivotArea collapsedLevelsAreSubtotals="1" fieldPosition="0">
        <references count="2">
          <reference field="0" count="1" selected="0">
            <x v="27"/>
          </reference>
          <reference field="16" count="1">
            <x v="0"/>
          </reference>
        </references>
      </pivotArea>
    </format>
    <format dxfId="277">
      <pivotArea collapsedLevelsAreSubtotals="1" fieldPosition="0">
        <references count="2">
          <reference field="0" count="1" selected="0">
            <x v="27"/>
          </reference>
          <reference field="16" count="1">
            <x v="1"/>
          </reference>
        </references>
      </pivotArea>
    </format>
    <format dxfId="276">
      <pivotArea collapsedLevelsAreSubtotals="1" fieldPosition="0">
        <references count="1">
          <reference field="0" count="1">
            <x v="28"/>
          </reference>
        </references>
      </pivotArea>
    </format>
    <format dxfId="275">
      <pivotArea collapsedLevelsAreSubtotals="1" fieldPosition="0">
        <references count="2">
          <reference field="0" count="1" selected="0">
            <x v="28"/>
          </reference>
          <reference field="16" count="1">
            <x v="0"/>
          </reference>
        </references>
      </pivotArea>
    </format>
    <format dxfId="274">
      <pivotArea collapsedLevelsAreSubtotals="1" fieldPosition="0">
        <references count="2">
          <reference field="0" count="1" selected="0">
            <x v="28"/>
          </reference>
          <reference field="16" count="1">
            <x v="1"/>
          </reference>
        </references>
      </pivotArea>
    </format>
    <format dxfId="273">
      <pivotArea collapsedLevelsAreSubtotals="1" fieldPosition="0">
        <references count="1">
          <reference field="0" count="1">
            <x v="29"/>
          </reference>
        </references>
      </pivotArea>
    </format>
    <format dxfId="272">
      <pivotArea collapsedLevelsAreSubtotals="1" fieldPosition="0">
        <references count="2">
          <reference field="0" count="1" selected="0">
            <x v="29"/>
          </reference>
          <reference field="16" count="1">
            <x v="0"/>
          </reference>
        </references>
      </pivotArea>
    </format>
    <format dxfId="271">
      <pivotArea collapsedLevelsAreSubtotals="1" fieldPosition="0">
        <references count="2">
          <reference field="0" count="1" selected="0">
            <x v="29"/>
          </reference>
          <reference field="16" count="1">
            <x v="1"/>
          </reference>
        </references>
      </pivotArea>
    </format>
    <format dxfId="270">
      <pivotArea collapsedLevelsAreSubtotals="1" fieldPosition="0">
        <references count="1">
          <reference field="0" count="1">
            <x v="30"/>
          </reference>
        </references>
      </pivotArea>
    </format>
    <format dxfId="269">
      <pivotArea collapsedLevelsAreSubtotals="1" fieldPosition="0">
        <references count="2">
          <reference field="0" count="1" selected="0">
            <x v="30"/>
          </reference>
          <reference field="16" count="1">
            <x v="0"/>
          </reference>
        </references>
      </pivotArea>
    </format>
    <format dxfId="268">
      <pivotArea collapsedLevelsAreSubtotals="1" fieldPosition="0">
        <references count="2">
          <reference field="0" count="1" selected="0">
            <x v="30"/>
          </reference>
          <reference field="16" count="1">
            <x v="1"/>
          </reference>
        </references>
      </pivotArea>
    </format>
    <format dxfId="267">
      <pivotArea field="0" type="button" dataOnly="0" labelOnly="1" outline="0" axis="axisRow" fieldPosition="0"/>
    </format>
    <format dxfId="266">
      <pivotArea dataOnly="0" labelOnly="1" fieldPosition="0">
        <references count="1">
          <reference field="0" count="0"/>
        </references>
      </pivotArea>
    </format>
    <format dxfId="265">
      <pivotArea dataOnly="0" labelOnly="1" fieldPosition="0">
        <references count="2">
          <reference field="0" count="1" selected="0">
            <x v="0"/>
          </reference>
          <reference field="16" count="0"/>
        </references>
      </pivotArea>
    </format>
    <format dxfId="264">
      <pivotArea dataOnly="0" labelOnly="1" fieldPosition="0">
        <references count="2">
          <reference field="0" count="1" selected="0">
            <x v="1"/>
          </reference>
          <reference field="16" count="0"/>
        </references>
      </pivotArea>
    </format>
    <format dxfId="263">
      <pivotArea dataOnly="0" labelOnly="1" fieldPosition="0">
        <references count="2">
          <reference field="0" count="1" selected="0">
            <x v="2"/>
          </reference>
          <reference field="16" count="0"/>
        </references>
      </pivotArea>
    </format>
    <format dxfId="262">
      <pivotArea dataOnly="0" labelOnly="1" fieldPosition="0">
        <references count="2">
          <reference field="0" count="1" selected="0">
            <x v="3"/>
          </reference>
          <reference field="16" count="0"/>
        </references>
      </pivotArea>
    </format>
    <format dxfId="261">
      <pivotArea dataOnly="0" labelOnly="1" fieldPosition="0">
        <references count="2">
          <reference field="0" count="1" selected="0">
            <x v="4"/>
          </reference>
          <reference field="16" count="0"/>
        </references>
      </pivotArea>
    </format>
    <format dxfId="260">
      <pivotArea dataOnly="0" labelOnly="1" fieldPosition="0">
        <references count="2">
          <reference field="0" count="1" selected="0">
            <x v="5"/>
          </reference>
          <reference field="16" count="0"/>
        </references>
      </pivotArea>
    </format>
    <format dxfId="259">
      <pivotArea dataOnly="0" labelOnly="1" fieldPosition="0">
        <references count="2">
          <reference field="0" count="1" selected="0">
            <x v="6"/>
          </reference>
          <reference field="16" count="0"/>
        </references>
      </pivotArea>
    </format>
    <format dxfId="258">
      <pivotArea dataOnly="0" labelOnly="1" fieldPosition="0">
        <references count="2">
          <reference field="0" count="1" selected="0">
            <x v="7"/>
          </reference>
          <reference field="16" count="0"/>
        </references>
      </pivotArea>
    </format>
    <format dxfId="257">
      <pivotArea dataOnly="0" labelOnly="1" fieldPosition="0">
        <references count="2">
          <reference field="0" count="1" selected="0">
            <x v="8"/>
          </reference>
          <reference field="16" count="0"/>
        </references>
      </pivotArea>
    </format>
    <format dxfId="256">
      <pivotArea dataOnly="0" labelOnly="1" fieldPosition="0">
        <references count="2">
          <reference field="0" count="1" selected="0">
            <x v="9"/>
          </reference>
          <reference field="16" count="0"/>
        </references>
      </pivotArea>
    </format>
    <format dxfId="255">
      <pivotArea dataOnly="0" labelOnly="1" fieldPosition="0">
        <references count="2">
          <reference field="0" count="1" selected="0">
            <x v="10"/>
          </reference>
          <reference field="16" count="0"/>
        </references>
      </pivotArea>
    </format>
    <format dxfId="254">
      <pivotArea dataOnly="0" labelOnly="1" fieldPosition="0">
        <references count="2">
          <reference field="0" count="1" selected="0">
            <x v="11"/>
          </reference>
          <reference field="16" count="0"/>
        </references>
      </pivotArea>
    </format>
    <format dxfId="253">
      <pivotArea dataOnly="0" labelOnly="1" fieldPosition="0">
        <references count="2">
          <reference field="0" count="1" selected="0">
            <x v="12"/>
          </reference>
          <reference field="16" count="0"/>
        </references>
      </pivotArea>
    </format>
    <format dxfId="252">
      <pivotArea dataOnly="0" labelOnly="1" fieldPosition="0">
        <references count="2">
          <reference field="0" count="1" selected="0">
            <x v="13"/>
          </reference>
          <reference field="16" count="0"/>
        </references>
      </pivotArea>
    </format>
    <format dxfId="251">
      <pivotArea dataOnly="0" labelOnly="1" fieldPosition="0">
        <references count="2">
          <reference field="0" count="1" selected="0">
            <x v="14"/>
          </reference>
          <reference field="16" count="0"/>
        </references>
      </pivotArea>
    </format>
    <format dxfId="250">
      <pivotArea dataOnly="0" labelOnly="1" fieldPosition="0">
        <references count="2">
          <reference field="0" count="1" selected="0">
            <x v="15"/>
          </reference>
          <reference field="16" count="0"/>
        </references>
      </pivotArea>
    </format>
    <format dxfId="249">
      <pivotArea dataOnly="0" labelOnly="1" fieldPosition="0">
        <references count="2">
          <reference field="0" count="1" selected="0">
            <x v="16"/>
          </reference>
          <reference field="16" count="0"/>
        </references>
      </pivotArea>
    </format>
    <format dxfId="248">
      <pivotArea dataOnly="0" labelOnly="1" fieldPosition="0">
        <references count="2">
          <reference field="0" count="1" selected="0">
            <x v="17"/>
          </reference>
          <reference field="16" count="0"/>
        </references>
      </pivotArea>
    </format>
    <format dxfId="247">
      <pivotArea dataOnly="0" labelOnly="1" fieldPosition="0">
        <references count="2">
          <reference field="0" count="1" selected="0">
            <x v="18"/>
          </reference>
          <reference field="16" count="0"/>
        </references>
      </pivotArea>
    </format>
    <format dxfId="246">
      <pivotArea dataOnly="0" labelOnly="1" fieldPosition="0">
        <references count="2">
          <reference field="0" count="1" selected="0">
            <x v="19"/>
          </reference>
          <reference field="16" count="0"/>
        </references>
      </pivotArea>
    </format>
    <format dxfId="245">
      <pivotArea dataOnly="0" labelOnly="1" fieldPosition="0">
        <references count="2">
          <reference field="0" count="1" selected="0">
            <x v="20"/>
          </reference>
          <reference field="16" count="0"/>
        </references>
      </pivotArea>
    </format>
    <format dxfId="244">
      <pivotArea dataOnly="0" labelOnly="1" fieldPosition="0">
        <references count="2">
          <reference field="0" count="1" selected="0">
            <x v="21"/>
          </reference>
          <reference field="16" count="0"/>
        </references>
      </pivotArea>
    </format>
    <format dxfId="243">
      <pivotArea dataOnly="0" labelOnly="1" fieldPosition="0">
        <references count="2">
          <reference field="0" count="1" selected="0">
            <x v="22"/>
          </reference>
          <reference field="16" count="0"/>
        </references>
      </pivotArea>
    </format>
    <format dxfId="242">
      <pivotArea dataOnly="0" labelOnly="1" fieldPosition="0">
        <references count="2">
          <reference field="0" count="1" selected="0">
            <x v="23"/>
          </reference>
          <reference field="16" count="0"/>
        </references>
      </pivotArea>
    </format>
    <format dxfId="241">
      <pivotArea dataOnly="0" labelOnly="1" fieldPosition="0">
        <references count="2">
          <reference field="0" count="1" selected="0">
            <x v="24"/>
          </reference>
          <reference field="16" count="0"/>
        </references>
      </pivotArea>
    </format>
    <format dxfId="240">
      <pivotArea dataOnly="0" labelOnly="1" fieldPosition="0">
        <references count="2">
          <reference field="0" count="1" selected="0">
            <x v="25"/>
          </reference>
          <reference field="16" count="0"/>
        </references>
      </pivotArea>
    </format>
    <format dxfId="239">
      <pivotArea dataOnly="0" labelOnly="1" fieldPosition="0">
        <references count="2">
          <reference field="0" count="1" selected="0">
            <x v="26"/>
          </reference>
          <reference field="16" count="0"/>
        </references>
      </pivotArea>
    </format>
    <format dxfId="238">
      <pivotArea dataOnly="0" labelOnly="1" fieldPosition="0">
        <references count="2">
          <reference field="0" count="1" selected="0">
            <x v="27"/>
          </reference>
          <reference field="16" count="0"/>
        </references>
      </pivotArea>
    </format>
    <format dxfId="237">
      <pivotArea dataOnly="0" labelOnly="1" fieldPosition="0">
        <references count="2">
          <reference field="0" count="1" selected="0">
            <x v="28"/>
          </reference>
          <reference field="16" count="0"/>
        </references>
      </pivotArea>
    </format>
    <format dxfId="236">
      <pivotArea dataOnly="0" labelOnly="1" fieldPosition="0">
        <references count="2">
          <reference field="0" count="1" selected="0">
            <x v="29"/>
          </reference>
          <reference field="16" count="0"/>
        </references>
      </pivotArea>
    </format>
    <format dxfId="235">
      <pivotArea dataOnly="0" labelOnly="1" fieldPosition="0">
        <references count="2">
          <reference field="0" count="1" selected="0">
            <x v="30"/>
          </reference>
          <reference field="16" count="0"/>
        </references>
      </pivotArea>
    </format>
    <format dxfId="234">
      <pivotArea dataOnly="0" labelOnly="1" outline="0" axis="axisValues" fieldPosition="0"/>
    </format>
    <format dxfId="233">
      <pivotArea outline="0" collapsedLevelsAreSubtotals="1" fieldPosition="0"/>
    </format>
    <format dxfId="232">
      <pivotArea dataOnly="0" labelOnly="1" outline="0" axis="axisValues" fieldPosition="0"/>
    </format>
    <format dxfId="231">
      <pivotArea outline="0" collapsedLevelsAreSubtotals="1" fieldPosition="0"/>
    </format>
    <format dxfId="230">
      <pivotArea dataOnly="0" labelOnly="1" outline="0" axis="axisValues" fieldPosition="0"/>
    </format>
    <format dxfId="229">
      <pivotArea field="0" type="button" dataOnly="0" labelOnly="1" outline="0" axis="axisRow" fieldPosition="0"/>
    </format>
    <format dxfId="228">
      <pivotArea dataOnly="0" labelOnly="1" fieldPosition="0">
        <references count="1">
          <reference field="16" count="0"/>
        </references>
      </pivotArea>
    </format>
    <format dxfId="227">
      <pivotArea dataOnly="0" labelOnly="1" grandCol="1" outline="0" fieldPosition="0"/>
    </format>
    <format dxfId="226">
      <pivotArea field="0" type="button" dataOnly="0" labelOnly="1" outline="0" axis="axisRow" fieldPosition="0"/>
    </format>
    <format dxfId="225">
      <pivotArea dataOnly="0" labelOnly="1" fieldPosition="0">
        <references count="1">
          <reference field="16" count="0"/>
        </references>
      </pivotArea>
    </format>
    <format dxfId="224">
      <pivotArea dataOnly="0" labelOnly="1" grandCol="1" outline="0" fieldPosition="0"/>
    </format>
  </formats>
  <pivotTableStyleInfo name="ку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400213-1E1A-4128-B935-D203A8805B7C}" name="Сводная таблица2" cacheId="1" applyNumberFormats="0" applyBorderFormats="0" applyFontFormats="0" applyPatternFormats="0" applyAlignmentFormats="0" applyWidthHeightFormats="1" dataCaption="Значения" missingCaption="0" updatedVersion="7" minRefreshableVersion="3" useAutoFormatting="1" rowGrandTotals="0" colGrandTotals="0" itemPrintTitles="1" mergeItem="1" createdVersion="7" indent="0" showHeaders="0" outline="1" outlineData="1" multipleFieldFilters="0" colHeaderCaption="Число дней со среднесуточной температурой по градациям">
  <location ref="M1:R2" firstHeaderRow="0" firstDataRow="1" firstDataCol="1"/>
  <pivotFields count="17">
    <pivotField numFmtId="14" showAll="0"/>
    <pivotField showAll="0"/>
    <pivotField showAll="0"/>
    <pivotField showAll="0">
      <items count="43">
        <item x="33"/>
        <item x="30"/>
        <item x="29"/>
        <item x="10"/>
        <item x="34"/>
        <item x="32"/>
        <item x="31"/>
        <item x="13"/>
        <item x="27"/>
        <item x="28"/>
        <item x="11"/>
        <item x="37"/>
        <item x="35"/>
        <item x="36"/>
        <item m="1" x="40"/>
        <item x="39"/>
        <item m="1" x="4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0"/>
        <item x="1"/>
        <item x="2"/>
        <item x="3"/>
        <item x="4"/>
        <item x="5"/>
        <item x="6"/>
        <item x="7"/>
        <item x="8"/>
        <item x="9"/>
        <item x="38"/>
        <item t="default"/>
      </items>
    </pivotField>
    <pivotField showAll="0"/>
    <pivotField axis="axisCol" dataField="1"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numFmtId="1" showAll="0"/>
    <pivotField numFmtId="1" showAll="0"/>
    <pivotField showAll="0"/>
    <pivotField numFmtId="2" showAll="0"/>
    <pivotField numFmtId="164" showAll="0"/>
    <pivotField numFmtId="1" showAll="0"/>
    <pivotField showAll="0"/>
    <pivotField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</pivotFields>
  <rowItems count="1">
    <i/>
  </rowItems>
  <colFields count="1">
    <field x="5"/>
  </colFields>
  <colItems count="5">
    <i>
      <x v="3"/>
    </i>
    <i>
      <x v="4"/>
    </i>
    <i>
      <x v="5"/>
    </i>
    <i>
      <x v="6"/>
    </i>
    <i>
      <x v="7"/>
    </i>
  </colItems>
  <dataFields count="1">
    <dataField name=" Т. Средн. ° С" fld="5" subtotal="count" baseField="0" baseItem="0"/>
  </dataFields>
  <formats count="9">
    <format dxfId="131">
      <pivotArea type="all" dataOnly="0" outline="0" fieldPosition="0"/>
    </format>
    <format dxfId="130">
      <pivotArea outline="0" collapsedLevelsAreSubtotals="1" fieldPosition="0"/>
    </format>
    <format dxfId="129">
      <pivotArea type="origin" dataOnly="0" labelOnly="1" outline="0" offset="A1" fieldPosition="0"/>
    </format>
    <format dxfId="128">
      <pivotArea dataOnly="0" labelOnly="1" outline="0" axis="axisValues" fieldPosition="0"/>
    </format>
    <format dxfId="127">
      <pivotArea field="5" type="button" dataOnly="0" labelOnly="1" outline="0" axis="axisCol" fieldPosition="0"/>
    </format>
    <format dxfId="126">
      <pivotArea type="topRight" dataOnly="0" labelOnly="1" outline="0" fieldPosition="0"/>
    </format>
    <format dxfId="125">
      <pivotArea type="origin" dataOnly="0" labelOnly="1" outline="0" offset="A2" fieldPosition="0"/>
    </format>
    <format dxfId="124">
      <pivotArea dataOnly="0" labelOnly="1" fieldPosition="0">
        <references count="1">
          <reference field="5" count="5">
            <x v="3"/>
            <x v="4"/>
            <x v="5"/>
            <x v="6"/>
            <x v="7"/>
          </reference>
        </references>
      </pivotArea>
    </format>
    <format dxfId="12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13C17E-BDC8-4110-A209-9F603FF635DF}" name="Сводная таблица17" cacheId="2" applyNumberFormats="0" applyBorderFormats="0" applyFontFormats="0" applyPatternFormats="0" applyAlignmentFormats="0" applyWidthHeightFormats="1" dataCaption="Значения" grandTotalCaption="Месяц" updatedVersion="7" minRefreshableVersion="3" useAutoFormatting="1" itemPrintTitles="1" createdVersion="7" indent="0" outline="1" outlineData="1" multipleFieldFilters="0">
  <location ref="A1:K5" firstHeaderRow="0" firstDataRow="1" firstDataCol="1"/>
  <pivotFields count="17">
    <pivotField axis="axisRow" numFmtId="14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dataField="1" showAll="0"/>
    <pivotField dataField="1" showAll="0"/>
    <pivotField dataField="1" numFmtId="164" showAll="0"/>
    <pivotField dataField="1" showAll="0"/>
    <pivotField dataField="1" showAll="0"/>
    <pivotField showAll="0"/>
    <pivotField numFmtId="1" showAll="0"/>
    <pivotField numFmtId="1" showAll="0"/>
    <pivotField dataField="1" showAll="0"/>
    <pivotField numFmtId="2" showAll="0"/>
    <pivotField dataField="1" numFmtId="164" showAll="0"/>
    <pivotField numFmtId="1" showAll="0"/>
    <pivotField showAll="0"/>
    <pivotField axis="axisRow" showAll="0">
      <items count="4">
        <item n="Декада 1" sd="0" x="0"/>
        <item n="Декада 2" sd="0" x="1"/>
        <item n="Декада 3" sd="0" x="2"/>
        <item t="default"/>
      </items>
    </pivotField>
  </pivotFields>
  <rowFields count="2">
    <field x="16"/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Т ° С" fld="5" subtotal="average" baseField="0" baseItem="0" numFmtId="164"/>
    <dataField name="Т. ° С Макс." fld="6" subtotal="max" baseField="0" baseItem="0"/>
    <dataField name="Т.  ° С Мин." fld="7" subtotal="min" baseField="0" baseItem="0"/>
    <dataField name="Средн. Давление гПа" fld="13" subtotal="average" baseField="0" baseItem="0"/>
    <dataField name="Макс. Давление гПа2" fld="13" subtotal="max" baseField="0" baseItem="0"/>
    <dataField name="Мин. Давление гПа3" fld="13" subtotal="min" baseField="0" baseItem="0"/>
    <dataField name=" Ветер Средн. скор. м/с" fld="3" subtotal="average" baseField="0" baseItem="0"/>
    <dataField name="Ветер Макс. скор. м/с2" fld="3" subtotal="max" baseField="0" baseItem="0"/>
    <dataField name="Ветер Макс. порыв м/с" fld="4" subtotal="max" baseField="0" baseItem="0"/>
    <dataField name="Осадки мм" fld="11" baseField="0" baseItem="0" numFmtId="164"/>
  </dataFields>
  <formats count="20">
    <format dxfId="151">
      <pivotArea outline="0" collapsedLevelsAreSubtotals="1" fieldPosition="0"/>
    </format>
    <format dxfId="150">
      <pivotArea dataOnly="0" labelOnly="1" outline="0" axis="axisValues" fieldPosition="0"/>
    </format>
    <format dxfId="149">
      <pivotArea dataOnly="0" labelOnly="1" outline="0" axis="axisValues" fieldPosition="0"/>
    </format>
    <format dxfId="148">
      <pivotArea type="all" dataOnly="0" outline="0" fieldPosition="0"/>
    </format>
    <format dxfId="147">
      <pivotArea outline="0" collapsedLevelsAreSubtotals="1" fieldPosition="0"/>
    </format>
    <format dxfId="146">
      <pivotArea field="16" type="button" dataOnly="0" labelOnly="1" outline="0" axis="axisRow" fieldPosition="0"/>
    </format>
    <format dxfId="145">
      <pivotArea dataOnly="0" labelOnly="1" fieldPosition="0">
        <references count="1">
          <reference field="16" count="0"/>
        </references>
      </pivotArea>
    </format>
    <format dxfId="144">
      <pivotArea dataOnly="0" labelOnly="1" grandRow="1" outline="0" fieldPosition="0"/>
    </format>
    <format dxfId="143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42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141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40">
      <pivotArea dataOnly="0" labelOnly="1" outline="0" fieldPosition="0">
        <references count="1">
          <reference field="4294967294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39">
      <pivotArea field="16" type="button" dataOnly="0" labelOnly="1" outline="0" axis="axisRow" fieldPosition="0"/>
    </format>
    <format dxfId="13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37">
      <pivotArea type="all" dataOnly="0" outline="0" fieldPosition="0"/>
    </format>
    <format dxfId="136">
      <pivotArea outline="0" collapsedLevelsAreSubtotals="1" fieldPosition="0"/>
    </format>
    <format dxfId="135">
      <pivotArea field="16" type="button" dataOnly="0" labelOnly="1" outline="0" axis="axisRow" fieldPosition="0"/>
    </format>
    <format dxfId="134">
      <pivotArea dataOnly="0" labelOnly="1" fieldPosition="0">
        <references count="1">
          <reference field="16" count="0"/>
        </references>
      </pivotArea>
    </format>
    <format dxfId="133">
      <pivotArea dataOnly="0" labelOnly="1" grandRow="1" outline="0" fieldPosition="0"/>
    </format>
    <format dxfId="132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03A325-23C0-4FE7-A8F7-B85557134417}" name="Сводная таблица8" cacheId="6" applyNumberFormats="0" applyBorderFormats="0" applyFontFormats="0" applyPatternFormats="0" applyAlignmentFormats="0" applyWidthHeightFormats="1" dataCaption="Значения" updatedVersion="8" minRefreshableVersion="3" useAutoFormatting="1" rowGrandTotals="0" itemPrintTitles="1" createdVersion="7" indent="0" outline="1" outlineData="1" multipleFieldFilters="0">
  <location ref="A14:B19" firstHeaderRow="1" firstDataRow="1" firstDataCol="1"/>
  <pivotFields count="16">
    <pivotField numFmtId="14" showAll="0">
      <items count="6">
        <item x="0"/>
        <item x="1"/>
        <item x="2"/>
        <item x="3"/>
        <item x="4"/>
        <item t="default"/>
      </items>
    </pivotField>
    <pivotField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axis="axisRow" dataField="1" numFmtId="164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numFmtId="1" showAll="0"/>
    <pivotField numFmtId="1" showAll="0"/>
    <pivotField showAll="0"/>
    <pivotField numFmtId="2" showAll="0"/>
    <pivotField numFmtId="164" showAll="0"/>
    <pivotField numFmtId="1" showAll="0"/>
    <pivotField showAll="0"/>
  </pivotFields>
  <rowFields count="1">
    <field x="5"/>
  </rowFields>
  <rowItems count="5">
    <i>
      <x v="1"/>
    </i>
    <i>
      <x v="2"/>
    </i>
    <i>
      <x v="3"/>
    </i>
    <i>
      <x v="4"/>
    </i>
    <i>
      <x v="5"/>
    </i>
  </rowItems>
  <colItems count="1">
    <i/>
  </colItems>
  <dataFields count="1">
    <dataField name="Количество по полю Т. Средн. ° С" fld="5" subtotal="count" baseField="5" baseItem="3"/>
  </dataFields>
  <formats count="5">
    <format dxfId="156">
      <pivotArea type="all" dataOnly="0" outline="0" fieldPosition="0"/>
    </format>
    <format dxfId="155">
      <pivotArea outline="0" collapsedLevelsAreSubtotals="1" fieldPosition="0"/>
    </format>
    <format dxfId="154">
      <pivotArea field="1" type="button" dataOnly="0" labelOnly="1" outline="0"/>
    </format>
    <format dxfId="153">
      <pivotArea dataOnly="0" labelOnly="1" grandRow="1" outline="0" fieldPosition="0"/>
    </format>
    <format dxfId="15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838F9E-0BD4-44F2-AE9D-4582073B189F}" name="Сводная таблица7" cacheId="1" applyNumberFormats="0" applyBorderFormats="0" applyFontFormats="0" applyPatternFormats="0" applyAlignmentFormats="0" applyWidthHeightFormats="1" dataCaption="Значения" updatedVersion="7" minRefreshableVersion="3" useAutoFormatting="1" rowGrandTotals="0" itemPrintTitles="1" createdVersion="7" indent="0" outline="1" outlineData="1" multipleFieldFilters="0" chartFormat="3" rowHeaderCaption="Румб">
  <location ref="A29:B41" firstHeaderRow="1" firstDataRow="1" firstDataCol="1"/>
  <pivotFields count="17">
    <pivotField numFmtId="14" showAll="0"/>
    <pivotField showAll="0"/>
    <pivotField axis="axisRow" dataField="1" showAll="0">
      <items count="15">
        <item h="1" x="8"/>
        <item h="1" x="11"/>
        <item x="10"/>
        <item x="0"/>
        <item x="3"/>
        <item x="1"/>
        <item x="9"/>
        <item x="12"/>
        <item x="2"/>
        <item x="13"/>
        <item x="6"/>
        <item x="4"/>
        <item x="7"/>
        <item x="5"/>
        <item t="default"/>
      </items>
    </pivotField>
    <pivotField showAll="0">
      <items count="43">
        <item x="33"/>
        <item x="30"/>
        <item x="29"/>
        <item x="10"/>
        <item x="34"/>
        <item x="32"/>
        <item x="31"/>
        <item x="13"/>
        <item x="27"/>
        <item x="28"/>
        <item x="11"/>
        <item x="37"/>
        <item x="35"/>
        <item x="36"/>
        <item x="39"/>
        <item x="14"/>
        <item x="16"/>
        <item x="17"/>
        <item x="18"/>
        <item m="1" x="41"/>
        <item x="12"/>
        <item x="15"/>
        <item x="19"/>
        <item x="20"/>
        <item x="21"/>
        <item x="22"/>
        <item x="23"/>
        <item x="24"/>
        <item x="25"/>
        <item x="26"/>
        <item m="1" x="40"/>
        <item x="0"/>
        <item x="1"/>
        <item x="2"/>
        <item x="3"/>
        <item x="4"/>
        <item x="5"/>
        <item x="6"/>
        <item x="7"/>
        <item x="8"/>
        <item x="9"/>
        <item x="38"/>
        <item t="default"/>
      </items>
    </pivotField>
    <pivotField showAll="0"/>
    <pivotField numFmtId="164" showAll="0"/>
    <pivotField showAll="0"/>
    <pivotField showAll="0"/>
    <pivotField showAll="0"/>
    <pivotField numFmtId="1" showAll="0"/>
    <pivotField numFmtId="1" showAll="0"/>
    <pivotField showAll="0"/>
    <pivotField numFmtId="2" showAll="0"/>
    <pivotField numFmtId="164" showAll="0"/>
    <pivotField numFmtId="1" showAll="0"/>
    <pivotField showAll="0"/>
    <pivotField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1"/>
        <item x="12"/>
        <item x="14"/>
        <item t="default"/>
      </items>
    </pivotField>
  </pivotFields>
  <rowFields count="1">
    <field x="2"/>
  </rowFields>
  <rowItems count="12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Items count="1">
    <i/>
  </colItems>
  <dataFields count="1">
    <dataField name="Случаи" fld="2" subtotal="count" baseField="0" baseItem="0"/>
  </dataFields>
  <formats count="6"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2" type="button" dataOnly="0" labelOnly="1" outline="0" axis="axisRow" fieldPosition="0"/>
    </format>
    <format dxfId="54">
      <pivotArea dataOnly="0" labelOnly="1" fieldPosition="0">
        <references count="1">
          <reference field="2" count="0"/>
        </references>
      </pivotArea>
    </format>
    <format dxfId="53">
      <pivotArea dataOnly="0" labelOnly="1" grandRow="1" outline="0" fieldPosition="0"/>
    </format>
    <format dxfId="52">
      <pivotArea dataOnly="0" labelOnly="1" outline="0" axis="axisValues" fieldPosition="0"/>
    </format>
  </format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42A08A-EF3C-4345-97B6-36BF46043314}" name="Сводная таблица6" cacheId="1" applyNumberFormats="0" applyBorderFormats="0" applyFontFormats="0" applyPatternFormats="0" applyAlignmentFormats="0" applyWidthHeightFormats="1" dataCaption="Значения" updatedVersion="7" minRefreshableVersion="3" useAutoFormatting="1" colGrandTotals="0" itemPrintTitles="1" createdVersion="7" indent="0" outline="1" outlineData="1" multipleFieldFilters="0" rowHeaderCaption="Срок" colHeaderCaption="Разбивка по скорости">
  <location ref="A44:Q55" firstHeaderRow="1" firstDataRow="3" firstDataCol="1"/>
  <pivotFields count="17">
    <pivotField numFmtId="14" showAll="0"/>
    <pivotField axis="axisRow" showAll="0">
      <items count="9">
        <item x="0"/>
        <item x="4"/>
        <item x="5"/>
        <item x="6"/>
        <item x="7"/>
        <item x="1"/>
        <item x="2"/>
        <item x="3"/>
        <item t="default"/>
      </items>
    </pivotField>
    <pivotField showAll="0"/>
    <pivotField axis="axisCol" dataField="1" showAll="0">
      <items count="43">
        <item x="33"/>
        <item x="30"/>
        <item x="29"/>
        <item x="10"/>
        <item x="34"/>
        <item x="32"/>
        <item x="31"/>
        <item x="13"/>
        <item x="27"/>
        <item x="28"/>
        <item x="11"/>
        <item x="37"/>
        <item x="35"/>
        <item x="36"/>
        <item x="39"/>
        <item x="14"/>
        <item x="16"/>
        <item x="17"/>
        <item x="18"/>
        <item m="1" x="41"/>
        <item x="12"/>
        <item x="15"/>
        <item x="19"/>
        <item x="20"/>
        <item x="21"/>
        <item x="22"/>
        <item x="23"/>
        <item x="24"/>
        <item x="25"/>
        <item x="26"/>
        <item m="1" x="40"/>
        <item x="0"/>
        <item x="1"/>
        <item x="2"/>
        <item x="3"/>
        <item x="4"/>
        <item x="5"/>
        <item x="6"/>
        <item x="7"/>
        <item x="8"/>
        <item x="9"/>
        <item x="38"/>
        <item t="default"/>
      </items>
    </pivotField>
    <pivotField showAll="0"/>
    <pivotField numFmtId="164" showAll="0"/>
    <pivotField showAll="0"/>
    <pivotField showAll="0"/>
    <pivotField showAll="0"/>
    <pivotField numFmtId="1" showAll="0"/>
    <pivotField numFmtId="1" showAll="0"/>
    <pivotField showAll="0"/>
    <pivotField numFmtId="2" showAll="0"/>
    <pivotField numFmtId="164" showAll="0"/>
    <pivotField numFmtId="1" showAll="0"/>
    <pivotField showAll="0"/>
    <pivotField axis="axisCol" showAll="0">
      <items count="16">
        <item n="0-1" sd="0" x="0"/>
        <item n="2-3" sd="0" x="1"/>
        <item n="4-5" sd="0" x="2"/>
        <item n="6-7" sd="0" x="3"/>
        <item n="8-9" sd="0" x="4"/>
        <item n="10-11" sd="0" x="5"/>
        <item n="12-13" sd="0" x="6"/>
        <item n="14-15" sd="0" x="7"/>
        <item n="16-17" sd="0" x="8"/>
        <item n="18-20" sd="0" x="9"/>
        <item n="21-24" sd="0" x="10"/>
        <item n="25-28" sd="0" x="11"/>
        <item n="29-34" sd="0" x="12"/>
        <item n="35-40" sd="0" x="13"/>
        <item x="14"/>
        <item t="default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16"/>
    <field x="3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  <x v="41"/>
    </i>
    <i t="default">
      <x v="14"/>
    </i>
  </colItems>
  <dataFields count="1">
    <dataField name="Количество по полю Средн. скор. м/с" fld="3" subtotal="count" baseField="0" baseItem="0"/>
  </dataFields>
  <formats count="12">
    <format dxfId="69">
      <pivotArea type="all" dataOnly="0" outline="0" fieldPosition="0"/>
    </format>
    <format dxfId="68">
      <pivotArea outline="0" collapsedLevelsAreSubtotals="1" fieldPosition="0"/>
    </format>
    <format dxfId="67">
      <pivotArea type="origin" dataOnly="0" labelOnly="1" outline="0" fieldPosition="0"/>
    </format>
    <format dxfId="66">
      <pivotArea field="3" type="button" dataOnly="0" labelOnly="1" outline="0" axis="axisCol" fieldPosition="1"/>
    </format>
    <format dxfId="65">
      <pivotArea type="topRight" dataOnly="0" labelOnly="1" outline="0" fieldPosition="0"/>
    </format>
    <format dxfId="64">
      <pivotArea field="1" type="button" dataOnly="0" labelOnly="1" outline="0" axis="axisRow" fieldPosition="0"/>
    </format>
    <format dxfId="63">
      <pivotArea dataOnly="0" labelOnly="1" fieldPosition="0">
        <references count="1">
          <reference field="1" count="0"/>
        </references>
      </pivotArea>
    </format>
    <format dxfId="62">
      <pivotArea dataOnly="0" labelOnly="1" grandRow="1" outline="0" fieldPosition="0"/>
    </format>
    <format dxfId="61">
      <pivotArea dataOnly="0" labelOnly="1" fieldPosition="0">
        <references count="1">
          <reference field="1" count="0"/>
        </references>
      </pivotArea>
    </format>
    <format dxfId="60">
      <pivotArea dataOnly="0" labelOnly="1" fieldPosition="0">
        <references count="1">
          <reference field="1" count="0"/>
        </references>
      </pivotArea>
    </format>
    <format dxfId="59">
      <pivotArea outline="0" collapsedLevelsAreSubtotals="1" fieldPosition="0"/>
    </format>
    <format dxfId="5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247031-D8C5-45DD-9E85-AE1563A75C64}" name="Сводная таблица5" cacheId="1" applyNumberFormats="0" applyBorderFormats="0" applyFontFormats="0" applyPatternFormats="0" applyAlignmentFormats="0" applyWidthHeightFormats="1" dataCaption="Значения" missingCaption="-" updatedVersion="7" minRefreshableVersion="3" useAutoFormatting="1" colGrandTotals="0" itemPrintTitles="1" mergeItem="1" createdVersion="7" indent="0" outline="1" outlineData="1" multipleFieldFilters="0" rowHeaderCaption="Срок">
  <location ref="A13:Y24" firstHeaderRow="1" firstDataRow="3" firstDataCol="1"/>
  <pivotFields count="17">
    <pivotField numFmtId="14"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15">
        <item h="1" x="8"/>
        <item h="1" x="11"/>
        <item x="10"/>
        <item x="0"/>
        <item x="3"/>
        <item x="1"/>
        <item x="9"/>
        <item x="12"/>
        <item x="2"/>
        <item x="13"/>
        <item x="6"/>
        <item x="4"/>
        <item x="7"/>
        <item x="5"/>
        <item t="default"/>
      </items>
    </pivotField>
    <pivotField dataField="1" showAll="0">
      <items count="43">
        <item x="33"/>
        <item x="30"/>
        <item x="29"/>
        <item x="10"/>
        <item x="34"/>
        <item x="32"/>
        <item x="31"/>
        <item x="13"/>
        <item x="27"/>
        <item x="28"/>
        <item x="11"/>
        <item x="37"/>
        <item x="35"/>
        <item x="36"/>
        <item x="39"/>
        <item x="14"/>
        <item x="16"/>
        <item x="17"/>
        <item x="18"/>
        <item m="1" x="41"/>
        <item x="12"/>
        <item x="15"/>
        <item x="19"/>
        <item x="20"/>
        <item x="21"/>
        <item x="22"/>
        <item x="23"/>
        <item x="24"/>
        <item x="25"/>
        <item x="26"/>
        <item m="1" x="40"/>
        <item x="0"/>
        <item x="1"/>
        <item x="2"/>
        <item x="3"/>
        <item x="4"/>
        <item x="5"/>
        <item x="6"/>
        <item x="7"/>
        <item x="8"/>
        <item x="9"/>
        <item x="38"/>
        <item t="default"/>
      </items>
    </pivotField>
    <pivotField showAll="0"/>
    <pivotField numFmtId="164" showAll="0"/>
    <pivotField showAll="0"/>
    <pivotField showAll="0"/>
    <pivotField showAll="0"/>
    <pivotField numFmtId="1" showAll="0"/>
    <pivotField numFmtId="1" showAll="0"/>
    <pivotField showAll="0"/>
    <pivotField numFmtId="2" showAll="0"/>
    <pivotField numFmtId="164" showAll="0"/>
    <pivotField numFmtId="1" showAll="0"/>
    <pivotField showAll="0"/>
    <pivotField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1"/>
        <item x="12"/>
        <item x="14"/>
        <item t="default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2"/>
    <field x="-2"/>
  </colFields>
  <colItems count="24"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</colItems>
  <dataFields count="2">
    <dataField name="ч" fld="3" subtotal="count" baseField="1" baseItem="0"/>
    <dataField name="с" fld="3" subtotal="average" baseField="1" baseItem="0"/>
  </dataFields>
  <formats count="53">
    <format dxfId="122">
      <pivotArea outline="0" collapsedLevelsAreSubtotals="1" fieldPosition="0"/>
    </format>
    <format dxfId="121">
      <pivotArea field="1" type="button" dataOnly="0" labelOnly="1" outline="0" axis="axisRow" fieldPosition="0"/>
    </format>
    <format dxfId="120">
      <pivotArea dataOnly="0" labelOnly="1" fieldPosition="0">
        <references count="1">
          <reference field="1" count="0"/>
        </references>
      </pivotArea>
    </format>
    <format dxfId="119">
      <pivotArea dataOnly="0" labelOnly="1" fieldPosition="0">
        <references count="1">
          <reference field="2" count="0"/>
        </references>
      </pivotArea>
    </format>
    <format dxfId="118">
      <pivotArea dataOnly="0" labelOnly="1" grandCol="1" outline="0" fieldPosition="0"/>
    </format>
    <format dxfId="117">
      <pivotArea outline="0" collapsedLevelsAreSubtotals="1" fieldPosition="0">
        <references count="2">
          <reference field="4294967294" count="1" selected="0">
            <x v="1"/>
          </reference>
          <reference field="2" count="1" selected="0">
            <x v="3"/>
          </reference>
        </references>
      </pivotArea>
    </format>
    <format dxfId="116">
      <pivotArea outline="0" collapsedLevelsAreSubtotals="1" fieldPosition="0">
        <references count="2">
          <reference field="4294967294" count="1" selected="0">
            <x v="1"/>
          </reference>
          <reference field="2" count="1" selected="0">
            <x v="5"/>
          </reference>
        </references>
      </pivotArea>
    </format>
    <format dxfId="115">
      <pivotArea outline="0" collapsedLevelsAreSubtotals="1" fieldPosition="0">
        <references count="2">
          <reference field="4294967294" count="1" selected="0">
            <x v="1"/>
          </reference>
          <reference field="2" count="1" selected="0">
            <x v="2"/>
          </reference>
        </references>
      </pivotArea>
    </format>
    <format dxfId="114">
      <pivotArea outline="0" collapsedLevelsAreSubtotals="1" fieldPosition="0"/>
    </format>
    <format dxfId="113">
      <pivotArea type="origin" dataOnly="0" labelOnly="1" outline="0" fieldPosition="0"/>
    </format>
    <format dxfId="112">
      <pivotArea field="1" type="button" dataOnly="0" labelOnly="1" outline="0" axis="axisRow" fieldPosition="0"/>
    </format>
    <format dxfId="111">
      <pivotArea dataOnly="0" labelOnly="1" fieldPosition="0">
        <references count="1">
          <reference field="1" count="0"/>
        </references>
      </pivotArea>
    </format>
    <format dxfId="110">
      <pivotArea dataOnly="0" labelOnly="1" grandRow="1" outline="0" fieldPosition="0"/>
    </format>
    <format dxfId="109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1" selected="0">
            <x v="2"/>
          </reference>
        </references>
      </pivotArea>
    </format>
    <format dxfId="108">
      <pivotArea dataOnly="0" labelOnly="1" fieldPosition="0">
        <references count="1">
          <reference field="2" count="1">
            <x v="2"/>
          </reference>
        </references>
      </pivotArea>
    </format>
    <format dxfId="107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2"/>
          </reference>
        </references>
      </pivotArea>
    </format>
    <format dxfId="106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1" selected="0">
            <x v="3"/>
          </reference>
        </references>
      </pivotArea>
    </format>
    <format dxfId="105">
      <pivotArea dataOnly="0" labelOnly="1" fieldPosition="0">
        <references count="1">
          <reference field="2" count="1">
            <x v="3"/>
          </reference>
        </references>
      </pivotArea>
    </format>
    <format dxfId="104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3"/>
          </reference>
        </references>
      </pivotArea>
    </format>
    <format dxfId="103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1" selected="0">
            <x v="4"/>
          </reference>
        </references>
      </pivotArea>
    </format>
    <format dxfId="102">
      <pivotArea dataOnly="0" labelOnly="1" fieldPosition="0">
        <references count="1">
          <reference field="2" count="1">
            <x v="4"/>
          </reference>
        </references>
      </pivotArea>
    </format>
    <format dxfId="101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4"/>
          </reference>
        </references>
      </pivotArea>
    </format>
    <format dxfId="100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1" selected="0">
            <x v="2"/>
          </reference>
        </references>
      </pivotArea>
    </format>
    <format dxfId="99">
      <pivotArea dataOnly="0" labelOnly="1" fieldPosition="0">
        <references count="1">
          <reference field="2" count="1">
            <x v="2"/>
          </reference>
        </references>
      </pivotArea>
    </format>
    <format dxfId="98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2"/>
          </reference>
        </references>
      </pivotArea>
    </format>
    <format dxfId="97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1" selected="0">
            <x v="5"/>
          </reference>
        </references>
      </pivotArea>
    </format>
    <format dxfId="96">
      <pivotArea dataOnly="0" labelOnly="1" fieldPosition="0">
        <references count="1">
          <reference field="2" count="1">
            <x v="5"/>
          </reference>
        </references>
      </pivotArea>
    </format>
    <format dxfId="95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5"/>
          </reference>
        </references>
      </pivotArea>
    </format>
    <format dxfId="94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1" selected="0">
            <x v="7"/>
          </reference>
        </references>
      </pivotArea>
    </format>
    <format dxfId="93">
      <pivotArea dataOnly="0" labelOnly="1" fieldPosition="0">
        <references count="1">
          <reference field="2" count="1">
            <x v="7"/>
          </reference>
        </references>
      </pivotArea>
    </format>
    <format dxfId="92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7"/>
          </reference>
        </references>
      </pivotArea>
    </format>
    <format dxfId="91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1" selected="0">
            <x v="9"/>
          </reference>
        </references>
      </pivotArea>
    </format>
    <format dxfId="90">
      <pivotArea dataOnly="0" labelOnly="1" fieldPosition="0">
        <references count="1">
          <reference field="2" count="1">
            <x v="9"/>
          </reference>
        </references>
      </pivotArea>
    </format>
    <format dxfId="89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9"/>
          </reference>
        </references>
      </pivotArea>
    </format>
    <format dxfId="88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1" selected="0">
            <x v="11"/>
          </reference>
        </references>
      </pivotArea>
    </format>
    <format dxfId="87">
      <pivotArea dataOnly="0" labelOnly="1" fieldPosition="0">
        <references count="1">
          <reference field="2" count="1">
            <x v="11"/>
          </reference>
        </references>
      </pivotArea>
    </format>
    <format dxfId="86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11"/>
          </reference>
        </references>
      </pivotArea>
    </format>
    <format dxfId="85">
      <pivotArea outline="0" collapsedLevelsAreSubtotals="1" fieldPosition="0">
        <references count="1">
          <reference field="2" count="1" selected="0">
            <x v="13"/>
          </reference>
        </references>
      </pivotArea>
    </format>
    <format dxfId="84">
      <pivotArea dataOnly="0" labelOnly="1" fieldPosition="0">
        <references count="1">
          <reference field="2" count="1">
            <x v="13"/>
          </reference>
        </references>
      </pivotArea>
    </format>
    <format dxfId="83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13"/>
          </reference>
        </references>
      </pivotArea>
    </format>
    <format dxfId="82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1" selected="0">
            <x v="6"/>
          </reference>
        </references>
      </pivotArea>
    </format>
    <format dxfId="81">
      <pivotArea dataOnly="0" labelOnly="1" fieldPosition="0">
        <references count="1">
          <reference field="2" count="1">
            <x v="6"/>
          </reference>
        </references>
      </pivotArea>
    </format>
    <format dxfId="80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6"/>
          </reference>
        </references>
      </pivotArea>
    </format>
    <format dxfId="79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1" selected="0">
            <x v="8"/>
          </reference>
        </references>
      </pivotArea>
    </format>
    <format dxfId="78">
      <pivotArea dataOnly="0" labelOnly="1" fieldPosition="0">
        <references count="1">
          <reference field="2" count="1">
            <x v="8"/>
          </reference>
        </references>
      </pivotArea>
    </format>
    <format dxfId="77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8"/>
          </reference>
        </references>
      </pivotArea>
    </format>
    <format dxfId="76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1" selected="0">
            <x v="10"/>
          </reference>
        </references>
      </pivotArea>
    </format>
    <format dxfId="75">
      <pivotArea dataOnly="0" labelOnly="1" fieldPosition="0">
        <references count="1">
          <reference field="2" count="1">
            <x v="10"/>
          </reference>
        </references>
      </pivotArea>
    </format>
    <format dxfId="74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10"/>
          </reference>
        </references>
      </pivotArea>
    </format>
    <format dxfId="73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1" selected="0">
            <x v="12"/>
          </reference>
        </references>
      </pivotArea>
    </format>
    <format dxfId="72">
      <pivotArea dataOnly="0" labelOnly="1" fieldPosition="0">
        <references count="1">
          <reference field="2" count="1">
            <x v="12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12"/>
          </reference>
        </references>
      </pivotArea>
    </format>
    <format dxfId="70">
      <pivotArea outline="0" collapsedLevelsAreSubtotals="1" fieldPosition="0"/>
    </format>
  </formats>
  <pivotTableStyleInfo name="Стиль сводной таблицы 1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67D8F3A-E2A2-408D-A12E-AA1ED5CA6B1C}" autoFormatId="16" applyNumberFormats="0" applyBorderFormats="0" applyFontFormats="0" applyPatternFormats="0" applyAlignmentFormats="0" applyWidthHeightFormats="0">
  <queryTableRefresh nextId="17">
    <queryTableFields count="16">
      <queryTableField id="1" name="Дата" tableColumnId="17"/>
      <queryTableField id="2" name="Время" tableColumnId="2"/>
      <queryTableField id="3" name="Направление, румб" tableColumnId="3"/>
      <queryTableField id="4" name="Средн. скор. м/с" tableColumnId="4"/>
      <queryTableField id="5" name="Макс. порыв м/с" tableColumnId="5"/>
      <queryTableField id="6" name="Т. Средн. ° С" tableColumnId="6"/>
      <queryTableField id="7" name="Т. Макс. ° С" tableColumnId="7"/>
      <queryTableField id="8" name="Т. Мин. ° С" tableColumnId="8"/>
      <queryTableField id="9" name="Явления" tableColumnId="9"/>
      <queryTableField id="10" name="Высота снега см" tableColumnId="10"/>
      <queryTableField id="11" name="Δ высоты снега см" tableColumnId="11"/>
      <queryTableField id="12" name="Осадки в срок мм" tableColumnId="12"/>
      <queryTableField id="13" name="Сум. осад. с начала месяца мм" tableColumnId="13"/>
      <queryTableField id="14" name="Давление гПа" tableColumnId="14"/>
      <queryTableField id="15" name="Влажность %" tableColumnId="15"/>
      <queryTableField id="16" name="рекомендации" tableColumnId="16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357442-A5C5-474A-8FA8-81C8B4C4F499}" name="Таблица1" displayName="Таблица1" ref="A1:P253" totalsRowShown="0" headerRowDxfId="394" tableBorderDxfId="393">
  <tableColumns count="16">
    <tableColumn id="1" xr3:uid="{AC1F4750-204D-4381-B670-0A1DD03898F7}" name="Столбец1" dataDxfId="392"/>
    <tableColumn id="2" xr3:uid="{8E9FA618-B402-4257-82BC-7C7BF72EC286}" name="Столбец2" dataDxfId="391"/>
    <tableColumn id="3" xr3:uid="{577BD1D4-DBEE-4A06-AB14-B51A86563645}" name="Столбец3" dataDxfId="390"/>
    <tableColumn id="4" xr3:uid="{032EFB5A-C159-4950-A067-3A4C3AF75FE4}" name="Столбец4" dataDxfId="389"/>
    <tableColumn id="5" xr3:uid="{5D5DFF84-470A-439C-80A1-14336E46DD0F}" name="Столбец5" dataDxfId="388"/>
    <tableColumn id="6" xr3:uid="{B6F324AD-30C7-46CD-97FE-DB3A6570410C}" name="Столбец6" dataDxfId="387"/>
    <tableColumn id="7" xr3:uid="{DD62D7F5-3655-48FE-B858-7BC5B7A15C78}" name="Столбец7" dataDxfId="386"/>
    <tableColumn id="8" xr3:uid="{C49CD966-5A94-44FB-86BC-20DE77938F70}" name="Столбец8" dataDxfId="385"/>
    <tableColumn id="9" xr3:uid="{8F84B32C-37BE-42C9-B813-2C1A934F2B81}" name="Столбец9" dataDxfId="384"/>
    <tableColumn id="10" xr3:uid="{AFA7F5DE-C44B-463E-A542-2278D92FCEAA}" name="Столбец10" dataDxfId="383"/>
    <tableColumn id="11" xr3:uid="{15913112-C93E-4F94-AE71-4588A73D7172}" name="Столбец11" dataDxfId="382">
      <calculatedColumnFormula>IF(J2="~","~",IFERROR(J2-J1,J2-LOOKUP(9999999,$J1:J$6)))</calculatedColumnFormula>
    </tableColumn>
    <tableColumn id="12" xr3:uid="{D6D1E4CC-B50F-4214-82A8-5EDCF2E89886}" name="Столбец12" dataDxfId="381"/>
    <tableColumn id="13" xr3:uid="{5DFBF9A0-0B6C-4734-966F-8516817B7E78}" name="Столбец13" dataDxfId="380">
      <calculatedColumnFormula>IF(OR(L2="нет",L2="~"),M1,M1+L2)</calculatedColumnFormula>
    </tableColumn>
    <tableColumn id="14" xr3:uid="{DD13AC10-6B90-40DD-9895-77D32299BFC3}" name="Столбец14" dataDxfId="379"/>
    <tableColumn id="15" xr3:uid="{FC044A33-049C-442F-B276-BDD32A7DC5D7}" name="Столбец15" dataDxfId="378"/>
    <tableColumn id="16" xr3:uid="{315EF10F-715A-4E68-9E6D-97F581EC66F5}" name="Столбец16" dataDxfId="37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E13546-DC5B-48EC-B736-CE5CCD4C8365}" name="Таблица1_2" displayName="Таблица1_2" ref="A1:P249" tableType="queryTable" totalsRowShown="0">
  <tableColumns count="16">
    <tableColumn id="17" xr3:uid="{C327E0C0-5B1D-45BF-A8BB-7ECE5BF73688}" uniqueName="17" name="Дата" queryTableFieldId="1" dataDxfId="376"/>
    <tableColumn id="2" xr3:uid="{40D0E65A-6C4E-4D96-90D3-FC84E3938D3D}" uniqueName="2" name="Время" queryTableFieldId="2" dataDxfId="375"/>
    <tableColumn id="3" xr3:uid="{FE4E25E4-A0F4-4ADE-8B0F-A549E73BEECE}" uniqueName="3" name="Направление, румб" queryTableFieldId="3" dataDxfId="374"/>
    <tableColumn id="4" xr3:uid="{BFF2E23E-869B-400F-8D6A-B73176CAC929}" uniqueName="4" name="Средн. скор. м/с" queryTableFieldId="4" dataDxfId="373"/>
    <tableColumn id="5" xr3:uid="{1DC8A8EB-0DB5-4212-AD89-55BA60B06D06}" uniqueName="5" name="Макс. порыв м/с" queryTableFieldId="5" dataDxfId="372"/>
    <tableColumn id="6" xr3:uid="{1FFA1830-BA73-4283-BC90-4EA28A1F93D1}" uniqueName="6" name="Т. Средн. ° С" queryTableFieldId="6" dataDxfId="371"/>
    <tableColumn id="7" xr3:uid="{F5DDB1A0-0593-4AA2-9FA9-7B60D7B10089}" uniqueName="7" name="Т. Макс. ° С" queryTableFieldId="7" dataDxfId="370"/>
    <tableColumn id="8" xr3:uid="{0DB6DEA7-B4BB-435F-8D8E-EDDDDF7E1964}" uniqueName="8" name="Т. Мин. ° С" queryTableFieldId="8" dataDxfId="369"/>
    <tableColumn id="9" xr3:uid="{85AA5670-7294-4378-987A-18965DE4F11F}" uniqueName="9" name="Явления" queryTableFieldId="9" dataDxfId="368"/>
    <tableColumn id="10" xr3:uid="{A39424BA-4D80-40CD-B46F-F707832FC43C}" uniqueName="10" name="Высота снега см" queryTableFieldId="10" dataDxfId="367"/>
    <tableColumn id="11" xr3:uid="{6EDBC6C3-41B4-404B-A6C0-66E8A483C5CD}" uniqueName="11" name="Δ высоты снега см" queryTableFieldId="11" dataDxfId="366"/>
    <tableColumn id="12" xr3:uid="{1A81587A-EBAF-42EA-B918-2E98E137B0F0}" uniqueName="12" name="Осадки в срок мм" queryTableFieldId="12" dataDxfId="365"/>
    <tableColumn id="13" xr3:uid="{17AD8E4D-E2E9-4BD6-B260-AD486EA4419B}" uniqueName="13" name="Сум. осад. с начала месяца мм" queryTableFieldId="13" dataDxfId="364"/>
    <tableColumn id="14" xr3:uid="{F6C4F4EC-3727-4607-85AD-EC6AC15AC4FF}" uniqueName="14" name="Давление гПа" queryTableFieldId="14" dataDxfId="363"/>
    <tableColumn id="15" xr3:uid="{209007F3-C2FE-477E-89E1-50BB24C69055}" uniqueName="15" name="Влажность %" queryTableFieldId="15" dataDxfId="362"/>
    <tableColumn id="16" xr3:uid="{96D9D8A1-AB1A-49D7-B6B8-AB8C5AE3D46B}" uniqueName="16" name="рекомендации" queryTableFieldId="16" dataDxfId="36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4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6172-9605-44E1-A96F-862F5C4C8ABC}">
  <sheetPr codeName="Лист3"/>
  <dimension ref="A1:AH11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33" sqref="Q33"/>
    </sheetView>
  </sheetViews>
  <sheetFormatPr defaultRowHeight="15" x14ac:dyDescent="0.25"/>
  <cols>
    <col min="1" max="1" width="10.85546875" customWidth="1"/>
    <col min="5" max="5" width="10.140625" bestFit="1" customWidth="1"/>
    <col min="11" max="13" width="9.140625" style="2"/>
    <col min="17" max="17" width="11.5703125" customWidth="1"/>
    <col min="18" max="18" width="12.140625" customWidth="1"/>
  </cols>
  <sheetData>
    <row r="1" spans="1:14" x14ac:dyDescent="0.25">
      <c r="A1" s="218" t="s">
        <v>0</v>
      </c>
      <c r="B1" s="78" t="s">
        <v>51</v>
      </c>
      <c r="C1" s="78"/>
      <c r="D1" s="78"/>
      <c r="E1" s="217" t="s">
        <v>62</v>
      </c>
      <c r="F1" s="217"/>
      <c r="G1" s="217"/>
      <c r="H1" s="79" t="s">
        <v>52</v>
      </c>
      <c r="I1" s="78"/>
      <c r="J1" s="78"/>
      <c r="K1" s="79" t="s">
        <v>53</v>
      </c>
      <c r="L1" s="79"/>
      <c r="M1" s="79"/>
      <c r="N1" s="78"/>
    </row>
    <row r="2" spans="1:14" x14ac:dyDescent="0.25">
      <c r="A2" s="218"/>
      <c r="B2" s="78" t="s">
        <v>54</v>
      </c>
      <c r="C2" s="78"/>
      <c r="D2" s="78"/>
      <c r="E2" s="217"/>
      <c r="F2" s="217"/>
      <c r="G2" s="217"/>
      <c r="H2" s="9" t="s">
        <v>55</v>
      </c>
      <c r="I2" s="219" t="s">
        <v>64</v>
      </c>
      <c r="J2" s="1" t="s">
        <v>56</v>
      </c>
      <c r="K2" s="217" t="s">
        <v>63</v>
      </c>
      <c r="L2" s="217" t="s">
        <v>57</v>
      </c>
      <c r="M2" s="217" t="s">
        <v>58</v>
      </c>
      <c r="N2" s="78" t="s">
        <v>126</v>
      </c>
    </row>
    <row r="3" spans="1:14" x14ac:dyDescent="0.25">
      <c r="A3" s="218"/>
      <c r="B3" s="1" t="s">
        <v>55</v>
      </c>
      <c r="C3" s="1" t="s">
        <v>56</v>
      </c>
      <c r="D3" s="1" t="s">
        <v>59</v>
      </c>
      <c r="E3" s="9" t="s">
        <v>55</v>
      </c>
      <c r="F3" s="9" t="s">
        <v>56</v>
      </c>
      <c r="G3" s="9" t="s">
        <v>59</v>
      </c>
      <c r="H3" s="1"/>
      <c r="I3" s="219"/>
      <c r="J3" s="1" t="s">
        <v>60</v>
      </c>
      <c r="K3" s="217"/>
      <c r="L3" s="217"/>
      <c r="M3" s="217"/>
      <c r="N3" s="1" t="s">
        <v>13</v>
      </c>
    </row>
    <row r="4" spans="1:14" ht="16.5" x14ac:dyDescent="0.25">
      <c r="A4" s="218"/>
      <c r="B4" s="80" t="s">
        <v>61</v>
      </c>
      <c r="C4" s="78"/>
      <c r="D4" s="78"/>
      <c r="E4" s="79" t="s">
        <v>8</v>
      </c>
      <c r="F4" s="78"/>
      <c r="G4" s="79"/>
      <c r="H4" s="79" t="s">
        <v>4</v>
      </c>
      <c r="I4" s="78"/>
      <c r="J4" s="78"/>
      <c r="K4" s="79" t="s">
        <v>7</v>
      </c>
      <c r="L4" s="79"/>
      <c r="M4" s="79"/>
      <c r="N4" s="78" t="s">
        <v>6</v>
      </c>
    </row>
    <row r="5" spans="1:14" x14ac:dyDescent="0.25">
      <c r="A5" s="116">
        <f>'Погода Круча'!$A$5</f>
        <v>44927</v>
      </c>
      <c r="B5" s="118" t="str">
        <f>IFERROR(AVERAGEIFS('Погода Круча'!F:F,'Погода Круча'!A:A,A5),"")</f>
        <v/>
      </c>
      <c r="C5" s="117">
        <f t="array" ref="C5">MAX(IF('Погода Круча'!A:A='Сводная Круча'!A5,'Погода Круча'!G:G))</f>
        <v>0</v>
      </c>
      <c r="D5" s="117">
        <f>MIN(IF('Погода Круча'!A:A='Сводная Круча'!$A5,'Погода Круча'!H:H))</f>
        <v>0</v>
      </c>
      <c r="E5" s="118" t="str">
        <f>IFERROR(AVERAGEIFS('Погода Круча'!O:O,'Погода Круча'!A:A,$A5),"")</f>
        <v/>
      </c>
      <c r="F5" s="118">
        <f t="array" ref="F5">MAX(IF('Погода Круча'!A:A='Сводная Круча'!A5,'Погода Круча'!O:O))</f>
        <v>0</v>
      </c>
      <c r="G5" s="118">
        <f t="array" ref="G5">MIN(IF('Погода Круча'!A:A='Сводная Круча'!A5,Рудник!N:N))</f>
        <v>914.7</v>
      </c>
      <c r="H5" s="120" t="str">
        <f>IFERROR(AVERAGEIFS('Погода Круча'!D:D,'Погода Круча'!A:A,$A5),"")</f>
        <v/>
      </c>
      <c r="I5" s="117">
        <f t="array" ref="I5">MAX(IF('Погода Круча'!A:A='Сводная Круча'!A5,'Погода Круча'!D:D))</f>
        <v>0</v>
      </c>
      <c r="J5" s="117">
        <f t="array" ref="J5">MAX(IF('Погода Круча'!A:A='Сводная Круча'!A5,'Погода Круча'!E:E))</f>
        <v>0</v>
      </c>
      <c r="K5" s="118">
        <f>SUMIFS('Погода Круча'!M:M,'Погода Круча'!A:A,'Сводная Круча'!A5)</f>
        <v>0</v>
      </c>
      <c r="L5" s="118">
        <f t="array" ref="L5">SUM(SUMIFS('Погода Круча'!M:M,'Погода Круча'!A:A,A5,'Погода Круча'!B:B,{"9:00","12:00","15:00","18:00"}))</f>
        <v>0</v>
      </c>
      <c r="M5" s="118">
        <f t="array" ref="M5">SUM(SUMIFS('Погода Круча'!M:M,'Погода Круча'!A:A,A5,'Погода Круча'!B:B,{"0:00","3:00","6:00","21:00"}))</f>
        <v>0</v>
      </c>
      <c r="N5" s="117">
        <f>IFERROR(INDEX('Погода Круча'!A:Q,MATCH(A5,'Погода Круча'!A:A,0)+3,10),"")</f>
        <v>0</v>
      </c>
    </row>
    <row r="6" spans="1:14" x14ac:dyDescent="0.25">
      <c r="A6" s="116">
        <f>A5+1</f>
        <v>44928</v>
      </c>
      <c r="B6" s="118" t="str">
        <f>IFERROR(AVERAGEIFS('Погода Круча'!F:F,'Погода Круча'!A:A,A6),"")</f>
        <v/>
      </c>
      <c r="C6" s="117">
        <f t="array" ref="C6">MAX(IF('Погода Круча'!A:A='Сводная Круча'!A6,'Погода Круча'!G:G))</f>
        <v>0</v>
      </c>
      <c r="D6" s="117">
        <f>MIN(IF('Погода Круча'!A:A='Сводная Круча'!$A6,'Погода Круча'!H:H))</f>
        <v>0</v>
      </c>
      <c r="E6" s="118" t="str">
        <f>IFERROR(AVERAGEIFS('Погода Круча'!O:O,'Погода Круча'!A:A,$A6),"")</f>
        <v/>
      </c>
      <c r="F6" s="118">
        <f t="array" ref="F6">MAX(IF('Погода Круча'!A:A='Сводная Круча'!A6,'Погода Круча'!O:O))</f>
        <v>0</v>
      </c>
      <c r="G6" s="118">
        <f t="array" ref="G6">MIN(IF('Погода Круча'!A:A='Сводная Круча'!A6,Рудник!N:N))</f>
        <v>916.8</v>
      </c>
      <c r="H6" s="120" t="str">
        <f>IFERROR(AVERAGEIFS('Погода Круча'!D:D,'Погода Круча'!A:A,$A6),"")</f>
        <v/>
      </c>
      <c r="I6" s="117">
        <f t="array" ref="I6">MAX(IF('Погода Круча'!A:A='Сводная Круча'!A6,'Погода Круча'!D:D))</f>
        <v>0</v>
      </c>
      <c r="J6" s="117">
        <f t="array" ref="J6">MAX(IF('Погода Круча'!A:A='Сводная Круча'!A6,'Погода Круча'!E:E))</f>
        <v>0</v>
      </c>
      <c r="K6" s="118">
        <f>SUMIFS('Погода Круча'!M:M,'Погода Круча'!A:A,'Сводная Круча'!A6)</f>
        <v>0</v>
      </c>
      <c r="L6" s="118">
        <f t="array" ref="L6">SUM(SUMIFS('Погода Круча'!M:M,'Погода Круча'!A:A,A6,'Погода Круча'!B:B,{"9:00","12:00","15:00","18:00"}))</f>
        <v>0</v>
      </c>
      <c r="M6" s="118">
        <f t="array" ref="M6">SUM(SUMIFS('Погода Круча'!M:M,'Погода Круча'!A:A,A6,'Погода Круча'!B:B,{"0:00","3:00","6:00","21:00"}))</f>
        <v>0</v>
      </c>
      <c r="N6" s="117">
        <f>IFERROR(INDEX('Погода Круча'!A:Q,MATCH(A6,'Погода Круча'!A:A,0)+3,10),"")</f>
        <v>0</v>
      </c>
    </row>
    <row r="7" spans="1:14" x14ac:dyDescent="0.25">
      <c r="A7" s="116">
        <f t="shared" ref="A7:A35" si="0">A6+1</f>
        <v>44929</v>
      </c>
      <c r="B7" s="118" t="str">
        <f>IFERROR(AVERAGEIFS('Погода Круча'!F:F,'Погода Круча'!A:A,A7),"")</f>
        <v/>
      </c>
      <c r="C7" s="117">
        <f t="array" ref="C7">MAX(IF('Погода Круча'!A:A='Сводная Круча'!A7,'Погода Круча'!G:G))</f>
        <v>0</v>
      </c>
      <c r="D7" s="117">
        <f>MIN(IF('Погода Круча'!A:A='Сводная Круча'!$A7,'Погода Круча'!H:H))</f>
        <v>0</v>
      </c>
      <c r="E7" s="118" t="str">
        <f>IFERROR(AVERAGEIFS('Погода Круча'!O:O,'Погода Круча'!A:A,$A7),"")</f>
        <v/>
      </c>
      <c r="F7" s="118">
        <f t="array" ref="F7">MAX(IF('Погода Круча'!A:A='Сводная Круча'!A7,'Погода Круча'!O:O))</f>
        <v>0</v>
      </c>
      <c r="G7" s="118">
        <f t="array" ref="G7">MIN(IF('Погода Круча'!A:A='Сводная Круча'!A7,Рудник!N:N))</f>
        <v>922.9</v>
      </c>
      <c r="H7" s="120" t="str">
        <f>IFERROR(AVERAGEIFS('Погода Круча'!D:D,'Погода Круча'!A:A,$A7),"")</f>
        <v/>
      </c>
      <c r="I7" s="117">
        <f t="array" ref="I7">MAX(IF('Погода Круча'!A:A='Сводная Круча'!A7,'Погода Круча'!D:D))</f>
        <v>0</v>
      </c>
      <c r="J7" s="117">
        <f t="array" ref="J7">MAX(IF('Погода Круча'!A:A='Сводная Круча'!A7,'Погода Круча'!E:E))</f>
        <v>0</v>
      </c>
      <c r="K7" s="118">
        <f>SUMIFS('Погода Круча'!M:M,'Погода Круча'!A:A,'Сводная Круча'!A7)</f>
        <v>0</v>
      </c>
      <c r="L7" s="118">
        <f t="array" ref="L7">SUM(SUMIFS('Погода Круча'!M:M,'Погода Круча'!A:A,A7,'Погода Круча'!B:B,{"9:00","12:00","15:00","18:00"}))</f>
        <v>0</v>
      </c>
      <c r="M7" s="118">
        <f t="array" ref="M7">SUM(SUMIFS('Погода Круча'!M:M,'Погода Круча'!A:A,A7,'Погода Круча'!B:B,{"0:00","3:00","6:00","21:00"}))</f>
        <v>0</v>
      </c>
      <c r="N7" s="117">
        <f>IFERROR(INDEX('Погода Круча'!A:Q,MATCH(A7,'Погода Круча'!A:A,0)+3,10),"")</f>
        <v>0</v>
      </c>
    </row>
    <row r="8" spans="1:14" x14ac:dyDescent="0.25">
      <c r="A8" s="116">
        <f t="shared" si="0"/>
        <v>44930</v>
      </c>
      <c r="B8" s="118" t="str">
        <f>IFERROR(AVERAGEIFS('Погода Круча'!F:F,'Погода Круча'!A:A,A8),"")</f>
        <v/>
      </c>
      <c r="C8" s="117">
        <f t="array" ref="C8">MAX(IF('Погода Круча'!A:A='Сводная Круча'!A8,'Погода Круча'!G:G))</f>
        <v>0</v>
      </c>
      <c r="D8" s="117">
        <f>MIN(IF('Погода Круча'!A:A='Сводная Круча'!$A8,'Погода Круча'!H:H))</f>
        <v>0</v>
      </c>
      <c r="E8" s="118" t="str">
        <f>IFERROR(AVERAGEIFS('Погода Круча'!O:O,'Погода Круча'!A:A,$A8),"")</f>
        <v/>
      </c>
      <c r="F8" s="118">
        <f t="array" ref="F8">MAX(IF('Погода Круча'!A:A='Сводная Круча'!A8,'Погода Круча'!O:O))</f>
        <v>0</v>
      </c>
      <c r="G8" s="118">
        <f t="array" ref="G8">MIN(IF('Погода Круча'!A:A='Сводная Круча'!A8,Рудник!N:N))</f>
        <v>920.2</v>
      </c>
      <c r="H8" s="120" t="str">
        <f>IFERROR(AVERAGEIFS('Погода Круча'!D:D,'Погода Круча'!A:A,$A8),"")</f>
        <v/>
      </c>
      <c r="I8" s="117">
        <f t="array" ref="I8">MAX(IF('Погода Круча'!A:A='Сводная Круча'!A8,'Погода Круча'!D:D))</f>
        <v>0</v>
      </c>
      <c r="J8" s="117">
        <f t="array" ref="J8">MAX(IF('Погода Круча'!A:A='Сводная Круча'!A8,'Погода Круча'!E:E))</f>
        <v>0</v>
      </c>
      <c r="K8" s="118">
        <f>SUMIFS('Погода Круча'!M:M,'Погода Круча'!A:A,'Сводная Круча'!A8)</f>
        <v>0</v>
      </c>
      <c r="L8" s="118">
        <f t="array" ref="L8">SUM(SUMIFS('Погода Круча'!M:M,'Погода Круча'!A:A,A8,'Погода Круча'!B:B,{"9:00","12:00","15:00","18:00"}))</f>
        <v>0</v>
      </c>
      <c r="M8" s="118">
        <f t="array" ref="M8">SUM(SUMIFS('Погода Круча'!M:M,'Погода Круча'!A:A,A8,'Погода Круча'!B:B,{"0:00","3:00","6:00","21:00"}))</f>
        <v>0</v>
      </c>
      <c r="N8" s="117">
        <f>IFERROR(INDEX('Погода Круча'!A:Q,MATCH(A8,'Погода Круча'!A:A,0)+3,10),"")</f>
        <v>0</v>
      </c>
    </row>
    <row r="9" spans="1:14" x14ac:dyDescent="0.25">
      <c r="A9" s="116">
        <f t="shared" si="0"/>
        <v>44931</v>
      </c>
      <c r="B9" s="118" t="str">
        <f>IFERROR(AVERAGEIFS('Погода Круча'!F:F,'Погода Круча'!A:A,A9),"")</f>
        <v/>
      </c>
      <c r="C9" s="117">
        <f t="array" ref="C9">MAX(IF('Погода Круча'!A:A='Сводная Круча'!A9,'Погода Круча'!G:G))</f>
        <v>0</v>
      </c>
      <c r="D9" s="117">
        <f>MIN(IF('Погода Круча'!A:A='Сводная Круча'!$A9,'Погода Круча'!H:H))</f>
        <v>0</v>
      </c>
      <c r="E9" s="118" t="str">
        <f>IFERROR(AVERAGEIFS('Погода Круча'!O:O,'Погода Круча'!A:A,$A9),"")</f>
        <v/>
      </c>
      <c r="F9" s="118">
        <f t="array" ref="F9">MAX(IF('Погода Круча'!A:A='Сводная Круча'!A9,'Погода Круча'!O:O))</f>
        <v>0</v>
      </c>
      <c r="G9" s="118">
        <f t="array" ref="G9">MIN(IF('Погода Круча'!A:A='Сводная Круча'!A9,Рудник!N:N))</f>
        <v>921.2</v>
      </c>
      <c r="H9" s="120" t="str">
        <f>IFERROR(AVERAGEIFS('Погода Круча'!D:D,'Погода Круча'!A:A,$A9),"")</f>
        <v/>
      </c>
      <c r="I9" s="117">
        <f t="array" ref="I9">MAX(IF('Погода Круча'!A:A='Сводная Круча'!A9,'Погода Круча'!D:D))</f>
        <v>0</v>
      </c>
      <c r="J9" s="117">
        <f t="array" ref="J9">MAX(IF('Погода Круча'!A:A='Сводная Круча'!A9,'Погода Круча'!E:E))</f>
        <v>0</v>
      </c>
      <c r="K9" s="118">
        <f>SUMIFS('Погода Круча'!M:M,'Погода Круча'!A:A,'Сводная Круча'!A9)</f>
        <v>0</v>
      </c>
      <c r="L9" s="118">
        <f t="array" ref="L9">SUM(SUMIFS('Погода Круча'!M:M,'Погода Круча'!A:A,A9,'Погода Круча'!B:B,{"9:00","12:00","15:00","18:00"}))</f>
        <v>0</v>
      </c>
      <c r="M9" s="118">
        <f t="array" ref="M9">SUM(SUMIFS('Погода Круча'!M:M,'Погода Круча'!A:A,A9,'Погода Круча'!B:B,{"0:00","3:00","6:00","21:00"}))</f>
        <v>0</v>
      </c>
      <c r="N9" s="117">
        <f>IFERROR(INDEX('Погода Круча'!A:Q,MATCH(A9,'Погода Круча'!A:A,0)+3,10),"")</f>
        <v>0</v>
      </c>
    </row>
    <row r="10" spans="1:14" x14ac:dyDescent="0.25">
      <c r="A10" s="116">
        <f t="shared" si="0"/>
        <v>44932</v>
      </c>
      <c r="B10" s="118" t="str">
        <f>IFERROR(AVERAGEIFS('Погода Круча'!F:F,'Погода Круча'!A:A,A10),"")</f>
        <v/>
      </c>
      <c r="C10" s="117">
        <f t="array" ref="C10">MAX(IF('Погода Круча'!A:A='Сводная Круча'!A10,'Погода Круча'!G:G))</f>
        <v>0</v>
      </c>
      <c r="D10" s="117">
        <f>MIN(IF('Погода Круча'!A:A='Сводная Круча'!$A10,'Погода Круча'!H:H))</f>
        <v>0</v>
      </c>
      <c r="E10" s="118" t="str">
        <f>IFERROR(AVERAGEIFS('Погода Круча'!O:O,'Погода Круча'!A:A,$A10),"")</f>
        <v/>
      </c>
      <c r="F10" s="118">
        <f t="array" ref="F10">MAX(IF('Погода Круча'!A:A='Сводная Круча'!A10,'Погода Круча'!O:O))</f>
        <v>0</v>
      </c>
      <c r="G10" s="118">
        <f t="array" ref="G10">MIN(IF('Погода Круча'!A:A='Сводная Круча'!A10,Рудник!N:N))</f>
        <v>919.7</v>
      </c>
      <c r="H10" s="120" t="str">
        <f>IFERROR(AVERAGEIFS('Погода Круча'!D:D,'Погода Круча'!A:A,$A10),"")</f>
        <v/>
      </c>
      <c r="I10" s="117">
        <f t="array" ref="I10">MAX(IF('Погода Круча'!A:A='Сводная Круча'!A10,'Погода Круча'!D:D))</f>
        <v>0</v>
      </c>
      <c r="J10" s="117">
        <f t="array" ref="J10">MAX(IF('Погода Круча'!A:A='Сводная Круча'!A10,'Погода Круча'!E:E))</f>
        <v>0</v>
      </c>
      <c r="K10" s="118">
        <f>SUMIFS('Погода Круча'!M:M,'Погода Круча'!A:A,'Сводная Круча'!A10)</f>
        <v>0</v>
      </c>
      <c r="L10" s="118">
        <f t="array" ref="L10">SUM(SUMIFS('Погода Круча'!M:M,'Погода Круча'!A:A,A10,'Погода Круча'!B:B,{"9:00","12:00","15:00","18:00"}))</f>
        <v>0</v>
      </c>
      <c r="M10" s="118">
        <f t="array" ref="M10">SUM(SUMIFS('Погода Круча'!M:M,'Погода Круча'!A:A,A10,'Погода Круча'!B:B,{"0:00","3:00","6:00","21:00"}))</f>
        <v>0</v>
      </c>
      <c r="N10" s="117">
        <f>IFERROR(INDEX('Погода Круча'!A:Q,MATCH(A10,'Погода Круча'!A:A,0)+3,10),"")</f>
        <v>0</v>
      </c>
    </row>
    <row r="11" spans="1:14" x14ac:dyDescent="0.25">
      <c r="A11" s="116">
        <f t="shared" si="0"/>
        <v>44933</v>
      </c>
      <c r="B11" s="118" t="str">
        <f>IFERROR(AVERAGEIFS('Погода Круча'!F:F,'Погода Круча'!A:A,A11),"")</f>
        <v/>
      </c>
      <c r="C11" s="117">
        <f t="array" ref="C11">MAX(IF('Погода Круча'!A:A='Сводная Круча'!A11,'Погода Круча'!G:G))</f>
        <v>0</v>
      </c>
      <c r="D11" s="117">
        <f>MIN(IF('Погода Круча'!A:A='Сводная Круча'!$A11,'Погода Круча'!H:H))</f>
        <v>0</v>
      </c>
      <c r="E11" s="118" t="str">
        <f>IFERROR(AVERAGEIFS('Погода Круча'!O:O,'Погода Круча'!A:A,$A11),"")</f>
        <v/>
      </c>
      <c r="F11" s="118">
        <f t="array" ref="F11">MAX(IF('Погода Круча'!A:A='Сводная Круча'!A11,'Погода Круча'!O:O))</f>
        <v>0</v>
      </c>
      <c r="G11" s="118">
        <f t="array" ref="G11">MIN(IF('Погода Круча'!A:A='Сводная Круча'!A11,Рудник!N:N))</f>
        <v>920.5</v>
      </c>
      <c r="H11" s="120" t="str">
        <f>IFERROR(AVERAGEIFS('Погода Круча'!D:D,'Погода Круча'!A:A,$A11),"")</f>
        <v/>
      </c>
      <c r="I11" s="117">
        <f t="array" ref="I11">MAX(IF('Погода Круча'!A:A='Сводная Круча'!A11,'Погода Круча'!D:D))</f>
        <v>0</v>
      </c>
      <c r="J11" s="117">
        <f t="array" ref="J11">MAX(IF('Погода Круча'!A:A='Сводная Круча'!A11,'Погода Круча'!E:E))</f>
        <v>0</v>
      </c>
      <c r="K11" s="118">
        <f>SUMIFS('Погода Круча'!M:M,'Погода Круча'!A:A,'Сводная Круча'!A11)</f>
        <v>0</v>
      </c>
      <c r="L11" s="118">
        <f t="array" ref="L11">SUM(SUMIFS('Погода Круча'!M:M,'Погода Круча'!A:A,A11,'Погода Круча'!B:B,{"9:00","12:00","15:00","18:00"}))</f>
        <v>0</v>
      </c>
      <c r="M11" s="118">
        <f t="array" ref="M11">SUM(SUMIFS('Погода Круча'!M:M,'Погода Круча'!A:A,A11,'Погода Круча'!B:B,{"0:00","3:00","6:00","21:00"}))</f>
        <v>0</v>
      </c>
      <c r="N11" s="117">
        <f>IFERROR(INDEX('Погода Круча'!A:Q,MATCH(A11,'Погода Круча'!A:A,0)+3,10),"")</f>
        <v>0</v>
      </c>
    </row>
    <row r="12" spans="1:14" x14ac:dyDescent="0.25">
      <c r="A12" s="116">
        <f t="shared" si="0"/>
        <v>44934</v>
      </c>
      <c r="B12" s="118" t="str">
        <f>IFERROR(AVERAGEIFS('Погода Круча'!F:F,'Погода Круча'!A:A,A12),"")</f>
        <v/>
      </c>
      <c r="C12" s="117">
        <f t="array" ref="C12">MAX(IF('Погода Круча'!A:A='Сводная Круча'!A12,'Погода Круча'!G:G))</f>
        <v>0</v>
      </c>
      <c r="D12" s="117">
        <f>MIN(IF('Погода Круча'!A:A='Сводная Круча'!$A12,'Погода Круча'!H:H))</f>
        <v>0</v>
      </c>
      <c r="E12" s="118" t="str">
        <f>IFERROR(AVERAGEIFS('Погода Круча'!O:O,'Погода Круча'!A:A,$A12),"")</f>
        <v/>
      </c>
      <c r="F12" s="118">
        <f t="array" ref="F12">MAX(IF('Погода Круча'!A:A='Сводная Круча'!A12,'Погода Круча'!O:O))</f>
        <v>0</v>
      </c>
      <c r="G12" s="118">
        <f t="array" ref="G12">MIN(IF('Погода Круча'!A:A='Сводная Круча'!A12,Рудник!N:N))</f>
        <v>928.2</v>
      </c>
      <c r="H12" s="120" t="str">
        <f>IFERROR(AVERAGEIFS('Погода Круча'!D:D,'Погода Круча'!A:A,$A12),"")</f>
        <v/>
      </c>
      <c r="I12" s="117">
        <f t="array" ref="I12">MAX(IF('Погода Круча'!A:A='Сводная Круча'!A12,'Погода Круча'!D:D))</f>
        <v>0</v>
      </c>
      <c r="J12" s="117">
        <f t="array" ref="J12">MAX(IF('Погода Круча'!A:A='Сводная Круча'!A12,'Погода Круча'!E:E))</f>
        <v>0</v>
      </c>
      <c r="K12" s="118">
        <f>SUMIFS('Погода Круча'!M:M,'Погода Круча'!A:A,'Сводная Круча'!A12)</f>
        <v>0</v>
      </c>
      <c r="L12" s="118">
        <f t="array" ref="L12">SUM(SUMIFS('Погода Круча'!M:M,'Погода Круча'!A:A,A12,'Погода Круча'!B:B,{"9:00","12:00","15:00","18:00"}))</f>
        <v>0</v>
      </c>
      <c r="M12" s="118">
        <f t="array" ref="M12">SUM(SUMIFS('Погода Круча'!M:M,'Погода Круча'!A:A,A12,'Погода Круча'!B:B,{"0:00","3:00","6:00","21:00"}))</f>
        <v>0</v>
      </c>
      <c r="N12" s="117">
        <f>IFERROR(INDEX('Погода Круча'!A:Q,MATCH(A12,'Погода Круча'!A:A,0)+3,10),"")</f>
        <v>0</v>
      </c>
    </row>
    <row r="13" spans="1:14" x14ac:dyDescent="0.25">
      <c r="A13" s="116">
        <f t="shared" si="0"/>
        <v>44935</v>
      </c>
      <c r="B13" s="118" t="str">
        <f>IFERROR(AVERAGEIFS('Погода Круча'!F:F,'Погода Круча'!A:A,A13),"")</f>
        <v/>
      </c>
      <c r="C13" s="117">
        <f t="array" ref="C13">MAX(IF('Погода Круча'!A:A='Сводная Круча'!A13,'Погода Круча'!G:G))</f>
        <v>0</v>
      </c>
      <c r="D13" s="117">
        <f>MIN(IF('Погода Круча'!A:A='Сводная Круча'!$A13,'Погода Круча'!H:H))</f>
        <v>0</v>
      </c>
      <c r="E13" s="118" t="str">
        <f>IFERROR(AVERAGEIFS('Погода Круча'!O:O,'Погода Круча'!A:A,$A13),"")</f>
        <v/>
      </c>
      <c r="F13" s="118">
        <f t="array" ref="F13">MAX(IF('Погода Круча'!A:A='Сводная Круча'!A13,'Погода Круча'!O:O))</f>
        <v>0</v>
      </c>
      <c r="G13" s="118">
        <f t="array" ref="G13">MIN(IF('Погода Круча'!A:A='Сводная Круча'!A13,Рудник!N:N))</f>
        <v>930.8</v>
      </c>
      <c r="H13" s="120" t="str">
        <f>IFERROR(AVERAGEIFS('Погода Круча'!D:D,'Погода Круча'!A:A,$A13),"")</f>
        <v/>
      </c>
      <c r="I13" s="117">
        <f t="array" ref="I13">MAX(IF('Погода Круча'!A:A='Сводная Круча'!A13,'Погода Круча'!D:D))</f>
        <v>0</v>
      </c>
      <c r="J13" s="117">
        <f t="array" ref="J13">MAX(IF('Погода Круча'!A:A='Сводная Круча'!A13,'Погода Круча'!E:E))</f>
        <v>0</v>
      </c>
      <c r="K13" s="118">
        <f>SUMIFS('Погода Круча'!M:M,'Погода Круча'!A:A,'Сводная Круча'!A13)</f>
        <v>0</v>
      </c>
      <c r="L13" s="118">
        <f t="array" ref="L13">SUM(SUMIFS('Погода Круча'!M:M,'Погода Круча'!A:A,A13,'Погода Круча'!B:B,{"9:00","12:00","15:00","18:00"}))</f>
        <v>0</v>
      </c>
      <c r="M13" s="118">
        <f t="array" ref="M13">SUM(SUMIFS('Погода Круча'!M:M,'Погода Круча'!A:A,A13,'Погода Круча'!B:B,{"0:00","3:00","6:00","21:00"}))</f>
        <v>0</v>
      </c>
      <c r="N13" s="117">
        <f>IFERROR(INDEX('Погода Круча'!A:Q,MATCH(A13,'Погода Круча'!A:A,0)+3,10),"")</f>
        <v>0</v>
      </c>
    </row>
    <row r="14" spans="1:14" x14ac:dyDescent="0.25">
      <c r="A14" s="116">
        <f t="shared" si="0"/>
        <v>44936</v>
      </c>
      <c r="B14" s="118" t="str">
        <f>IFERROR(AVERAGEIFS('Погода Круча'!F:F,'Погода Круча'!A:A,A14),"")</f>
        <v/>
      </c>
      <c r="C14" s="117">
        <f t="array" ref="C14">MAX(IF('Погода Круча'!A:A='Сводная Круча'!A14,'Погода Круча'!G:G))</f>
        <v>0</v>
      </c>
      <c r="D14" s="117">
        <f>MIN(IF('Погода Круча'!A:A='Сводная Круча'!$A14,'Погода Круча'!H:H))</f>
        <v>0</v>
      </c>
      <c r="E14" s="118" t="str">
        <f>IFERROR(AVERAGEIFS('Погода Круча'!O:O,'Погода Круча'!A:A,$A14),"")</f>
        <v/>
      </c>
      <c r="F14" s="118">
        <f t="array" ref="F14">MAX(IF('Погода Круча'!A:A='Сводная Круча'!A14,'Погода Круча'!O:O))</f>
        <v>0</v>
      </c>
      <c r="G14" s="118">
        <f t="array" ref="G14">MIN(IF('Погода Круча'!A:A='Сводная Круча'!A14,Рудник!N:N))</f>
        <v>938.5</v>
      </c>
      <c r="H14" s="120" t="str">
        <f>IFERROR(AVERAGEIFS('Погода Круча'!D:D,'Погода Круча'!A:A,$A14),"")</f>
        <v/>
      </c>
      <c r="I14" s="117">
        <f t="array" ref="I14">MAX(IF('Погода Круча'!A:A='Сводная Круча'!A14,'Погода Круча'!D:D))</f>
        <v>0</v>
      </c>
      <c r="J14" s="117">
        <f t="array" ref="J14">MAX(IF('Погода Круча'!A:A='Сводная Круча'!A14,'Погода Круча'!E:E))</f>
        <v>0</v>
      </c>
      <c r="K14" s="118">
        <f>SUMIFS('Погода Круча'!M:M,'Погода Круча'!A:A,'Сводная Круча'!A14)</f>
        <v>0</v>
      </c>
      <c r="L14" s="118">
        <f t="array" ref="L14">SUM(SUMIFS('Погода Круча'!M:M,'Погода Круча'!A:A,A14,'Погода Круча'!B:B,{"9:00","12:00","15:00","18:00"}))</f>
        <v>0</v>
      </c>
      <c r="M14" s="118">
        <f t="array" ref="M14">SUM(SUMIFS('Погода Круча'!M:M,'Погода Круча'!A:A,A14,'Погода Круча'!B:B,{"0:00","3:00","6:00","21:00"}))</f>
        <v>0</v>
      </c>
      <c r="N14" s="117">
        <f>IFERROR(INDEX('Погода Круча'!A:Q,MATCH(A14,'Погода Круча'!A:A,0)+3,10),"")</f>
        <v>0</v>
      </c>
    </row>
    <row r="15" spans="1:14" x14ac:dyDescent="0.25">
      <c r="A15" s="116">
        <f t="shared" si="0"/>
        <v>44937</v>
      </c>
      <c r="B15" s="118" t="str">
        <f>IFERROR(AVERAGEIFS('Погода Круча'!F:F,'Погода Круча'!A:A,A15),"")</f>
        <v/>
      </c>
      <c r="C15" s="117">
        <f t="array" ref="C15">MAX(IF('Погода Круча'!A:A='Сводная Круча'!A15,'Погода Круча'!G:G))</f>
        <v>0</v>
      </c>
      <c r="D15" s="117">
        <f>MIN(IF('Погода Круча'!A:A='Сводная Круча'!$A15,'Погода Круча'!H:H))</f>
        <v>0</v>
      </c>
      <c r="E15" s="118" t="str">
        <f>IFERROR(AVERAGEIFS('Погода Круча'!O:O,'Погода Круча'!A:A,$A15),"")</f>
        <v/>
      </c>
      <c r="F15" s="118">
        <f t="array" ref="F15">MAX(IF('Погода Круча'!A:A='Сводная Круча'!A15,'Погода Круча'!O:O))</f>
        <v>0</v>
      </c>
      <c r="G15" s="118">
        <f t="array" ref="G15">MIN(IF('Погода Круча'!A:A='Сводная Круча'!A15,Рудник!N:N))</f>
        <v>947.9</v>
      </c>
      <c r="H15" s="120" t="str">
        <f>IFERROR(AVERAGEIFS('Погода Круча'!D:D,'Погода Круча'!A:A,$A15),"")</f>
        <v/>
      </c>
      <c r="I15" s="117">
        <f t="array" ref="I15">MAX(IF('Погода Круча'!A:A='Сводная Круча'!A15,'Погода Круча'!D:D))</f>
        <v>0</v>
      </c>
      <c r="J15" s="117">
        <f t="array" ref="J15">MAX(IF('Погода Круча'!A:A='Сводная Круча'!A15,'Погода Круча'!E:E))</f>
        <v>0</v>
      </c>
      <c r="K15" s="118">
        <f>SUMIFS('Погода Круча'!M:M,'Погода Круча'!A:A,'Сводная Круча'!A15)</f>
        <v>0</v>
      </c>
      <c r="L15" s="118">
        <f t="array" ref="L15">SUM(SUMIFS('Погода Круча'!M:M,'Погода Круча'!A:A,A15,'Погода Круча'!B:B,{"9:00","12:00","15:00","18:00"}))</f>
        <v>0</v>
      </c>
      <c r="M15" s="118">
        <f t="array" ref="M15">SUM(SUMIFS('Погода Круча'!M:M,'Погода Круча'!A:A,A15,'Погода Круча'!B:B,{"0:00","3:00","6:00","21:00"}))</f>
        <v>0</v>
      </c>
      <c r="N15" s="117">
        <f>IFERROR(INDEX('Погода Круча'!A:Q,MATCH(A15,'Погода Круча'!A:A,0)+3,10),"")</f>
        <v>0</v>
      </c>
    </row>
    <row r="16" spans="1:14" x14ac:dyDescent="0.25">
      <c r="A16" s="116">
        <f t="shared" si="0"/>
        <v>44938</v>
      </c>
      <c r="B16" s="118" t="str">
        <f>IFERROR(AVERAGEIFS('Погода Круча'!F:F,'Погода Круча'!A:A,A16),"")</f>
        <v/>
      </c>
      <c r="C16" s="117">
        <f t="array" ref="C16">MAX(IF('Погода Круча'!A:A='Сводная Круча'!A16,'Погода Круча'!G:G))</f>
        <v>0</v>
      </c>
      <c r="D16" s="117">
        <f>MIN(IF('Погода Круча'!A:A='Сводная Круча'!$A16,'Погода Круча'!H:H))</f>
        <v>0</v>
      </c>
      <c r="E16" s="118" t="str">
        <f>IFERROR(AVERAGEIFS('Погода Круча'!O:O,'Погода Круча'!A:A,$A16),"")</f>
        <v/>
      </c>
      <c r="F16" s="118">
        <f t="array" ref="F16">MAX(IF('Погода Круча'!A:A='Сводная Круча'!A16,'Погода Круча'!O:O))</f>
        <v>0</v>
      </c>
      <c r="G16" s="118">
        <f t="array" ref="G16">MIN(IF('Погода Круча'!A:A='Сводная Круча'!A16,Рудник!N:N))</f>
        <v>950.3</v>
      </c>
      <c r="H16" s="120" t="str">
        <f>IFERROR(AVERAGEIFS('Погода Круча'!D:D,'Погода Круча'!A:A,$A16),"")</f>
        <v/>
      </c>
      <c r="I16" s="117">
        <f t="array" ref="I16">MAX(IF('Погода Круча'!A:A='Сводная Круча'!A16,'Погода Круча'!D:D))</f>
        <v>0</v>
      </c>
      <c r="J16" s="117">
        <f t="array" ref="J16">MAX(IF('Погода Круча'!A:A='Сводная Круча'!A16,'Погода Круча'!E:E))</f>
        <v>0</v>
      </c>
      <c r="K16" s="118">
        <f>SUMIFS('Погода Круча'!M:M,'Погода Круча'!A:A,'Сводная Круча'!A16)</f>
        <v>0</v>
      </c>
      <c r="L16" s="118">
        <f t="array" ref="L16">SUM(SUMIFS('Погода Круча'!M:M,'Погода Круча'!A:A,A16,'Погода Круча'!B:B,{"9:00","12:00","15:00","18:00"}))</f>
        <v>0</v>
      </c>
      <c r="M16" s="118">
        <f t="array" ref="M16">SUM(SUMIFS('Погода Круча'!M:M,'Погода Круча'!A:A,A16,'Погода Круча'!B:B,{"0:00","3:00","6:00","21:00"}))</f>
        <v>0</v>
      </c>
      <c r="N16" s="117">
        <f>IFERROR(INDEX('Погода Круча'!A:Q,MATCH(A16,'Погода Круча'!A:A,0)+3,10),"")</f>
        <v>0</v>
      </c>
    </row>
    <row r="17" spans="1:14" x14ac:dyDescent="0.25">
      <c r="A17" s="116">
        <f t="shared" si="0"/>
        <v>44939</v>
      </c>
      <c r="B17" s="118" t="str">
        <f>IFERROR(AVERAGEIFS('Погода Круча'!F:F,'Погода Круча'!A:A,A17),"")</f>
        <v/>
      </c>
      <c r="C17" s="117">
        <f t="array" ref="C17">MAX(IF('Погода Круча'!A:A='Сводная Круча'!A17,'Погода Круча'!G:G))</f>
        <v>0</v>
      </c>
      <c r="D17" s="117">
        <f>MIN(IF('Погода Круча'!A:A='Сводная Круча'!$A17,'Погода Круча'!H:H))</f>
        <v>0</v>
      </c>
      <c r="E17" s="118" t="str">
        <f>IFERROR(AVERAGEIFS('Погода Круча'!O:O,'Погода Круча'!A:A,$A17),"")</f>
        <v/>
      </c>
      <c r="F17" s="118">
        <f t="array" ref="F17">MAX(IF('Погода Круча'!A:A='Сводная Круча'!A17,'Погода Круча'!O:O))</f>
        <v>0</v>
      </c>
      <c r="G17" s="118">
        <f t="array" ref="G17">MIN(IF('Погода Круча'!A:A='Сводная Круча'!A17,Рудник!N:N))</f>
        <v>951.3</v>
      </c>
      <c r="H17" s="120" t="str">
        <f>IFERROR(AVERAGEIFS('Погода Круча'!D:D,'Погода Круча'!A:A,$A17),"")</f>
        <v/>
      </c>
      <c r="I17" s="117">
        <f t="array" ref="I17">MAX(IF('Погода Круча'!A:A='Сводная Круча'!A17,'Погода Круча'!D:D))</f>
        <v>0</v>
      </c>
      <c r="J17" s="117">
        <f t="array" ref="J17">MAX(IF('Погода Круча'!A:A='Сводная Круча'!A17,'Погода Круча'!E:E))</f>
        <v>0</v>
      </c>
      <c r="K17" s="118">
        <f>SUMIFS('Погода Круча'!M:M,'Погода Круча'!A:A,'Сводная Круча'!A17)</f>
        <v>0</v>
      </c>
      <c r="L17" s="118">
        <f t="array" ref="L17">SUM(SUMIFS('Погода Круча'!M:M,'Погода Круча'!A:A,A17,'Погода Круча'!B:B,{"9:00","12:00","15:00","18:00"}))</f>
        <v>0</v>
      </c>
      <c r="M17" s="118">
        <f t="array" ref="M17">SUM(SUMIFS('Погода Круча'!M:M,'Погода Круча'!A:A,A17,'Погода Круча'!B:B,{"0:00","3:00","6:00","21:00"}))</f>
        <v>0</v>
      </c>
      <c r="N17" s="117">
        <f>IFERROR(INDEX('Погода Круча'!A:Q,MATCH(A17,'Погода Круча'!A:A,0)+3,10),"")</f>
        <v>0</v>
      </c>
    </row>
    <row r="18" spans="1:14" x14ac:dyDescent="0.25">
      <c r="A18" s="116">
        <f t="shared" si="0"/>
        <v>44940</v>
      </c>
      <c r="B18" s="118" t="str">
        <f>IFERROR(AVERAGEIFS('Погода Круча'!F:F,'Погода Круча'!A:A,A18),"")</f>
        <v/>
      </c>
      <c r="C18" s="117">
        <f t="array" ref="C18">MAX(IF('Погода Круча'!A:A='Сводная Круча'!A18,'Погода Круча'!G:G))</f>
        <v>0</v>
      </c>
      <c r="D18" s="117">
        <f>MIN(IF('Погода Круча'!A:A='Сводная Круча'!$A18,'Погода Круча'!H:H))</f>
        <v>0</v>
      </c>
      <c r="E18" s="118" t="str">
        <f>IFERROR(AVERAGEIFS('Погода Круча'!O:O,'Погода Круча'!A:A,$A18),"")</f>
        <v/>
      </c>
      <c r="F18" s="118">
        <f t="array" ref="F18">MAX(IF('Погода Круча'!A:A='Сводная Круча'!A18,'Погода Круча'!O:O))</f>
        <v>0</v>
      </c>
      <c r="G18" s="118">
        <f t="array" ref="G18">MIN(IF('Погода Круча'!A:A='Сводная Круча'!A18,Рудник!N:N))</f>
        <v>953.7</v>
      </c>
      <c r="H18" s="120" t="str">
        <f>IFERROR(AVERAGEIFS('Погода Круча'!D:D,'Погода Круча'!A:A,$A18),"")</f>
        <v/>
      </c>
      <c r="I18" s="117">
        <f t="array" ref="I18">MAX(IF('Погода Круча'!A:A='Сводная Круча'!A18,'Погода Круча'!D:D))</f>
        <v>0</v>
      </c>
      <c r="J18" s="117">
        <f t="array" ref="J18">MAX(IF('Погода Круча'!A:A='Сводная Круча'!A18,'Погода Круча'!E:E))</f>
        <v>0</v>
      </c>
      <c r="K18" s="118">
        <f>SUMIFS('Погода Круча'!M:M,'Погода Круча'!A:A,'Сводная Круча'!A18)</f>
        <v>0</v>
      </c>
      <c r="L18" s="118">
        <f t="array" ref="L18">SUM(SUMIFS('Погода Круча'!M:M,'Погода Круча'!A:A,A18,'Погода Круча'!B:B,{"9:00","12:00","15:00","18:00"}))</f>
        <v>0</v>
      </c>
      <c r="M18" s="118">
        <f t="array" ref="M18">SUM(SUMIFS('Погода Круча'!M:M,'Погода Круча'!A:A,A18,'Погода Круча'!B:B,{"0:00","3:00","6:00","21:00"}))</f>
        <v>0</v>
      </c>
      <c r="N18" s="117">
        <f>IFERROR(INDEX('Погода Круча'!A:Q,MATCH(A18,'Погода Круча'!A:A,0)+3,10),"")</f>
        <v>0</v>
      </c>
    </row>
    <row r="19" spans="1:14" x14ac:dyDescent="0.25">
      <c r="A19" s="116">
        <f t="shared" si="0"/>
        <v>44941</v>
      </c>
      <c r="B19" s="118" t="str">
        <f>IFERROR(AVERAGEIFS('Погода Круча'!F:F,'Погода Круча'!A:A,A19),"")</f>
        <v/>
      </c>
      <c r="C19" s="117">
        <f t="array" ref="C19">MAX(IF('Погода Круча'!A:A='Сводная Круча'!A19,'Погода Круча'!G:G))</f>
        <v>0</v>
      </c>
      <c r="D19" s="117">
        <f>MIN(IF('Погода Круча'!A:A='Сводная Круча'!$A19,'Погода Круча'!H:H))</f>
        <v>0</v>
      </c>
      <c r="E19" s="118" t="str">
        <f>IFERROR(AVERAGEIFS('Погода Круча'!O:O,'Погода Круча'!A:A,$A19),"")</f>
        <v/>
      </c>
      <c r="F19" s="118">
        <f t="array" ref="F19">MAX(IF('Погода Круча'!A:A='Сводная Круча'!A19,'Погода Круча'!O:O))</f>
        <v>0</v>
      </c>
      <c r="G19" s="118">
        <f t="array" ref="G19">MIN(IF('Погода Круча'!A:A='Сводная Круча'!A19,Рудник!N:N))</f>
        <v>952.6</v>
      </c>
      <c r="H19" s="120" t="str">
        <f>IFERROR(AVERAGEIFS('Погода Круча'!D:D,'Погода Круча'!A:A,$A19),"")</f>
        <v/>
      </c>
      <c r="I19" s="117">
        <f t="array" ref="I19">MAX(IF('Погода Круча'!A:A='Сводная Круча'!A19,'Погода Круча'!D:D))</f>
        <v>0</v>
      </c>
      <c r="J19" s="117">
        <f t="array" ref="J19">MAX(IF('Погода Круча'!A:A='Сводная Круча'!A19,'Погода Круча'!E:E))</f>
        <v>0</v>
      </c>
      <c r="K19" s="118">
        <f>SUMIFS('Погода Круча'!M:M,'Погода Круча'!A:A,'Сводная Круча'!A19)</f>
        <v>0</v>
      </c>
      <c r="L19" s="118">
        <f t="array" ref="L19">SUM(SUMIFS('Погода Круча'!M:M,'Погода Круча'!A:A,A19,'Погода Круча'!B:B,{"9:00","12:00","15:00","18:00"}))</f>
        <v>0</v>
      </c>
      <c r="M19" s="118">
        <f t="array" ref="M19">SUM(SUMIFS('Погода Круча'!M:M,'Погода Круча'!A:A,A19,'Погода Круча'!B:B,{"0:00","3:00","6:00","21:00"}))</f>
        <v>0</v>
      </c>
      <c r="N19" s="117">
        <f>IFERROR(INDEX('Погода Круча'!A:Q,MATCH(A19,'Погода Круча'!A:A,0)+3,10),"")</f>
        <v>0</v>
      </c>
    </row>
    <row r="20" spans="1:14" x14ac:dyDescent="0.25">
      <c r="A20" s="116">
        <f t="shared" si="0"/>
        <v>44942</v>
      </c>
      <c r="B20" s="118" t="str">
        <f>IFERROR(AVERAGEIFS('Погода Круча'!F:F,'Погода Круча'!A:A,A20),"")</f>
        <v/>
      </c>
      <c r="C20" s="117">
        <f t="array" ref="C20">MAX(IF('Погода Круча'!A:A='Сводная Круча'!A20,'Погода Круча'!G:G))</f>
        <v>0</v>
      </c>
      <c r="D20" s="117">
        <f>MIN(IF('Погода Круча'!A:A='Сводная Круча'!$A20,'Погода Круча'!H:H))</f>
        <v>0</v>
      </c>
      <c r="E20" s="118" t="str">
        <f>IFERROR(AVERAGEIFS('Погода Круча'!O:O,'Погода Круча'!A:A,$A20),"")</f>
        <v/>
      </c>
      <c r="F20" s="118">
        <f t="array" ref="F20">MAX(IF('Погода Круча'!A:A='Сводная Круча'!A20,'Погода Круча'!O:O))</f>
        <v>0</v>
      </c>
      <c r="G20" s="118">
        <f t="array" ref="G20">MIN(IF('Погода Круча'!A:A='Сводная Круча'!A20,Рудник!N:N))</f>
        <v>948</v>
      </c>
      <c r="H20" s="120" t="str">
        <f>IFERROR(AVERAGEIFS('Погода Круча'!D:D,'Погода Круча'!A:A,$A20),"")</f>
        <v/>
      </c>
      <c r="I20" s="117">
        <f t="array" ref="I20">MAX(IF('Погода Круча'!A:A='Сводная Круча'!A20,'Погода Круча'!D:D))</f>
        <v>0</v>
      </c>
      <c r="J20" s="117">
        <f t="array" ref="J20">MAX(IF('Погода Круча'!A:A='Сводная Круча'!A20,'Погода Круча'!E:E))</f>
        <v>0</v>
      </c>
      <c r="K20" s="118">
        <f>SUMIFS('Погода Круча'!M:M,'Погода Круча'!A:A,'Сводная Круча'!A20)</f>
        <v>0</v>
      </c>
      <c r="L20" s="118">
        <f t="array" ref="L20">SUM(SUMIFS('Погода Круча'!M:M,'Погода Круча'!A:A,A20,'Погода Круча'!B:B,{"9:00","12:00","15:00","18:00"}))</f>
        <v>0</v>
      </c>
      <c r="M20" s="118">
        <f t="array" ref="M20">SUM(SUMIFS('Погода Круча'!M:M,'Погода Круча'!A:A,A20,'Погода Круча'!B:B,{"0:00","3:00","6:00","21:00"}))</f>
        <v>0</v>
      </c>
      <c r="N20" s="117">
        <f>IFERROR(INDEX('Погода Круча'!A:Q,MATCH(A20,'Погода Круча'!A:A,0)+3,10),"")</f>
        <v>0</v>
      </c>
    </row>
    <row r="21" spans="1:14" x14ac:dyDescent="0.25">
      <c r="A21" s="116">
        <f t="shared" si="0"/>
        <v>44943</v>
      </c>
      <c r="B21" s="118" t="str">
        <f>IFERROR(AVERAGEIFS('Погода Круча'!F:F,'Погода Круча'!A:A,A21),"")</f>
        <v/>
      </c>
      <c r="C21" s="117">
        <f t="array" ref="C21">MAX(IF('Погода Круча'!A:A='Сводная Круча'!A21,'Погода Круча'!G:G))</f>
        <v>0</v>
      </c>
      <c r="D21" s="117">
        <f>MIN(IF('Погода Круча'!A:A='Сводная Круча'!$A21,'Погода Круча'!H:H))</f>
        <v>0</v>
      </c>
      <c r="E21" s="118" t="str">
        <f>IFERROR(AVERAGEIFS('Погода Круча'!O:O,'Погода Круча'!A:A,$A21),"")</f>
        <v/>
      </c>
      <c r="F21" s="118">
        <f t="array" ref="F21">MAX(IF('Погода Круча'!A:A='Сводная Круча'!A21,'Погода Круча'!O:O))</f>
        <v>0</v>
      </c>
      <c r="G21" s="118">
        <f t="array" ref="G21">MIN(IF('Погода Круча'!A:A='Сводная Круча'!A21,Рудник!N:N))</f>
        <v>935.3</v>
      </c>
      <c r="H21" s="120" t="str">
        <f>IFERROR(AVERAGEIFS('Погода Круча'!D:D,'Погода Круча'!A:A,$A21),"")</f>
        <v/>
      </c>
      <c r="I21" s="117">
        <f t="array" ref="I21">MAX(IF('Погода Круча'!A:A='Сводная Круча'!A21,'Погода Круча'!D:D))</f>
        <v>0</v>
      </c>
      <c r="J21" s="117">
        <f t="array" ref="J21">MAX(IF('Погода Круча'!A:A='Сводная Круча'!A21,'Погода Круча'!E:E))</f>
        <v>0</v>
      </c>
      <c r="K21" s="118">
        <f>SUMIFS('Погода Круча'!M:M,'Погода Круча'!A:A,'Сводная Круча'!A21)</f>
        <v>0</v>
      </c>
      <c r="L21" s="118">
        <f t="array" ref="L21">SUM(SUMIFS('Погода Круча'!M:M,'Погода Круча'!A:A,A21,'Погода Круча'!B:B,{"9:00","12:00","15:00","18:00"}))</f>
        <v>0</v>
      </c>
      <c r="M21" s="118">
        <f t="array" ref="M21">SUM(SUMIFS('Погода Круча'!M:M,'Погода Круча'!A:A,A21,'Погода Круча'!B:B,{"0:00","3:00","6:00","21:00"}))</f>
        <v>0</v>
      </c>
      <c r="N21" s="117">
        <f>IFERROR(INDEX('Погода Круча'!A:Q,MATCH(A21,'Погода Круча'!A:A,0)+3,10),"")</f>
        <v>0</v>
      </c>
    </row>
    <row r="22" spans="1:14" x14ac:dyDescent="0.25">
      <c r="A22" s="116">
        <f t="shared" si="0"/>
        <v>44944</v>
      </c>
      <c r="B22" s="118" t="str">
        <f>IFERROR(AVERAGEIFS('Погода Круча'!F:F,'Погода Круча'!A:A,A22),"")</f>
        <v/>
      </c>
      <c r="C22" s="117">
        <f t="array" ref="C22">MAX(IF('Погода Круча'!A:A='Сводная Круча'!A22,'Погода Круча'!G:G))</f>
        <v>0</v>
      </c>
      <c r="D22" s="117">
        <f>MIN(IF('Погода Круча'!A:A='Сводная Круча'!$A22,'Погода Круча'!H:H))</f>
        <v>0</v>
      </c>
      <c r="E22" s="118" t="str">
        <f>IFERROR(AVERAGEIFS('Погода Круча'!O:O,'Погода Круча'!A:A,$A22),"")</f>
        <v/>
      </c>
      <c r="F22" s="118">
        <f t="array" ref="F22">MAX(IF('Погода Круча'!A:A='Сводная Круча'!A22,'Погода Круча'!O:O))</f>
        <v>0</v>
      </c>
      <c r="G22" s="118">
        <f t="array" ref="G22">MIN(IF('Погода Круча'!A:A='Сводная Круча'!A22,Рудник!N:N))</f>
        <v>914.5</v>
      </c>
      <c r="H22" s="120" t="str">
        <f>IFERROR(AVERAGEIFS('Погода Круча'!D:D,'Погода Круча'!A:A,$A22),"")</f>
        <v/>
      </c>
      <c r="I22" s="117">
        <f t="array" ref="I22">MAX(IF('Погода Круча'!A:A='Сводная Круча'!A22,'Погода Круча'!D:D))</f>
        <v>0</v>
      </c>
      <c r="J22" s="117">
        <f t="array" ref="J22">MAX(IF('Погода Круча'!A:A='Сводная Круча'!A22,'Погода Круча'!E:E))</f>
        <v>0</v>
      </c>
      <c r="K22" s="118">
        <f>SUMIFS('Погода Круча'!M:M,'Погода Круча'!A:A,'Сводная Круча'!A22)</f>
        <v>0</v>
      </c>
      <c r="L22" s="118">
        <f t="array" ref="L22">SUM(SUMIFS('Погода Круча'!M:M,'Погода Круча'!A:A,A22,'Погода Круча'!B:B,{"9:00","12:00","15:00","18:00"}))</f>
        <v>0</v>
      </c>
      <c r="M22" s="118">
        <f t="array" ref="M22">SUM(SUMIFS('Погода Круча'!M:M,'Погода Круча'!A:A,A22,'Погода Круча'!B:B,{"0:00","3:00","6:00","21:00"}))</f>
        <v>0</v>
      </c>
      <c r="N22" s="117">
        <f>IFERROR(INDEX('Погода Круча'!A:Q,MATCH(A22,'Погода Круча'!A:A,0)+3,10),"")</f>
        <v>0</v>
      </c>
    </row>
    <row r="23" spans="1:14" x14ac:dyDescent="0.25">
      <c r="A23" s="116">
        <f t="shared" si="0"/>
        <v>44945</v>
      </c>
      <c r="B23" s="118" t="str">
        <f>IFERROR(AVERAGEIFS('Погода Круча'!F:F,'Погода Круча'!A:A,A23),"")</f>
        <v/>
      </c>
      <c r="C23" s="117">
        <f t="array" ref="C23">MAX(IF('Погода Круча'!A:A='Сводная Круча'!A23,'Погода Круча'!G:G))</f>
        <v>0</v>
      </c>
      <c r="D23" s="117">
        <f>MIN(IF('Погода Круча'!A:A='Сводная Круча'!$A23,'Погода Круча'!H:H))</f>
        <v>0</v>
      </c>
      <c r="E23" s="118" t="str">
        <f>IFERROR(AVERAGEIFS('Погода Круча'!O:O,'Погода Круча'!A:A,$A23),"")</f>
        <v/>
      </c>
      <c r="F23" s="118">
        <f t="array" ref="F23">MAX(IF('Погода Круча'!A:A='Сводная Круча'!A23,'Погода Круча'!O:O))</f>
        <v>0</v>
      </c>
      <c r="G23" s="118">
        <f t="array" ref="G23">MIN(IF('Погода Круча'!A:A='Сводная Круча'!A23,Рудник!N:N))</f>
        <v>913.8</v>
      </c>
      <c r="H23" s="120" t="str">
        <f>IFERROR(AVERAGEIFS('Погода Круча'!D:D,'Погода Круча'!A:A,$A23),"")</f>
        <v/>
      </c>
      <c r="I23" s="117">
        <f t="array" ref="I23">MAX(IF('Погода Круча'!A:A='Сводная Круча'!A23,'Погода Круча'!D:D))</f>
        <v>0</v>
      </c>
      <c r="J23" s="117">
        <f t="array" ref="J23">MAX(IF('Погода Круча'!A:A='Сводная Круча'!A23,'Погода Круча'!E:E))</f>
        <v>0</v>
      </c>
      <c r="K23" s="118">
        <f>SUMIFS('Погода Круча'!M:M,'Погода Круча'!A:A,'Сводная Круча'!A23)</f>
        <v>0</v>
      </c>
      <c r="L23" s="118">
        <f t="array" ref="L23">SUM(SUMIFS('Погода Круча'!M:M,'Погода Круча'!A:A,A23,'Погода Круча'!B:B,{"9:00","12:00","15:00","18:00"}))</f>
        <v>0</v>
      </c>
      <c r="M23" s="118">
        <f t="array" ref="M23">SUM(SUMIFS('Погода Круча'!M:M,'Погода Круча'!A:A,A23,'Погода Круча'!B:B,{"0:00","3:00","6:00","21:00"}))</f>
        <v>0</v>
      </c>
      <c r="N23" s="117">
        <f>IFERROR(INDEX('Погода Круча'!A:Q,MATCH(A23,'Погода Круча'!A:A,0)+3,10),"")</f>
        <v>0</v>
      </c>
    </row>
    <row r="24" spans="1:14" x14ac:dyDescent="0.25">
      <c r="A24" s="116">
        <f t="shared" si="0"/>
        <v>44946</v>
      </c>
      <c r="B24" s="118" t="str">
        <f>IFERROR(AVERAGEIFS('Погода Круча'!F:F,'Погода Круча'!A:A,A24),"")</f>
        <v/>
      </c>
      <c r="C24" s="117">
        <f t="array" ref="C24">MAX(IF('Погода Круча'!A:A='Сводная Круча'!A24,'Погода Круча'!G:G))</f>
        <v>0</v>
      </c>
      <c r="D24" s="117">
        <f>MIN(IF('Погода Круча'!A:A='Сводная Круча'!$A24,'Погода Круча'!H:H))</f>
        <v>0</v>
      </c>
      <c r="E24" s="118" t="str">
        <f>IFERROR(AVERAGEIFS('Погода Круча'!O:O,'Погода Круча'!A:A,$A24),"")</f>
        <v/>
      </c>
      <c r="F24" s="118">
        <f t="array" ref="F24">MAX(IF('Погода Круча'!A:A='Сводная Круча'!A24,'Погода Круча'!O:O))</f>
        <v>0</v>
      </c>
      <c r="G24" s="118">
        <f t="array" ref="G24">MIN(IF('Погода Круча'!A:A='Сводная Круча'!A24,Рудник!N:N))</f>
        <v>906</v>
      </c>
      <c r="H24" s="120" t="str">
        <f>IFERROR(AVERAGEIFS('Погода Круча'!D:D,'Погода Круча'!A:A,$A24),"")</f>
        <v/>
      </c>
      <c r="I24" s="117">
        <f t="array" ref="I24">MAX(IF('Погода Круча'!A:A='Сводная Круча'!A24,'Погода Круча'!D:D))</f>
        <v>0</v>
      </c>
      <c r="J24" s="117">
        <f t="array" ref="J24">MAX(IF('Погода Круча'!A:A='Сводная Круча'!A24,'Погода Круча'!E:E))</f>
        <v>0</v>
      </c>
      <c r="K24" s="118">
        <f>SUMIFS('Погода Круча'!M:M,'Погода Круча'!A:A,'Сводная Круча'!A24)</f>
        <v>0</v>
      </c>
      <c r="L24" s="118">
        <f t="array" ref="L24">SUM(SUMIFS('Погода Круча'!M:M,'Погода Круча'!A:A,A24,'Погода Круча'!B:B,{"9:00","12:00","15:00","18:00"}))</f>
        <v>0</v>
      </c>
      <c r="M24" s="118">
        <f t="array" ref="M24">SUM(SUMIFS('Погода Круча'!M:M,'Погода Круча'!A:A,A24,'Погода Круча'!B:B,{"0:00","3:00","6:00","21:00"}))</f>
        <v>0</v>
      </c>
      <c r="N24" s="117">
        <f>IFERROR(INDEX('Погода Круча'!A:Q,MATCH(A24,'Погода Круча'!A:A,0)+3,10),"")</f>
        <v>0</v>
      </c>
    </row>
    <row r="25" spans="1:14" x14ac:dyDescent="0.25">
      <c r="A25" s="116">
        <f t="shared" si="0"/>
        <v>44947</v>
      </c>
      <c r="B25" s="118" t="str">
        <f>IFERROR(AVERAGEIFS('Погода Круча'!F:F,'Погода Круча'!A:A,A25),"")</f>
        <v/>
      </c>
      <c r="C25" s="117">
        <f t="array" ref="C25">MAX(IF('Погода Круча'!A:A='Сводная Круча'!A25,'Погода Круча'!G:G))</f>
        <v>0</v>
      </c>
      <c r="D25" s="117">
        <f>MIN(IF('Погода Круча'!A:A='Сводная Круча'!$A25,'Погода Круча'!H:H))</f>
        <v>0</v>
      </c>
      <c r="E25" s="118" t="str">
        <f>IFERROR(AVERAGEIFS('Погода Круча'!O:O,'Погода Круча'!A:A,$A25),"")</f>
        <v/>
      </c>
      <c r="F25" s="118">
        <f t="array" ref="F25">MAX(IF('Погода Круча'!A:A='Сводная Круча'!A25,'Погода Круча'!O:O))</f>
        <v>0</v>
      </c>
      <c r="G25" s="118">
        <f t="array" ref="G25">MIN(IF('Погода Круча'!A:A='Сводная Круча'!A25,Рудник!N:N))</f>
        <v>906.2</v>
      </c>
      <c r="H25" s="120" t="str">
        <f>IFERROR(AVERAGEIFS('Погода Круча'!D:D,'Погода Круча'!A:A,$A25),"")</f>
        <v/>
      </c>
      <c r="I25" s="117">
        <f t="array" ref="I25">MAX(IF('Погода Круча'!A:A='Сводная Круча'!A25,'Погода Круча'!D:D))</f>
        <v>0</v>
      </c>
      <c r="J25" s="117">
        <f t="array" ref="J25">MAX(IF('Погода Круча'!A:A='Сводная Круча'!A25,'Погода Круча'!E:E))</f>
        <v>0</v>
      </c>
      <c r="K25" s="118">
        <f>SUMIFS('Погода Круча'!M:M,'Погода Круча'!A:A,'Сводная Круча'!A25)</f>
        <v>0</v>
      </c>
      <c r="L25" s="118">
        <f t="array" ref="L25">SUM(SUMIFS('Погода Круча'!M:M,'Погода Круча'!A:A,A25,'Погода Круча'!B:B,{"9:00","12:00","15:00","18:00"}))</f>
        <v>0</v>
      </c>
      <c r="M25" s="118">
        <f t="array" ref="M25">SUM(SUMIFS('Погода Круча'!M:M,'Погода Круча'!A:A,A25,'Погода Круча'!B:B,{"0:00","3:00","6:00","21:00"}))</f>
        <v>0</v>
      </c>
      <c r="N25" s="117">
        <f>IFERROR(INDEX('Погода Круча'!A:Q,MATCH(A25,'Погода Круча'!A:A,0)+3,10),"")</f>
        <v>0</v>
      </c>
    </row>
    <row r="26" spans="1:14" x14ac:dyDescent="0.25">
      <c r="A26" s="116">
        <f t="shared" si="0"/>
        <v>44948</v>
      </c>
      <c r="B26" s="118" t="str">
        <f>IFERROR(AVERAGEIFS('Погода Круча'!F:F,'Погода Круча'!A:A,A26),"")</f>
        <v/>
      </c>
      <c r="C26" s="117">
        <f t="array" ref="C26">MAX(IF('Погода Круча'!A:A='Сводная Круча'!A26,'Погода Круча'!G:G))</f>
        <v>0</v>
      </c>
      <c r="D26" s="117">
        <f>MIN(IF('Погода Круча'!A:A='Сводная Круча'!$A26,'Погода Круча'!H:H))</f>
        <v>0</v>
      </c>
      <c r="E26" s="118" t="str">
        <f>IFERROR(AVERAGEIFS('Погода Круча'!O:O,'Погода Круча'!A:A,$A26),"")</f>
        <v/>
      </c>
      <c r="F26" s="118">
        <f t="array" ref="F26">MAX(IF('Погода Круча'!A:A='Сводная Круча'!A26,'Погода Круча'!O:O))</f>
        <v>0</v>
      </c>
      <c r="G26" s="118">
        <f t="array" ref="G26">MIN(IF('Погода Круча'!A:A='Сводная Круча'!A26,Рудник!N:N))</f>
        <v>925.7</v>
      </c>
      <c r="H26" s="120" t="str">
        <f>IFERROR(AVERAGEIFS('Погода Круча'!D:D,'Погода Круча'!A:A,$A26),"")</f>
        <v/>
      </c>
      <c r="I26" s="117">
        <f t="array" ref="I26">MAX(IF('Погода Круча'!A:A='Сводная Круча'!A26,'Погода Круча'!D:D))</f>
        <v>0</v>
      </c>
      <c r="J26" s="117">
        <f t="array" ref="J26">MAX(IF('Погода Круча'!A:A='Сводная Круча'!A26,'Погода Круча'!E:E))</f>
        <v>0</v>
      </c>
      <c r="K26" s="118">
        <f>SUMIFS('Погода Круча'!M:M,'Погода Круча'!A:A,'Сводная Круча'!A26)</f>
        <v>0</v>
      </c>
      <c r="L26" s="118">
        <f t="array" ref="L26">SUM(SUMIFS('Погода Круча'!M:M,'Погода Круча'!A:A,A26,'Погода Круча'!B:B,{"9:00","12:00","15:00","18:00"}))</f>
        <v>0</v>
      </c>
      <c r="M26" s="118">
        <f t="array" ref="M26">SUM(SUMIFS('Погода Круча'!M:M,'Погода Круча'!A:A,A26,'Погода Круча'!B:B,{"0:00","3:00","6:00","21:00"}))</f>
        <v>0</v>
      </c>
      <c r="N26" s="117">
        <f>IFERROR(INDEX('Погода Круча'!A:Q,MATCH(A26,'Погода Круча'!A:A,0)+3,10),"")</f>
        <v>0</v>
      </c>
    </row>
    <row r="27" spans="1:14" x14ac:dyDescent="0.25">
      <c r="A27" s="116">
        <f t="shared" si="0"/>
        <v>44949</v>
      </c>
      <c r="B27" s="118" t="str">
        <f>IFERROR(AVERAGEIFS('Погода Круча'!F:F,'Погода Круча'!A:A,A27),"")</f>
        <v/>
      </c>
      <c r="C27" s="117">
        <f t="array" ref="C27">MAX(IF('Погода Круча'!A:A='Сводная Круча'!A27,'Погода Круча'!G:G))</f>
        <v>0</v>
      </c>
      <c r="D27" s="117">
        <f>MIN(IF('Погода Круча'!A:A='Сводная Круча'!$A27,'Погода Круча'!H:H))</f>
        <v>0</v>
      </c>
      <c r="E27" s="118" t="str">
        <f>IFERROR(AVERAGEIFS('Погода Круча'!O:O,'Погода Круча'!A:A,$A27),"")</f>
        <v/>
      </c>
      <c r="F27" s="118">
        <f t="array" ref="F27">MAX(IF('Погода Круча'!A:A='Сводная Круча'!A27,'Погода Круча'!O:O))</f>
        <v>0</v>
      </c>
      <c r="G27" s="118">
        <f t="array" ref="G27">MIN(IF('Погода Круча'!A:A='Сводная Круча'!A27,Рудник!N:N))</f>
        <v>926.6</v>
      </c>
      <c r="H27" s="120" t="str">
        <f>IFERROR(AVERAGEIFS('Погода Круча'!D:D,'Погода Круча'!A:A,$A27),"")</f>
        <v/>
      </c>
      <c r="I27" s="117">
        <f t="array" ref="I27">MAX(IF('Погода Круча'!A:A='Сводная Круча'!A27,'Погода Круча'!D:D))</f>
        <v>0</v>
      </c>
      <c r="J27" s="117">
        <f t="array" ref="J27">MAX(IF('Погода Круча'!A:A='Сводная Круча'!A27,'Погода Круча'!E:E))</f>
        <v>0</v>
      </c>
      <c r="K27" s="118">
        <f>SUMIFS('Погода Круча'!M:M,'Погода Круча'!A:A,'Сводная Круча'!A27)</f>
        <v>0</v>
      </c>
      <c r="L27" s="118">
        <f t="array" ref="L27">SUM(SUMIFS('Погода Круча'!M:M,'Погода Круча'!A:A,A27,'Погода Круча'!B:B,{"9:00","12:00","15:00","18:00"}))</f>
        <v>0</v>
      </c>
      <c r="M27" s="118">
        <f t="array" ref="M27">SUM(SUMIFS('Погода Круча'!M:M,'Погода Круча'!A:A,A27,'Погода Круча'!B:B,{"0:00","3:00","6:00","21:00"}))</f>
        <v>0</v>
      </c>
      <c r="N27" s="117">
        <f>IFERROR(INDEX('Погода Круча'!A:Q,MATCH(A27,'Погода Круча'!A:A,0)+3,10),"")</f>
        <v>0</v>
      </c>
    </row>
    <row r="28" spans="1:14" x14ac:dyDescent="0.25">
      <c r="A28" s="116">
        <f t="shared" si="0"/>
        <v>44950</v>
      </c>
      <c r="B28" s="118" t="str">
        <f>IFERROR(AVERAGEIFS('Погода Круча'!F:F,'Погода Круча'!A:A,A28),"")</f>
        <v/>
      </c>
      <c r="C28" s="117">
        <f t="array" ref="C28">MAX(IF('Погода Круча'!A:A='Сводная Круча'!A28,'Погода Круча'!G:G))</f>
        <v>0</v>
      </c>
      <c r="D28" s="117">
        <f>MIN(IF('Погода Круча'!A:A='Сводная Круча'!$A28,'Погода Круча'!H:H))</f>
        <v>0</v>
      </c>
      <c r="E28" s="118" t="str">
        <f>IFERROR(AVERAGEIFS('Погода Круча'!O:O,'Погода Круча'!A:A,$A28),"")</f>
        <v/>
      </c>
      <c r="F28" s="118">
        <f t="array" ref="F28">MAX(IF('Погода Круча'!A:A='Сводная Круча'!A28,'Погода Круча'!O:O))</f>
        <v>0</v>
      </c>
      <c r="G28" s="118">
        <f t="array" ref="G28">MIN(IF('Погода Круча'!A:A='Сводная Круча'!A28,Рудник!N:N))</f>
        <v>914.5</v>
      </c>
      <c r="H28" s="120" t="str">
        <f>IFERROR(AVERAGEIFS('Погода Круча'!D:D,'Погода Круча'!A:A,$A28),"")</f>
        <v/>
      </c>
      <c r="I28" s="117">
        <f t="array" ref="I28">MAX(IF('Погода Круча'!A:A='Сводная Круча'!A28,'Погода Круча'!D:D))</f>
        <v>0</v>
      </c>
      <c r="J28" s="117">
        <f t="array" ref="J28">MAX(IF('Погода Круча'!A:A='Сводная Круча'!A28,'Погода Круча'!E:E))</f>
        <v>0</v>
      </c>
      <c r="K28" s="118">
        <f>SUMIFS('Погода Круча'!M:M,'Погода Круча'!A:A,'Сводная Круча'!A28)</f>
        <v>0</v>
      </c>
      <c r="L28" s="118">
        <f t="array" ref="L28">SUM(SUMIFS('Погода Круча'!M:M,'Погода Круча'!A:A,A28,'Погода Круча'!B:B,{"9:00","12:00","15:00","18:00"}))</f>
        <v>0</v>
      </c>
      <c r="M28" s="118">
        <f t="array" ref="M28">SUM(SUMIFS('Погода Круча'!M:M,'Погода Круча'!A:A,A28,'Погода Круча'!B:B,{"0:00","3:00","6:00","21:00"}))</f>
        <v>0</v>
      </c>
      <c r="N28" s="117">
        <f>IFERROR(INDEX('Погода Круча'!A:Q,MATCH(A28,'Погода Круча'!A:A,0)+3,10),"")</f>
        <v>0</v>
      </c>
    </row>
    <row r="29" spans="1:14" x14ac:dyDescent="0.25">
      <c r="A29" s="116">
        <f t="shared" si="0"/>
        <v>44951</v>
      </c>
      <c r="B29" s="118" t="str">
        <f>IFERROR(AVERAGEIFS('Погода Круча'!F:F,'Погода Круча'!A:A,A29),"")</f>
        <v/>
      </c>
      <c r="C29" s="117">
        <f t="array" ref="C29">MAX(IF('Погода Круча'!A:A='Сводная Круча'!A29,'Погода Круча'!G:G))</f>
        <v>0</v>
      </c>
      <c r="D29" s="117">
        <f>MIN(IF('Погода Круча'!A:A='Сводная Круча'!$A29,'Погода Круча'!H:H))</f>
        <v>0</v>
      </c>
      <c r="E29" s="118" t="str">
        <f>IFERROR(AVERAGEIFS('Погода Круча'!O:O,'Погода Круча'!A:A,$A29),"")</f>
        <v/>
      </c>
      <c r="F29" s="118">
        <f t="array" ref="F29">MAX(IF('Погода Круча'!A:A='Сводная Круча'!A29,'Погода Круча'!O:O))</f>
        <v>0</v>
      </c>
      <c r="G29" s="118">
        <f t="array" ref="G29">MIN(IF('Погода Круча'!A:A='Сводная Круча'!A29,Рудник!N:N))</f>
        <v>893.8</v>
      </c>
      <c r="H29" s="120" t="str">
        <f>IFERROR(AVERAGEIFS('Погода Круча'!D:D,'Погода Круча'!A:A,$A29),"")</f>
        <v/>
      </c>
      <c r="I29" s="117">
        <f t="array" ref="I29">MAX(IF('Погода Круча'!A:A='Сводная Круча'!A29,'Погода Круча'!D:D))</f>
        <v>0</v>
      </c>
      <c r="J29" s="117">
        <f t="array" ref="J29">MAX(IF('Погода Круча'!A:A='Сводная Круча'!A29,'Погода Круча'!E:E))</f>
        <v>0</v>
      </c>
      <c r="K29" s="118">
        <f>SUMIFS('Погода Круча'!M:M,'Погода Круча'!A:A,'Сводная Круча'!A29)</f>
        <v>0</v>
      </c>
      <c r="L29" s="118">
        <f t="array" ref="L29">SUM(SUMIFS('Погода Круча'!M:M,'Погода Круча'!A:A,A29,'Погода Круча'!B:B,{"9:00","12:00","15:00","18:00"}))</f>
        <v>0</v>
      </c>
      <c r="M29" s="118">
        <f t="array" ref="M29">SUM(SUMIFS('Погода Круча'!M:M,'Погода Круча'!A:A,A29,'Погода Круча'!B:B,{"0:00","3:00","6:00","21:00"}))</f>
        <v>0</v>
      </c>
      <c r="N29" s="117">
        <f>IFERROR(INDEX('Погода Круча'!A:Q,MATCH(A29,'Погода Круча'!A:A,0)+3,10),"")</f>
        <v>0</v>
      </c>
    </row>
    <row r="30" spans="1:14" x14ac:dyDescent="0.25">
      <c r="A30" s="116">
        <f t="shared" si="0"/>
        <v>44952</v>
      </c>
      <c r="B30" s="118" t="str">
        <f>IFERROR(AVERAGEIFS('Погода Круча'!F:F,'Погода Круча'!A:A,A30),"")</f>
        <v/>
      </c>
      <c r="C30" s="117">
        <f t="array" ref="C30">MAX(IF('Погода Круча'!A:A='Сводная Круча'!A30,'Погода Круча'!G:G))</f>
        <v>0</v>
      </c>
      <c r="D30" s="117">
        <f>MIN(IF('Погода Круча'!A:A='Сводная Круча'!$A30,'Погода Круча'!H:H))</f>
        <v>0</v>
      </c>
      <c r="E30" s="118" t="str">
        <f>IFERROR(AVERAGEIFS('Погода Круча'!O:O,'Погода Круча'!A:A,$A30),"")</f>
        <v/>
      </c>
      <c r="F30" s="118">
        <f t="array" ref="F30">MAX(IF('Погода Круча'!A:A='Сводная Круча'!A30,'Погода Круча'!O:O))</f>
        <v>0</v>
      </c>
      <c r="G30" s="118">
        <f t="array" ref="G30">MIN(IF('Погода Круча'!A:A='Сводная Круча'!A30,Рудник!N:N))</f>
        <v>901.1</v>
      </c>
      <c r="H30" s="120" t="str">
        <f>IFERROR(AVERAGEIFS('Погода Круча'!D:D,'Погода Круча'!A:A,$A30),"")</f>
        <v/>
      </c>
      <c r="I30" s="117">
        <f t="array" ref="I30">MAX(IF('Погода Круча'!A:A='Сводная Круча'!A30,'Погода Круча'!D:D))</f>
        <v>0</v>
      </c>
      <c r="J30" s="117">
        <f t="array" ref="J30">MAX(IF('Погода Круча'!A:A='Сводная Круча'!A30,'Погода Круча'!E:E))</f>
        <v>0</v>
      </c>
      <c r="K30" s="118">
        <f>SUMIFS('Погода Круча'!M:M,'Погода Круча'!A:A,'Сводная Круча'!A30)</f>
        <v>0</v>
      </c>
      <c r="L30" s="118">
        <f t="array" ref="L30">SUM(SUMIFS('Погода Круча'!M:M,'Погода Круча'!A:A,A30,'Погода Круча'!B:B,{"9:00","12:00","15:00","18:00"}))</f>
        <v>0</v>
      </c>
      <c r="M30" s="118">
        <f t="array" ref="M30">SUM(SUMIFS('Погода Круча'!M:M,'Погода Круча'!A:A,A30,'Погода Круча'!B:B,{"0:00","3:00","6:00","21:00"}))</f>
        <v>0</v>
      </c>
      <c r="N30" s="117">
        <f>IFERROR(INDEX('Погода Круча'!A:Q,MATCH(A30,'Погода Круча'!A:A,0)+3,10),"")</f>
        <v>0</v>
      </c>
    </row>
    <row r="31" spans="1:14" x14ac:dyDescent="0.25">
      <c r="A31" s="116">
        <f t="shared" si="0"/>
        <v>44953</v>
      </c>
      <c r="B31" s="118" t="str">
        <f>IFERROR(AVERAGEIFS('Погода Круча'!F:F,'Погода Круча'!A:A,A31),"")</f>
        <v/>
      </c>
      <c r="C31" s="117">
        <f t="array" ref="C31">MAX(IF('Погода Круча'!A:A='Сводная Круча'!A31,'Погода Круча'!G:G))</f>
        <v>0</v>
      </c>
      <c r="D31" s="117">
        <f>MIN(IF('Погода Круча'!A:A='Сводная Круча'!$A31,'Погода Круча'!H:H))</f>
        <v>0</v>
      </c>
      <c r="E31" s="118" t="str">
        <f>IFERROR(AVERAGEIFS('Погода Круча'!O:O,'Погода Круча'!A:A,$A31),"")</f>
        <v/>
      </c>
      <c r="F31" s="118">
        <f t="array" ref="F31">MAX(IF('Погода Круча'!A:A='Сводная Круча'!A31,'Погода Круча'!O:O))</f>
        <v>0</v>
      </c>
      <c r="G31" s="118">
        <f t="array" ref="G31">MIN(IF('Погода Круча'!A:A='Сводная Круча'!A31,Рудник!N:N))</f>
        <v>921.9</v>
      </c>
      <c r="H31" s="120" t="str">
        <f>IFERROR(AVERAGEIFS('Погода Круча'!D:D,'Погода Круча'!A:A,$A31),"")</f>
        <v/>
      </c>
      <c r="I31" s="117">
        <f t="array" ref="I31">MAX(IF('Погода Круча'!A:A='Сводная Круча'!A31,'Погода Круча'!D:D))</f>
        <v>0</v>
      </c>
      <c r="J31" s="117">
        <f t="array" ref="J31">MAX(IF('Погода Круча'!A:A='Сводная Круча'!A31,'Погода Круча'!E:E))</f>
        <v>0</v>
      </c>
      <c r="K31" s="118">
        <f>SUMIFS('Погода Круча'!M:M,'Погода Круча'!A:A,'Сводная Круча'!A31)</f>
        <v>0</v>
      </c>
      <c r="L31" s="118">
        <f t="array" ref="L31">SUM(SUMIFS('Погода Круча'!M:M,'Погода Круча'!A:A,A31,'Погода Круча'!B:B,{"9:00","12:00","15:00","18:00"}))</f>
        <v>0</v>
      </c>
      <c r="M31" s="118">
        <f t="array" ref="M31">SUM(SUMIFS('Погода Круча'!M:M,'Погода Круча'!A:A,A31,'Погода Круча'!B:B,{"0:00","3:00","6:00","21:00"}))</f>
        <v>0</v>
      </c>
      <c r="N31" s="117">
        <f>IFERROR(INDEX('Погода Круча'!A:Q,MATCH(A31,'Погода Круча'!A:A,0)+3,10),"")</f>
        <v>0</v>
      </c>
    </row>
    <row r="32" spans="1:14" x14ac:dyDescent="0.25">
      <c r="A32" s="116">
        <f t="shared" si="0"/>
        <v>44954</v>
      </c>
      <c r="B32" s="118" t="str">
        <f>IFERROR(AVERAGEIFS('Погода Круча'!F:F,'Погода Круча'!A:A,A32),"")</f>
        <v/>
      </c>
      <c r="C32" s="117">
        <f t="array" ref="C32">MAX(IF('Погода Круча'!A:A='Сводная Круча'!A32,'Погода Круча'!G:G))</f>
        <v>0</v>
      </c>
      <c r="D32" s="117">
        <f>MIN(IF('Погода Круча'!A:A='Сводная Круча'!$A32,'Погода Круча'!H:H))</f>
        <v>0</v>
      </c>
      <c r="E32" s="118" t="str">
        <f>IFERROR(AVERAGEIFS('Погода Круча'!O:O,'Погода Круча'!A:A,$A32),"")</f>
        <v/>
      </c>
      <c r="F32" s="118">
        <f t="array" ref="F32">MAX(IF('Погода Круча'!A:A='Сводная Круча'!A32,'Погода Круча'!O:O))</f>
        <v>0</v>
      </c>
      <c r="G32" s="118">
        <f t="array" ref="G32">MIN(IF('Погода Круча'!A:A='Сводная Круча'!A32,Рудник!N:N))</f>
        <v>916.2</v>
      </c>
      <c r="H32" s="120" t="str">
        <f>IFERROR(AVERAGEIFS('Погода Круча'!D:D,'Погода Круча'!A:A,$A32),"")</f>
        <v/>
      </c>
      <c r="I32" s="117">
        <f t="array" ref="I32">MAX(IF('Погода Круча'!A:A='Сводная Круча'!A32,'Погода Круча'!D:D))</f>
        <v>0</v>
      </c>
      <c r="J32" s="117">
        <f t="array" ref="J32">MAX(IF('Погода Круча'!A:A='Сводная Круча'!A32,'Погода Круча'!E:E))</f>
        <v>0</v>
      </c>
      <c r="K32" s="118">
        <f>SUMIFS('Погода Круча'!M:M,'Погода Круча'!A:A,'Сводная Круча'!A32)</f>
        <v>0</v>
      </c>
      <c r="L32" s="118">
        <f t="array" ref="L32">SUM(SUMIFS('Погода Круча'!M:M,'Погода Круча'!A:A,A32,'Погода Круча'!B:B,{"9:00","12:00","15:00","18:00"}))</f>
        <v>0</v>
      </c>
      <c r="M32" s="118">
        <f t="array" ref="M32">SUM(SUMIFS('Погода Круча'!M:M,'Погода Круча'!A:A,A32,'Погода Круча'!B:B,{"0:00","3:00","6:00","21:00"}))</f>
        <v>0</v>
      </c>
      <c r="N32" s="117">
        <f>IFERROR(INDEX('Погода Круча'!A:Q,MATCH(A32,'Погода Круча'!A:A,0)+3,10),"")</f>
        <v>0</v>
      </c>
    </row>
    <row r="33" spans="1:34" x14ac:dyDescent="0.25">
      <c r="A33" s="116">
        <f t="shared" si="0"/>
        <v>44955</v>
      </c>
      <c r="B33" s="118" t="str">
        <f>IFERROR(AVERAGEIFS('Погода Круча'!F:F,'Погода Круча'!A:A,A33),"")</f>
        <v/>
      </c>
      <c r="C33" s="117">
        <f t="array" ref="C33">MAX(IF('Погода Круча'!A:A='Сводная Круча'!A33,'Погода Круча'!G:G))</f>
        <v>0</v>
      </c>
      <c r="D33" s="117">
        <f>MIN(IF('Погода Круча'!A:A='Сводная Круча'!$A33,'Погода Круча'!H:H))</f>
        <v>0</v>
      </c>
      <c r="E33" s="118" t="str">
        <f>IFERROR(AVERAGEIFS('Погода Круча'!O:O,'Погода Круча'!A:A,$A33),"")</f>
        <v/>
      </c>
      <c r="F33" s="118">
        <f t="array" ref="F33">MAX(IF('Погода Круча'!A:A='Сводная Круча'!A33,'Погода Круча'!O:O))</f>
        <v>0</v>
      </c>
      <c r="G33" s="118">
        <f t="array" ref="G33">MIN(IF('Погода Круча'!A:A='Сводная Круча'!A33,Рудник!N:N))</f>
        <v>920.4</v>
      </c>
      <c r="H33" s="120" t="str">
        <f>IFERROR(AVERAGEIFS('Погода Круча'!D:D,'Погода Круча'!A:A,$A33),"")</f>
        <v/>
      </c>
      <c r="I33" s="117">
        <f t="array" ref="I33">MAX(IF('Погода Круча'!A:A='Сводная Круча'!A33,'Погода Круча'!D:D))</f>
        <v>0</v>
      </c>
      <c r="J33" s="117">
        <f t="array" ref="J33">MAX(IF('Погода Круча'!A:A='Сводная Круча'!A33,'Погода Круча'!E:E))</f>
        <v>0</v>
      </c>
      <c r="K33" s="118">
        <f>SUMIFS('Погода Круча'!M:M,'Погода Круча'!A:A,'Сводная Круча'!A33)</f>
        <v>0</v>
      </c>
      <c r="L33" s="118">
        <f t="array" ref="L33">SUM(SUMIFS('Погода Круча'!M:M,'Погода Круча'!A:A,A33,'Погода Круча'!B:B,{"9:00","12:00","15:00","18:00"}))</f>
        <v>0</v>
      </c>
      <c r="M33" s="118">
        <f t="array" ref="M33">SUM(SUMIFS('Погода Круча'!M:M,'Погода Круча'!A:A,A33,'Погода Круча'!B:B,{"0:00","3:00","6:00","21:00"}))</f>
        <v>0</v>
      </c>
      <c r="N33" s="117">
        <f>IFERROR(INDEX('Погода Круча'!A:Q,MATCH(A33,'Погода Круча'!A:A,0)+3,10),"")</f>
        <v>0</v>
      </c>
    </row>
    <row r="34" spans="1:34" x14ac:dyDescent="0.25">
      <c r="A34" s="116">
        <f t="shared" si="0"/>
        <v>44956</v>
      </c>
      <c r="B34" s="118" t="str">
        <f>IFERROR(AVERAGEIFS('Погода Круча'!F:F,'Погода Круча'!A:A,A34),"")</f>
        <v/>
      </c>
      <c r="C34" s="117">
        <f t="array" ref="C34">MAX(IF('Погода Круча'!A:A='Сводная Круча'!A34,'Погода Круча'!G:G))</f>
        <v>0</v>
      </c>
      <c r="D34" s="117">
        <f>MIN(IF('Погода Круча'!A:A='Сводная Круча'!$A34,'Погода Круча'!H:H))</f>
        <v>0</v>
      </c>
      <c r="E34" s="118" t="str">
        <f>IFERROR(AVERAGEIFS('Погода Круча'!O:O,'Погода Круча'!A:A,$A34),"")</f>
        <v/>
      </c>
      <c r="F34" s="118">
        <f t="array" ref="F34">MAX(IF('Погода Круча'!A:A='Сводная Круча'!A34,'Погода Круча'!O:O))</f>
        <v>0</v>
      </c>
      <c r="G34" s="118">
        <f t="array" ref="G34">MIN(IF('Погода Круча'!A:A='Сводная Круча'!A34,Рудник!N:N))</f>
        <v>931.2</v>
      </c>
      <c r="H34" s="120" t="str">
        <f>IFERROR(AVERAGEIFS('Погода Круча'!D:D,'Погода Круча'!A:A,$A34),"")</f>
        <v/>
      </c>
      <c r="I34" s="117">
        <f t="array" ref="I34">MAX(IF('Погода Круча'!A:A='Сводная Круча'!A34,'Погода Круча'!D:D))</f>
        <v>0</v>
      </c>
      <c r="J34" s="117">
        <f t="array" ref="J34">MAX(IF('Погода Круча'!A:A='Сводная Круча'!A34,'Погода Круча'!E:E))</f>
        <v>0</v>
      </c>
      <c r="K34" s="118">
        <f>SUMIFS('Погода Круча'!M:M,'Погода Круча'!A:A,'Сводная Круча'!A34)</f>
        <v>0</v>
      </c>
      <c r="L34" s="118">
        <f t="array" ref="L34">SUM(SUMIFS('Погода Круча'!M:M,'Погода Круча'!A:A,A34,'Погода Круча'!B:B,{"9:00","12:00","15:00","18:00"}))</f>
        <v>0</v>
      </c>
      <c r="M34" s="118">
        <f t="array" ref="M34">SUM(SUMIFS('Погода Круча'!M:M,'Погода Круча'!A:A,A34,'Погода Круча'!B:B,{"0:00","3:00","6:00","21:00"}))</f>
        <v>0</v>
      </c>
      <c r="N34" s="117">
        <f>IFERROR(INDEX('Погода Круча'!A:Q,MATCH(A34,'Погода Круча'!A:A,0)+3,10),"")</f>
        <v>0</v>
      </c>
    </row>
    <row r="35" spans="1:34" x14ac:dyDescent="0.25">
      <c r="A35" s="116">
        <f t="shared" si="0"/>
        <v>44957</v>
      </c>
      <c r="B35" s="118" t="str">
        <f>IFERROR(AVERAGEIFS('Погода Круча'!F:F,'Погода Круча'!A:A,A35),"")</f>
        <v/>
      </c>
      <c r="C35" s="117">
        <f t="array" ref="C35">MAX(IF('Погода Круча'!A:A='Сводная Круча'!A35,'Погода Круча'!G:G))</f>
        <v>0</v>
      </c>
      <c r="D35" s="117">
        <f>MIN(IF('Погода Круча'!A:A='Сводная Круча'!$A35,'Погода Круча'!H:H))</f>
        <v>0</v>
      </c>
      <c r="E35" s="118" t="str">
        <f>IFERROR(AVERAGEIFS('Погода Круча'!O:O,'Погода Круча'!A:A,$A35),"")</f>
        <v/>
      </c>
      <c r="F35" s="118">
        <f t="array" ref="F35">MAX(IF('Погода Круча'!A:A='Сводная Круча'!A35,'Погода Круча'!O:O))</f>
        <v>0</v>
      </c>
      <c r="G35" s="118">
        <f t="array" ref="G35">MIN(IF('Погода Круча'!A:A='Сводная Круча'!A35,Рудник!N:N))</f>
        <v>937.6</v>
      </c>
      <c r="H35" s="120" t="str">
        <f>IFERROR(AVERAGEIFS('Погода Круча'!D:D,'Погода Круча'!A:A,$A35),"")</f>
        <v/>
      </c>
      <c r="I35" s="117">
        <f t="array" ref="I35">MAX(IF('Погода Круча'!A:A='Сводная Круча'!A35,'Погода Круча'!D:D))</f>
        <v>0</v>
      </c>
      <c r="J35" s="117">
        <f t="array" ref="J35">MAX(IF('Погода Круча'!A:A='Сводная Круча'!A35,'Погода Круча'!E:E))</f>
        <v>0</v>
      </c>
      <c r="K35" s="118">
        <f>SUMIFS('Погода Круча'!M:M,'Погода Круча'!A:A,'Сводная Круча'!A35)</f>
        <v>0</v>
      </c>
      <c r="L35" s="118">
        <f t="array" ref="L35">SUM(SUMIFS('Погода Круча'!M:M,'Погода Круча'!A:A,A35,'Погода Круча'!B:B,{"9:00","12:00","15:00","18:00"}))</f>
        <v>0</v>
      </c>
      <c r="M35" s="118">
        <f t="array" ref="M35">SUM(SUMIFS('Погода Круча'!M:M,'Погода Круча'!A:A,A35,'Погода Круча'!B:B,{"0:00","3:00","6:00","21:00"}))</f>
        <v>0</v>
      </c>
      <c r="N35" s="117">
        <f>IFERROR(INDEX('Погода Круча'!A:Q,MATCH(A35,'Погода Круча'!A:A,0)+3,10),"")</f>
        <v>0</v>
      </c>
    </row>
    <row r="37" spans="1:34" x14ac:dyDescent="0.25">
      <c r="A37" s="115" t="s">
        <v>68</v>
      </c>
      <c r="B37" s="118" t="str">
        <f>IFERROR(AVERAGE(B$5:B$14),"")</f>
        <v/>
      </c>
      <c r="C37" s="118">
        <f>MAX(C$5:C$14)</f>
        <v>0</v>
      </c>
      <c r="D37" s="118">
        <f>MIN(D$5:D$14)</f>
        <v>0</v>
      </c>
      <c r="E37" s="118" t="str">
        <f>IFERROR(AVERAGE(E$5:E$14),"")</f>
        <v/>
      </c>
      <c r="F37" s="118">
        <f>MAX(F$5:F$14)</f>
        <v>0</v>
      </c>
      <c r="G37" s="118">
        <f>MIN(G$5:G$14)</f>
        <v>914.7</v>
      </c>
      <c r="H37" s="118" t="str">
        <f>IFERROR(AVERAGE(H$5:H$14),"")</f>
        <v/>
      </c>
      <c r="I37" s="120">
        <f>MAX(I$5:I$14)</f>
        <v>0</v>
      </c>
      <c r="J37" s="120">
        <f>MAX(J$5:J$14)</f>
        <v>0</v>
      </c>
      <c r="K37" s="118">
        <f t="shared" ref="K37:N37" si="1">AVERAGE(K$5:K$14)</f>
        <v>0</v>
      </c>
      <c r="L37" s="118">
        <f t="shared" si="1"/>
        <v>0</v>
      </c>
      <c r="M37" s="118">
        <f t="shared" si="1"/>
        <v>0</v>
      </c>
      <c r="N37" s="120">
        <f t="shared" si="1"/>
        <v>0</v>
      </c>
    </row>
    <row r="38" spans="1:34" x14ac:dyDescent="0.25">
      <c r="A38" s="115" t="s">
        <v>69</v>
      </c>
      <c r="B38" s="118" t="str">
        <f>IFERROR(AVERAGE(B$15:B$24),"")</f>
        <v/>
      </c>
      <c r="C38" s="118">
        <f>MAX(C$15:C$24)</f>
        <v>0</v>
      </c>
      <c r="D38" s="118">
        <f>MIN(D$15:D$24)</f>
        <v>0</v>
      </c>
      <c r="E38" s="118" t="str">
        <f>IFERROR(AVERAGE(E$15:E$24),"")</f>
        <v/>
      </c>
      <c r="F38" s="118">
        <f>MAX(F$15:F$24)</f>
        <v>0</v>
      </c>
      <c r="G38" s="118">
        <f>MIN(G$15:G$24)</f>
        <v>906</v>
      </c>
      <c r="H38" s="118" t="str">
        <f>IFERROR(AVERAGE(H$15:H$24),"")</f>
        <v/>
      </c>
      <c r="I38" s="120">
        <f>MAX(I$15:I$24)</f>
        <v>0</v>
      </c>
      <c r="J38" s="120">
        <f>MAX(J$15:J$24)</f>
        <v>0</v>
      </c>
      <c r="K38" s="118">
        <f t="shared" ref="K38:N38" si="2">AVERAGE(K$15:K$24)</f>
        <v>0</v>
      </c>
      <c r="L38" s="118">
        <f t="shared" si="2"/>
        <v>0</v>
      </c>
      <c r="M38" s="118">
        <f t="shared" si="2"/>
        <v>0</v>
      </c>
      <c r="N38" s="120">
        <f t="shared" si="2"/>
        <v>0</v>
      </c>
      <c r="P38" s="221" t="s">
        <v>96</v>
      </c>
      <c r="Q38" s="221"/>
      <c r="R38" s="221"/>
    </row>
    <row r="39" spans="1:34" x14ac:dyDescent="0.25">
      <c r="A39" s="115" t="s">
        <v>70</v>
      </c>
      <c r="B39" s="118" t="str">
        <f>IFERROR(AVERAGE(B$25:B$35),"")</f>
        <v/>
      </c>
      <c r="C39" s="118">
        <f>MAX(C$25:C$35)</f>
        <v>0</v>
      </c>
      <c r="D39" s="118">
        <f>MIN(D$25:D$35)</f>
        <v>0</v>
      </c>
      <c r="E39" s="118" t="str">
        <f>IFERROR(AVERAGE(E$25:E$35),"")</f>
        <v/>
      </c>
      <c r="F39" s="118">
        <f>MAX(F$25:F$35)</f>
        <v>0</v>
      </c>
      <c r="G39" s="118">
        <f>MIN(G$25:G$35)</f>
        <v>893.8</v>
      </c>
      <c r="H39" s="118" t="str">
        <f>IFERROR(AVERAGE(H$25:H$35),"")</f>
        <v/>
      </c>
      <c r="I39" s="120">
        <f>MAX(I$25:I$35)</f>
        <v>0</v>
      </c>
      <c r="J39" s="120">
        <f>MAX(J$25:J$35)</f>
        <v>0</v>
      </c>
      <c r="K39" s="118">
        <f t="shared" ref="K39:N39" si="3">AVERAGE(K$25:K$35)</f>
        <v>0</v>
      </c>
      <c r="L39" s="118">
        <f t="shared" si="3"/>
        <v>0</v>
      </c>
      <c r="M39" s="118">
        <f t="shared" si="3"/>
        <v>0</v>
      </c>
      <c r="N39" s="120">
        <f t="shared" si="3"/>
        <v>0</v>
      </c>
      <c r="P39" s="117" t="s">
        <v>67</v>
      </c>
      <c r="Q39" s="117" t="s">
        <v>0</v>
      </c>
      <c r="R39" s="37" t="s">
        <v>125</v>
      </c>
    </row>
    <row r="40" spans="1:34" x14ac:dyDescent="0.25">
      <c r="A40" s="115" t="s">
        <v>71</v>
      </c>
      <c r="B40" s="118" t="e">
        <f>AVERAGE(B$5:B$35)</f>
        <v>#DIV/0!</v>
      </c>
      <c r="C40" s="118">
        <f>MAX(C$5:C$35)</f>
        <v>0</v>
      </c>
      <c r="D40" s="118">
        <f>MIN(D$5:D$35)</f>
        <v>0</v>
      </c>
      <c r="E40" s="118" t="e">
        <f t="shared" ref="E40:N40" si="4">AVERAGE(E$5:E$35)</f>
        <v>#DIV/0!</v>
      </c>
      <c r="F40" s="118">
        <f>MAX(F$5:F$35)</f>
        <v>0</v>
      </c>
      <c r="G40" s="118">
        <f>MIN(G$5:G$35)</f>
        <v>893.8</v>
      </c>
      <c r="H40" s="120" t="e">
        <f t="shared" si="4"/>
        <v>#DIV/0!</v>
      </c>
      <c r="I40" s="120">
        <f>MAX(I$5:I$35)</f>
        <v>0</v>
      </c>
      <c r="J40" s="120">
        <f>MAX(J$5:J$35)</f>
        <v>0</v>
      </c>
      <c r="K40" s="118">
        <f t="shared" si="4"/>
        <v>0</v>
      </c>
      <c r="L40" s="118">
        <f t="shared" si="4"/>
        <v>0</v>
      </c>
      <c r="M40" s="118">
        <f t="shared" si="4"/>
        <v>0</v>
      </c>
      <c r="N40" s="120">
        <f t="shared" si="4"/>
        <v>0</v>
      </c>
      <c r="P40" s="118">
        <f>MAX('Сводная Круча'!K5:K35)</f>
        <v>0</v>
      </c>
      <c r="Q40" s="119">
        <f>INDEX(A1:N35,MATCH(P40,K1:K35,0),1)</f>
        <v>44927</v>
      </c>
      <c r="R40" s="37">
        <f>SUM(K5:K35)</f>
        <v>0</v>
      </c>
    </row>
    <row r="41" spans="1:34" x14ac:dyDescent="0.25">
      <c r="B41" s="4"/>
      <c r="C41" s="4"/>
      <c r="D41" s="4"/>
      <c r="E41" s="4"/>
      <c r="F41" s="4"/>
      <c r="G41" s="4"/>
      <c r="H41" s="4"/>
      <c r="I41" s="4"/>
      <c r="J41" s="4"/>
      <c r="K41" s="88"/>
      <c r="L41" s="88"/>
      <c r="M41" s="88"/>
      <c r="N41" s="4"/>
    </row>
    <row r="42" spans="1:34" ht="16.5" thickBot="1" x14ac:dyDescent="0.3">
      <c r="A42" s="93" t="s">
        <v>72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</row>
    <row r="43" spans="1:34" ht="15.75" x14ac:dyDescent="0.25">
      <c r="A43" s="94" t="s">
        <v>73</v>
      </c>
      <c r="B43" s="95" t="s">
        <v>30</v>
      </c>
      <c r="C43" s="96"/>
      <c r="D43" s="96" t="s">
        <v>31</v>
      </c>
      <c r="E43" s="96"/>
      <c r="F43" s="96" t="s">
        <v>32</v>
      </c>
      <c r="G43" s="96"/>
      <c r="H43" s="96" t="s">
        <v>33</v>
      </c>
      <c r="I43" s="96"/>
      <c r="J43" s="96" t="s">
        <v>34</v>
      </c>
      <c r="K43" s="96"/>
      <c r="L43" s="96" t="s">
        <v>35</v>
      </c>
      <c r="M43" s="96"/>
      <c r="N43" s="96" t="s">
        <v>36</v>
      </c>
      <c r="O43" s="96"/>
      <c r="P43" s="96" t="s">
        <v>37</v>
      </c>
      <c r="Q43" s="96"/>
      <c r="R43" s="96" t="s">
        <v>38</v>
      </c>
      <c r="S43" s="96"/>
      <c r="T43" s="96" t="s">
        <v>39</v>
      </c>
      <c r="U43" s="96"/>
      <c r="V43" s="96" t="s">
        <v>40</v>
      </c>
      <c r="W43" s="96"/>
      <c r="X43" s="96" t="s">
        <v>29</v>
      </c>
      <c r="Y43" s="96"/>
      <c r="Z43" s="96" t="s">
        <v>41</v>
      </c>
      <c r="AA43" s="96"/>
      <c r="AB43" s="96" t="s">
        <v>42</v>
      </c>
      <c r="AC43" s="96"/>
      <c r="AD43" s="96" t="s">
        <v>43</v>
      </c>
      <c r="AE43" s="96"/>
      <c r="AF43" s="96" t="s">
        <v>44</v>
      </c>
      <c r="AG43" s="96"/>
      <c r="AH43" s="96" t="s">
        <v>74</v>
      </c>
    </row>
    <row r="44" spans="1:34" ht="15.75" x14ac:dyDescent="0.25">
      <c r="A44" s="97"/>
      <c r="B44" s="98" t="s">
        <v>75</v>
      </c>
      <c r="C44" s="98" t="s">
        <v>76</v>
      </c>
      <c r="D44" s="98" t="s">
        <v>75</v>
      </c>
      <c r="E44" s="98" t="s">
        <v>76</v>
      </c>
      <c r="F44" s="98" t="s">
        <v>75</v>
      </c>
      <c r="G44" s="98" t="s">
        <v>76</v>
      </c>
      <c r="H44" s="98" t="s">
        <v>75</v>
      </c>
      <c r="I44" s="98" t="s">
        <v>76</v>
      </c>
      <c r="J44" s="98" t="s">
        <v>75</v>
      </c>
      <c r="K44" s="98" t="s">
        <v>76</v>
      </c>
      <c r="L44" s="98" t="s">
        <v>75</v>
      </c>
      <c r="M44" s="98" t="s">
        <v>76</v>
      </c>
      <c r="N44" s="98" t="s">
        <v>75</v>
      </c>
      <c r="O44" s="98" t="s">
        <v>76</v>
      </c>
      <c r="P44" s="98" t="s">
        <v>75</v>
      </c>
      <c r="Q44" s="98" t="s">
        <v>76</v>
      </c>
      <c r="R44" s="98" t="s">
        <v>75</v>
      </c>
      <c r="S44" s="98" t="s">
        <v>76</v>
      </c>
      <c r="T44" s="98" t="s">
        <v>75</v>
      </c>
      <c r="U44" s="98" t="s">
        <v>76</v>
      </c>
      <c r="V44" s="98" t="s">
        <v>75</v>
      </c>
      <c r="W44" s="98" t="s">
        <v>76</v>
      </c>
      <c r="X44" s="98" t="s">
        <v>75</v>
      </c>
      <c r="Y44" s="98" t="s">
        <v>76</v>
      </c>
      <c r="Z44" s="98" t="s">
        <v>75</v>
      </c>
      <c r="AA44" s="98" t="s">
        <v>76</v>
      </c>
      <c r="AB44" s="98" t="s">
        <v>75</v>
      </c>
      <c r="AC44" s="98" t="s">
        <v>76</v>
      </c>
      <c r="AD44" s="98" t="s">
        <v>75</v>
      </c>
      <c r="AE44" s="98" t="s">
        <v>76</v>
      </c>
      <c r="AF44" s="98" t="s">
        <v>75</v>
      </c>
      <c r="AG44" s="98" t="s">
        <v>76</v>
      </c>
      <c r="AH44" s="98" t="s">
        <v>75</v>
      </c>
    </row>
    <row r="45" spans="1:34" ht="15.75" x14ac:dyDescent="0.25">
      <c r="A45" s="8" t="s">
        <v>10</v>
      </c>
      <c r="B45" s="99">
        <f>COUNTIFS('Погода Круча'!$C:$C,B$43,'Погода Круча'!$B:$B,$A45)</f>
        <v>0</v>
      </c>
      <c r="C45" s="99" t="str">
        <f>IFERROR(IF(B45&lt;&gt;0,AVERAGEIFS('Погода Круча'!$D:$D,'Погода Круча'!$B:$B,$A45,'Погода Круча'!$C:$C,B$43),"~"),"~")</f>
        <v>~</v>
      </c>
      <c r="D45" s="99">
        <f>COUNTIFS('Погода Круча'!$C:$C,D$43,'Погода Круча'!$B:$B,$A45)</f>
        <v>0</v>
      </c>
      <c r="E45" s="99" t="str">
        <f>IFERROR(IF(D45&lt;&gt;0,AVERAGEIFS('Погода Круча'!$D:$D,'Погода Круча'!$B:$B,$A45,'Погода Круча'!$C:$C,D$43),"~"),"~")</f>
        <v>~</v>
      </c>
      <c r="F45" s="99">
        <f>COUNTIFS('Погода Круча'!$C:$C,F$43,'Погода Круча'!$B:$B,$A45)</f>
        <v>0</v>
      </c>
      <c r="G45" s="99" t="str">
        <f>IFERROR(IF(F45&lt;&gt;0,AVERAGEIFS('Погода Круча'!$D:$D,'Погода Круча'!$B:$B,$A45,'Погода Круча'!$C:$C,F$43),"~"),"~")</f>
        <v>~</v>
      </c>
      <c r="H45" s="99">
        <f>COUNTIFS('Погода Круча'!$C:$C,H$43,'Погода Круча'!$B:$B,$A45)</f>
        <v>0</v>
      </c>
      <c r="I45" s="99" t="str">
        <f>IFERROR(IF(H45&lt;&gt;0,AVERAGEIFS('Погода Круча'!$D:$D,'Погода Круча'!$B:$B,$A45,'Погода Круча'!$C:$C,H$43),"~"),"~")</f>
        <v>~</v>
      </c>
      <c r="J45" s="99">
        <f>COUNTIFS('Погода Круча'!$C:$C,J$43,'Погода Круча'!$B:$B,$A45)</f>
        <v>0</v>
      </c>
      <c r="K45" s="99" t="str">
        <f>IFERROR(IF(J45&lt;&gt;0,AVERAGEIFS('Погода Круча'!$D:$D,'Погода Круча'!$B:$B,$A45,'Погода Круча'!$C:$C,J$43),"~"),"~")</f>
        <v>~</v>
      </c>
      <c r="L45" s="99">
        <f>COUNTIFS('Погода Круча'!$C:$C,L$43,'Погода Круча'!$B:$B,$A45)</f>
        <v>0</v>
      </c>
      <c r="M45" s="99" t="str">
        <f>IFERROR(IF(L45&lt;&gt;0,AVERAGEIFS('Погода Круча'!$D:$D,'Погода Круча'!$B:$B,$A45,'Погода Круча'!$C:$C,L$43),"~"),"~")</f>
        <v>~</v>
      </c>
      <c r="N45" s="99">
        <f>COUNTIFS('Погода Круча'!$C:$C,N$43,'Погода Круча'!$B:$B,$A45)</f>
        <v>0</v>
      </c>
      <c r="O45" s="99" t="str">
        <f>IFERROR(IF(N45&lt;&gt;0,AVERAGEIFS('Погода Круча'!$D:$D,'Погода Круча'!$B:$B,$A45,'Погода Круча'!$C:$C,N$43),"~"),"~")</f>
        <v>~</v>
      </c>
      <c r="P45" s="99">
        <f>COUNTIFS('Погода Круча'!$C:$C,P$43,'Погода Круча'!$B:$B,$A45)</f>
        <v>0</v>
      </c>
      <c r="Q45" s="99" t="str">
        <f>IFERROR(IF(P45&lt;&gt;0,AVERAGEIFS('Погода Круча'!$D:$D,'Погода Круча'!$B:$B,$A45,'Погода Круча'!$C:$C,P$43),"~"),"~")</f>
        <v>~</v>
      </c>
      <c r="R45" s="99">
        <f>COUNTIFS('Погода Круча'!$C:$C,R$43,'Погода Круча'!$B:$B,$A45)</f>
        <v>0</v>
      </c>
      <c r="S45" s="99" t="str">
        <f>IFERROR(IF(R45&lt;&gt;0,AVERAGEIFS('Погода Круча'!$D:$D,'Погода Круча'!$B:$B,$A45,'Погода Круча'!$C:$C,R$43),"~"),"~")</f>
        <v>~</v>
      </c>
      <c r="T45" s="99">
        <f>COUNTIFS('Погода Круча'!$C:$C,T$43,'Погода Круча'!$B:$B,$A45)</f>
        <v>0</v>
      </c>
      <c r="U45" s="99" t="str">
        <f>IFERROR(IF(T45&lt;&gt;0,AVERAGEIFS('Погода Круча'!$D:$D,'Погода Круча'!$B:$B,$A45,'Погода Круча'!$C:$C,T$43),"~"),"~")</f>
        <v>~</v>
      </c>
      <c r="V45" s="99">
        <f>COUNTIFS('Погода Круча'!$C:$C,V$43,'Погода Круча'!$B:$B,$A45)</f>
        <v>0</v>
      </c>
      <c r="W45" s="99" t="str">
        <f>IFERROR(IF(V45&lt;&gt;0,AVERAGEIFS('Погода Круча'!$D:$D,'Погода Круча'!$B:$B,$A45,'Погода Круча'!$C:$C,V$43),"~"),"~")</f>
        <v>~</v>
      </c>
      <c r="X45" s="99">
        <f>COUNTIFS('Погода Круча'!$C:$C,X$43,'Погода Круча'!$B:$B,$A45)</f>
        <v>0</v>
      </c>
      <c r="Y45" s="99" t="str">
        <f>IFERROR(IF(X45&lt;&gt;0,AVERAGEIFS('Погода Круча'!$D:$D,'Погода Круча'!$B:$B,$A45,'Погода Круча'!$C:$C,X$43),"~"),"~")</f>
        <v>~</v>
      </c>
      <c r="Z45" s="99">
        <f>COUNTIFS('Погода Круча'!$C:$C,Z$43,'Погода Круча'!$B:$B,$A45)</f>
        <v>0</v>
      </c>
      <c r="AA45" s="99" t="str">
        <f>IFERROR(IF(Z45&lt;&gt;0,AVERAGEIFS('Погода Круча'!$D:$D,'Погода Круча'!$B:$B,$A45,'Погода Круча'!$C:$C,Z$43),"~"),"~")</f>
        <v>~</v>
      </c>
      <c r="AB45" s="99">
        <f>COUNTIFS('Погода Круча'!$C:$C,AB$43,'Погода Круча'!$B:$B,$A45)</f>
        <v>0</v>
      </c>
      <c r="AC45" s="99" t="str">
        <f>IFERROR(IF(AB45&lt;&gt;0,AVERAGEIFS('Погода Круча'!$D:$D,'Погода Круча'!$B:$B,$A45,'Погода Круча'!$C:$C,AB$43),"~"),"~")</f>
        <v>~</v>
      </c>
      <c r="AD45" s="99">
        <f>COUNTIFS('Погода Круча'!$C:$C,AD$43,'Погода Круча'!$B:$B,$A45)</f>
        <v>0</v>
      </c>
      <c r="AE45" s="99" t="str">
        <f>IFERROR(IF(AD45&lt;&gt;0,AVERAGEIFS('Погода Круча'!$D:$D,'Погода Круча'!$B:$B,$A45,'Погода Круча'!$C:$C,AD$43),"~"),"~")</f>
        <v>~</v>
      </c>
      <c r="AF45" s="99">
        <f>COUNTIFS('Погода Круча'!$C:$C,AF$43,'Погода Круча'!$B:$B,$A45)</f>
        <v>0</v>
      </c>
      <c r="AG45" s="99" t="str">
        <f>IFERROR(IF(AF45&lt;&gt;0,AVERAGEIFS('Погода Круча'!$D:$D,'Погода Круча'!$B:$B,$A45,'Погода Круча'!$C:$C,AF$43),"~"),"~")</f>
        <v>~</v>
      </c>
      <c r="AH45" s="99">
        <f>COUNTIFS('Погода Круча'!$C:$C,AH$43,'Погода Круча'!$B:$B,$A45)</f>
        <v>0</v>
      </c>
    </row>
    <row r="46" spans="1:34" ht="15.75" x14ac:dyDescent="0.25">
      <c r="A46" s="8" t="s">
        <v>11</v>
      </c>
      <c r="B46" s="99">
        <f>COUNTIFS('Погода Круча'!$C:$C,B$43,'Погода Круча'!$B:$B,$A46)</f>
        <v>0</v>
      </c>
      <c r="C46" s="99" t="str">
        <f>IFERROR(IF(B46&lt;&gt;0,AVERAGEIFS('Погода Круча'!$D:$D,'Погода Круча'!$B:$B,$A46,'Погода Круча'!$C:$C,B$43),"~"),"~")</f>
        <v>~</v>
      </c>
      <c r="D46" s="99">
        <f>COUNTIFS('Погода Круча'!$C:$C,D$43,'Погода Круча'!$B:$B,$A46)</f>
        <v>0</v>
      </c>
      <c r="E46" s="99" t="str">
        <f>IFERROR(IF(D46&lt;&gt;0,AVERAGEIFS('Погода Круча'!$D:$D,'Погода Круча'!$B:$B,$A46,'Погода Круча'!$C:$C,D$43),"~"),"~")</f>
        <v>~</v>
      </c>
      <c r="F46" s="99">
        <f>COUNTIFS('Погода Круча'!$C:$C,F$43,'Погода Круча'!$B:$B,$A46)</f>
        <v>0</v>
      </c>
      <c r="G46" s="99" t="str">
        <f>IFERROR(IF(F46&lt;&gt;0,AVERAGEIFS('Погода Круча'!$D:$D,'Погода Круча'!$B:$B,$A46,'Погода Круча'!$C:$C,F$43),"~"),"~")</f>
        <v>~</v>
      </c>
      <c r="H46" s="99">
        <f>COUNTIFS('Погода Круча'!$C:$C,H$43,'Погода Круча'!$B:$B,$A46)</f>
        <v>0</v>
      </c>
      <c r="I46" s="99" t="str">
        <f>IFERROR(IF(H46&lt;&gt;0,AVERAGEIFS('Погода Круча'!$D:$D,'Погода Круча'!$B:$B,$A46,'Погода Круча'!$C:$C,H$43),"~"),"~")</f>
        <v>~</v>
      </c>
      <c r="J46" s="99">
        <f>COUNTIFS('Погода Круча'!$C:$C,J$43,'Погода Круча'!$B:$B,$A46)</f>
        <v>0</v>
      </c>
      <c r="K46" s="99" t="str">
        <f>IFERROR(IF(J46&lt;&gt;0,AVERAGEIFS('Погода Круча'!$D:$D,'Погода Круча'!$B:$B,$A46,'Погода Круча'!$C:$C,J$43),"~"),"~")</f>
        <v>~</v>
      </c>
      <c r="L46" s="99">
        <f>COUNTIFS('Погода Круча'!$C:$C,L$43,'Погода Круча'!$B:$B,$A46)</f>
        <v>0</v>
      </c>
      <c r="M46" s="99" t="str">
        <f>IFERROR(IF(L46&lt;&gt;0,AVERAGEIFS('Погода Круча'!$D:$D,'Погода Круча'!$B:$B,$A46,'Погода Круча'!$C:$C,L$43),"~"),"~")</f>
        <v>~</v>
      </c>
      <c r="N46" s="99">
        <f>COUNTIFS('Погода Круча'!$C:$C,N$43,'Погода Круча'!$B:$B,$A46)</f>
        <v>0</v>
      </c>
      <c r="O46" s="99" t="str">
        <f>IFERROR(IF(N46&lt;&gt;0,AVERAGEIFS('Погода Круча'!$D:$D,'Погода Круча'!$B:$B,$A46,'Погода Круча'!$C:$C,N$43),"~"),"~")</f>
        <v>~</v>
      </c>
      <c r="P46" s="99">
        <f>COUNTIFS('Погода Круча'!$C:$C,P$43,'Погода Круча'!$B:$B,$A46)</f>
        <v>0</v>
      </c>
      <c r="Q46" s="99" t="str">
        <f>IFERROR(IF(P46&lt;&gt;0,AVERAGEIFS('Погода Круча'!$D:$D,'Погода Круча'!$B:$B,$A46,'Погода Круча'!$C:$C,P$43),"~"),"~")</f>
        <v>~</v>
      </c>
      <c r="R46" s="99">
        <f>COUNTIFS('Погода Круча'!$C:$C,R$43,'Погода Круча'!$B:$B,$A46)</f>
        <v>0</v>
      </c>
      <c r="S46" s="99" t="str">
        <f>IFERROR(IF(R46&lt;&gt;0,AVERAGEIFS('Погода Круча'!$D:$D,'Погода Круча'!$B:$B,$A46,'Погода Круча'!$C:$C,R$43),"~"),"~")</f>
        <v>~</v>
      </c>
      <c r="T46" s="99">
        <f>COUNTIFS('Погода Круча'!$C:$C,T$43,'Погода Круча'!$B:$B,$A46)</f>
        <v>0</v>
      </c>
      <c r="U46" s="99" t="str">
        <f>IFERROR(IF(T46&lt;&gt;0,AVERAGEIFS('Погода Круча'!$D:$D,'Погода Круча'!$B:$B,$A46,'Погода Круча'!$C:$C,T$43),"~"),"~")</f>
        <v>~</v>
      </c>
      <c r="V46" s="99">
        <f>COUNTIFS('Погода Круча'!$C:$C,V$43,'Погода Круча'!$B:$B,$A46)</f>
        <v>0</v>
      </c>
      <c r="W46" s="99" t="str">
        <f>IFERROR(IF(V46&lt;&gt;0,AVERAGEIFS('Погода Круча'!$D:$D,'Погода Круча'!$B:$B,$A46,'Погода Круча'!$C:$C,V$43),"~"),"~")</f>
        <v>~</v>
      </c>
      <c r="X46" s="99">
        <f>COUNTIFS('Погода Круча'!$C:$C,X$43,'Погода Круча'!$B:$B,$A46)</f>
        <v>0</v>
      </c>
      <c r="Y46" s="99" t="str">
        <f>IFERROR(IF(X46&lt;&gt;0,AVERAGEIFS('Погода Круча'!$D:$D,'Погода Круча'!$B:$B,$A46,'Погода Круча'!$C:$C,X$43),"~"),"~")</f>
        <v>~</v>
      </c>
      <c r="Z46" s="99">
        <f>COUNTIFS('Погода Круча'!$C:$C,Z$43,'Погода Круча'!$B:$B,$A46)</f>
        <v>0</v>
      </c>
      <c r="AA46" s="99" t="str">
        <f>IFERROR(IF(Z46&lt;&gt;0,AVERAGEIFS('Погода Круча'!$D:$D,'Погода Круча'!$B:$B,$A46,'Погода Круча'!$C:$C,Z$43),"~"),"~")</f>
        <v>~</v>
      </c>
      <c r="AB46" s="99">
        <f>COUNTIFS('Погода Круча'!$C:$C,AB$43,'Погода Круча'!$B:$B,$A46)</f>
        <v>0</v>
      </c>
      <c r="AC46" s="99" t="str">
        <f>IFERROR(IF(AB46&lt;&gt;0,AVERAGEIFS('Погода Круча'!$D:$D,'Погода Круча'!$B:$B,$A46,'Погода Круча'!$C:$C,AB$43),"~"),"~")</f>
        <v>~</v>
      </c>
      <c r="AD46" s="99">
        <f>COUNTIFS('Погода Круча'!$C:$C,AD$43,'Погода Круча'!$B:$B,$A46)</f>
        <v>0</v>
      </c>
      <c r="AE46" s="99" t="str">
        <f>IFERROR(IF(AD46&lt;&gt;0,AVERAGEIFS('Погода Круча'!$D:$D,'Погода Круча'!$B:$B,$A46,'Погода Круча'!$C:$C,AD$43),"~"),"~")</f>
        <v>~</v>
      </c>
      <c r="AF46" s="99">
        <f>COUNTIFS('Погода Круча'!$C:$C,AF$43,'Погода Круча'!$B:$B,$A46)</f>
        <v>0</v>
      </c>
      <c r="AG46" s="99" t="str">
        <f>IFERROR(IF(AF46&lt;&gt;0,AVERAGEIFS('Погода Круча'!$D:$D,'Погода Круча'!$B:$B,$A46,'Погода Круча'!$C:$C,AF$43),"~"),"~")</f>
        <v>~</v>
      </c>
      <c r="AH46" s="99">
        <f>COUNTIFS('Погода Круча'!$C:$C,AH$43,'Погода Круча'!$B:$B,$A46)</f>
        <v>0</v>
      </c>
    </row>
    <row r="47" spans="1:34" ht="15.75" x14ac:dyDescent="0.25">
      <c r="A47" s="8" t="s">
        <v>12</v>
      </c>
      <c r="B47" s="99">
        <f>COUNTIFS('Погода Круча'!$C:$C,B$43,'Погода Круча'!$B:$B,$A47)</f>
        <v>0</v>
      </c>
      <c r="C47" s="99" t="str">
        <f>IFERROR(IF(B47&lt;&gt;0,AVERAGEIFS('Погода Круча'!$D:$D,'Погода Круча'!$B:$B,$A47,'Погода Круча'!$C:$C,B$43),"~"),"~")</f>
        <v>~</v>
      </c>
      <c r="D47" s="99">
        <f>COUNTIFS('Погода Круча'!$C:$C,D$43,'Погода Круча'!$B:$B,$A47)</f>
        <v>0</v>
      </c>
      <c r="E47" s="99" t="str">
        <f>IFERROR(IF(D47&lt;&gt;0,AVERAGEIFS('Погода Круча'!$D:$D,'Погода Круча'!$B:$B,$A47,'Погода Круча'!$C:$C,D$43),"~"),"~")</f>
        <v>~</v>
      </c>
      <c r="F47" s="99">
        <f>COUNTIFS('Погода Круча'!$C:$C,F$43,'Погода Круча'!$B:$B,$A47)</f>
        <v>0</v>
      </c>
      <c r="G47" s="99" t="str">
        <f>IFERROR(IF(F47&lt;&gt;0,AVERAGEIFS('Погода Круча'!$D:$D,'Погода Круча'!$B:$B,$A47,'Погода Круча'!$C:$C,F$43),"~"),"~")</f>
        <v>~</v>
      </c>
      <c r="H47" s="99">
        <f>COUNTIFS('Погода Круча'!$C:$C,H$43,'Погода Круча'!$B:$B,$A47)</f>
        <v>0</v>
      </c>
      <c r="I47" s="99" t="str">
        <f>IFERROR(IF(H47&lt;&gt;0,AVERAGEIFS('Погода Круча'!$D:$D,'Погода Круча'!$B:$B,$A47,'Погода Круча'!$C:$C,H$43),"~"),"~")</f>
        <v>~</v>
      </c>
      <c r="J47" s="99">
        <f>COUNTIFS('Погода Круча'!$C:$C,J$43,'Погода Круча'!$B:$B,$A47)</f>
        <v>0</v>
      </c>
      <c r="K47" s="99" t="str">
        <f>IFERROR(IF(J47&lt;&gt;0,AVERAGEIFS('Погода Круча'!$D:$D,'Погода Круча'!$B:$B,$A47,'Погода Круча'!$C:$C,J$43),"~"),"~")</f>
        <v>~</v>
      </c>
      <c r="L47" s="99">
        <f>COUNTIFS('Погода Круча'!$C:$C,L$43,'Погода Круча'!$B:$B,$A47)</f>
        <v>0</v>
      </c>
      <c r="M47" s="99" t="str">
        <f>IFERROR(IF(L47&lt;&gt;0,AVERAGEIFS('Погода Круча'!$D:$D,'Погода Круча'!$B:$B,$A47,'Погода Круча'!$C:$C,L$43),"~"),"~")</f>
        <v>~</v>
      </c>
      <c r="N47" s="99">
        <f>COUNTIFS('Погода Круча'!$C:$C,N$43,'Погода Круча'!$B:$B,$A47)</f>
        <v>0</v>
      </c>
      <c r="O47" s="99" t="str">
        <f>IFERROR(IF(N47&lt;&gt;0,AVERAGEIFS('Погода Круча'!$D:$D,'Погода Круча'!$B:$B,$A47,'Погода Круча'!$C:$C,N$43),"~"),"~")</f>
        <v>~</v>
      </c>
      <c r="P47" s="99">
        <f>COUNTIFS('Погода Круча'!$C:$C,P$43,'Погода Круча'!$B:$B,$A47)</f>
        <v>0</v>
      </c>
      <c r="Q47" s="99" t="str">
        <f>IFERROR(IF(P47&lt;&gt;0,AVERAGEIFS('Погода Круча'!$D:$D,'Погода Круча'!$B:$B,$A47,'Погода Круча'!$C:$C,P$43),"~"),"~")</f>
        <v>~</v>
      </c>
      <c r="R47" s="99">
        <f>COUNTIFS('Погода Круча'!$C:$C,R$43,'Погода Круча'!$B:$B,$A47)</f>
        <v>0</v>
      </c>
      <c r="S47" s="99" t="str">
        <f>IFERROR(IF(R47&lt;&gt;0,AVERAGEIFS('Погода Круча'!$D:$D,'Погода Круча'!$B:$B,$A47,'Погода Круча'!$C:$C,R$43),"~"),"~")</f>
        <v>~</v>
      </c>
      <c r="T47" s="99">
        <f>COUNTIFS('Погода Круча'!$C:$C,T$43,'Погода Круча'!$B:$B,$A47)</f>
        <v>0</v>
      </c>
      <c r="U47" s="99" t="str">
        <f>IFERROR(IF(T47&lt;&gt;0,AVERAGEIFS('Погода Круча'!$D:$D,'Погода Круча'!$B:$B,$A47,'Погода Круча'!$C:$C,T$43),"~"),"~")</f>
        <v>~</v>
      </c>
      <c r="V47" s="99">
        <f>COUNTIFS('Погода Круча'!$C:$C,V$43,'Погода Круча'!$B:$B,$A47)</f>
        <v>0</v>
      </c>
      <c r="W47" s="99" t="str">
        <f>IFERROR(IF(V47&lt;&gt;0,AVERAGEIFS('Погода Круча'!$D:$D,'Погода Круча'!$B:$B,$A47,'Погода Круча'!$C:$C,V$43),"~"),"~")</f>
        <v>~</v>
      </c>
      <c r="X47" s="99">
        <f>COUNTIFS('Погода Круча'!$C:$C,X$43,'Погода Круча'!$B:$B,$A47)</f>
        <v>0</v>
      </c>
      <c r="Y47" s="99" t="str">
        <f>IFERROR(IF(X47&lt;&gt;0,AVERAGEIFS('Погода Круча'!$D:$D,'Погода Круча'!$B:$B,$A47,'Погода Круча'!$C:$C,X$43),"~"),"~")</f>
        <v>~</v>
      </c>
      <c r="Z47" s="99">
        <f>COUNTIFS('Погода Круча'!$C:$C,Z$43,'Погода Круча'!$B:$B,$A47)</f>
        <v>0</v>
      </c>
      <c r="AA47" s="99" t="str">
        <f>IFERROR(IF(Z47&lt;&gt;0,AVERAGEIFS('Погода Круча'!$D:$D,'Погода Круча'!$B:$B,$A47,'Погода Круча'!$C:$C,Z$43),"~"),"~")</f>
        <v>~</v>
      </c>
      <c r="AB47" s="99">
        <f>COUNTIFS('Погода Круча'!$C:$C,AB$43,'Погода Круча'!$B:$B,$A47)</f>
        <v>0</v>
      </c>
      <c r="AC47" s="99" t="str">
        <f>IFERROR(IF(AB47&lt;&gt;0,AVERAGEIFS('Погода Круча'!$D:$D,'Погода Круча'!$B:$B,$A47,'Погода Круча'!$C:$C,AB$43),"~"),"~")</f>
        <v>~</v>
      </c>
      <c r="AD47" s="99">
        <f>COUNTIFS('Погода Круча'!$C:$C,AD$43,'Погода Круча'!$B:$B,$A47)</f>
        <v>0</v>
      </c>
      <c r="AE47" s="99" t="str">
        <f>IFERROR(IF(AD47&lt;&gt;0,AVERAGEIFS('Погода Круча'!$D:$D,'Погода Круча'!$B:$B,$A47,'Погода Круча'!$C:$C,AD$43),"~"),"~")</f>
        <v>~</v>
      </c>
      <c r="AF47" s="99">
        <f>COUNTIFS('Погода Круча'!$C:$C,AF$43,'Погода Круча'!$B:$B,$A47)</f>
        <v>0</v>
      </c>
      <c r="AG47" s="99" t="str">
        <f>IFERROR(IF(AF47&lt;&gt;0,AVERAGEIFS('Погода Круча'!$D:$D,'Погода Круча'!$B:$B,$A47,'Погода Круча'!$C:$C,AF$43),"~"),"~")</f>
        <v>~</v>
      </c>
      <c r="AH47" s="99">
        <f>COUNTIFS('Погода Круча'!$C:$C,AH$43,'Погода Круча'!$B:$B,$A47)</f>
        <v>0</v>
      </c>
    </row>
    <row r="48" spans="1:34" ht="15.75" x14ac:dyDescent="0.25">
      <c r="A48" s="8" t="s">
        <v>13</v>
      </c>
      <c r="B48" s="99">
        <f>COUNTIFS('Погода Круча'!$C:$C,B$43,'Погода Круча'!$B:$B,$A48)</f>
        <v>0</v>
      </c>
      <c r="C48" s="99" t="str">
        <f>IFERROR(IF(B48&lt;&gt;0,AVERAGEIFS('Погода Круча'!$D:$D,'Погода Круча'!$B:$B,$A48,'Погода Круча'!$C:$C,B$43),"~"),"~")</f>
        <v>~</v>
      </c>
      <c r="D48" s="99">
        <f>COUNTIFS('Погода Круча'!$C:$C,D$43,'Погода Круча'!$B:$B,$A48)</f>
        <v>0</v>
      </c>
      <c r="E48" s="99" t="str">
        <f>IFERROR(IF(D48&lt;&gt;0,AVERAGEIFS('Погода Круча'!$D:$D,'Погода Круча'!$B:$B,$A48,'Погода Круча'!$C:$C,D$43),"~"),"~")</f>
        <v>~</v>
      </c>
      <c r="F48" s="99">
        <f>COUNTIFS('Погода Круча'!$C:$C,F$43,'Погода Круча'!$B:$B,$A48)</f>
        <v>0</v>
      </c>
      <c r="G48" s="99" t="str">
        <f>IFERROR(IF(F48&lt;&gt;0,AVERAGEIFS('Погода Круча'!$D:$D,'Погода Круча'!$B:$B,$A48,'Погода Круча'!$C:$C,F$43),"~"),"~")</f>
        <v>~</v>
      </c>
      <c r="H48" s="99">
        <f>COUNTIFS('Погода Круча'!$C:$C,H$43,'Погода Круча'!$B:$B,$A48)</f>
        <v>0</v>
      </c>
      <c r="I48" s="99" t="str">
        <f>IFERROR(IF(H48&lt;&gt;0,AVERAGEIFS('Погода Круча'!$D:$D,'Погода Круча'!$B:$B,$A48,'Погода Круча'!$C:$C,H$43),"~"),"~")</f>
        <v>~</v>
      </c>
      <c r="J48" s="99">
        <f>COUNTIFS('Погода Круча'!$C:$C,J$43,'Погода Круча'!$B:$B,$A48)</f>
        <v>0</v>
      </c>
      <c r="K48" s="99" t="str">
        <f>IFERROR(IF(J48&lt;&gt;0,AVERAGEIFS('Погода Круча'!$D:$D,'Погода Круча'!$B:$B,$A48,'Погода Круча'!$C:$C,J$43),"~"),"~")</f>
        <v>~</v>
      </c>
      <c r="L48" s="99">
        <f>COUNTIFS('Погода Круча'!$C:$C,L$43,'Погода Круча'!$B:$B,$A48)</f>
        <v>0</v>
      </c>
      <c r="M48" s="99" t="str">
        <f>IFERROR(IF(L48&lt;&gt;0,AVERAGEIFS('Погода Круча'!$D:$D,'Погода Круча'!$B:$B,$A48,'Погода Круча'!$C:$C,L$43),"~"),"~")</f>
        <v>~</v>
      </c>
      <c r="N48" s="99">
        <f>COUNTIFS('Погода Круча'!$C:$C,N$43,'Погода Круча'!$B:$B,$A48)</f>
        <v>0</v>
      </c>
      <c r="O48" s="99" t="str">
        <f>IFERROR(IF(N48&lt;&gt;0,AVERAGEIFS('Погода Круча'!$D:$D,'Погода Круча'!$B:$B,$A48,'Погода Круча'!$C:$C,N$43),"~"),"~")</f>
        <v>~</v>
      </c>
      <c r="P48" s="99">
        <f>COUNTIFS('Погода Круча'!$C:$C,P$43,'Погода Круча'!$B:$B,$A48)</f>
        <v>0</v>
      </c>
      <c r="Q48" s="99" t="str">
        <f>IFERROR(IF(P48&lt;&gt;0,AVERAGEIFS('Погода Круча'!$D:$D,'Погода Круча'!$B:$B,$A48,'Погода Круча'!$C:$C,P$43),"~"),"~")</f>
        <v>~</v>
      </c>
      <c r="R48" s="99">
        <f>COUNTIFS('Погода Круча'!$C:$C,R$43,'Погода Круча'!$B:$B,$A48)</f>
        <v>0</v>
      </c>
      <c r="S48" s="99" t="str">
        <f>IFERROR(IF(R48&lt;&gt;0,AVERAGEIFS('Погода Круча'!$D:$D,'Погода Круча'!$B:$B,$A48,'Погода Круча'!$C:$C,R$43),"~"),"~")</f>
        <v>~</v>
      </c>
      <c r="T48" s="99">
        <f>COUNTIFS('Погода Круча'!$C:$C,T$43,'Погода Круча'!$B:$B,$A48)</f>
        <v>0</v>
      </c>
      <c r="U48" s="99" t="str">
        <f>IFERROR(IF(T48&lt;&gt;0,AVERAGEIFS('Погода Круча'!$D:$D,'Погода Круча'!$B:$B,$A48,'Погода Круча'!$C:$C,T$43),"~"),"~")</f>
        <v>~</v>
      </c>
      <c r="V48" s="99">
        <f>COUNTIFS('Погода Круча'!$C:$C,V$43,'Погода Круча'!$B:$B,$A48)</f>
        <v>0</v>
      </c>
      <c r="W48" s="99" t="str">
        <f>IFERROR(IF(V48&lt;&gt;0,AVERAGEIFS('Погода Круча'!$D:$D,'Погода Круча'!$B:$B,$A48,'Погода Круча'!$C:$C,V$43),"~"),"~")</f>
        <v>~</v>
      </c>
      <c r="X48" s="99">
        <f>COUNTIFS('Погода Круча'!$C:$C,X$43,'Погода Круча'!$B:$B,$A48)</f>
        <v>0</v>
      </c>
      <c r="Y48" s="99" t="str">
        <f>IFERROR(IF(X48&lt;&gt;0,AVERAGEIFS('Погода Круча'!$D:$D,'Погода Круча'!$B:$B,$A48,'Погода Круча'!$C:$C,X$43),"~"),"~")</f>
        <v>~</v>
      </c>
      <c r="Z48" s="99">
        <f>COUNTIFS('Погода Круча'!$C:$C,Z$43,'Погода Круча'!$B:$B,$A48)</f>
        <v>0</v>
      </c>
      <c r="AA48" s="99" t="str">
        <f>IFERROR(IF(Z48&lt;&gt;0,AVERAGEIFS('Погода Круча'!$D:$D,'Погода Круча'!$B:$B,$A48,'Погода Круча'!$C:$C,Z$43),"~"),"~")</f>
        <v>~</v>
      </c>
      <c r="AB48" s="99">
        <f>COUNTIFS('Погода Круча'!$C:$C,AB$43,'Погода Круча'!$B:$B,$A48)</f>
        <v>0</v>
      </c>
      <c r="AC48" s="99" t="str">
        <f>IFERROR(IF(AB48&lt;&gt;0,AVERAGEIFS('Погода Круча'!$D:$D,'Погода Круча'!$B:$B,$A48,'Погода Круча'!$C:$C,AB$43),"~"),"~")</f>
        <v>~</v>
      </c>
      <c r="AD48" s="99">
        <f>COUNTIFS('Погода Круча'!$C:$C,AD$43,'Погода Круча'!$B:$B,$A48)</f>
        <v>0</v>
      </c>
      <c r="AE48" s="99" t="str">
        <f>IFERROR(IF(AD48&lt;&gt;0,AVERAGEIFS('Погода Круча'!$D:$D,'Погода Круча'!$B:$B,$A48,'Погода Круча'!$C:$C,AD$43),"~"),"~")</f>
        <v>~</v>
      </c>
      <c r="AF48" s="99">
        <f>COUNTIFS('Погода Круча'!$C:$C,AF$43,'Погода Круча'!$B:$B,$A48)</f>
        <v>0</v>
      </c>
      <c r="AG48" s="99" t="str">
        <f>IFERROR(IF(AF48&lt;&gt;0,AVERAGEIFS('Погода Круча'!$D:$D,'Погода Круча'!$B:$B,$A48,'Погода Круча'!$C:$C,AF$43),"~"),"~")</f>
        <v>~</v>
      </c>
      <c r="AH48" s="99">
        <f>COUNTIFS('Погода Круча'!$C:$C,AH$43,'Погода Круча'!$B:$B,$A48)</f>
        <v>0</v>
      </c>
    </row>
    <row r="49" spans="1:34" ht="15.75" x14ac:dyDescent="0.25">
      <c r="A49" s="8" t="s">
        <v>14</v>
      </c>
      <c r="B49" s="99">
        <f>COUNTIFS('Погода Круча'!$C:$C,B$43,'Погода Круча'!$B:$B,$A49)</f>
        <v>0</v>
      </c>
      <c r="C49" s="99" t="str">
        <f>IFERROR(IF(B49&lt;&gt;0,AVERAGEIFS('Погода Круча'!$D:$D,'Погода Круча'!$B:$B,$A49,'Погода Круча'!$C:$C,B$43),"~"),"~")</f>
        <v>~</v>
      </c>
      <c r="D49" s="99">
        <f>COUNTIFS('Погода Круча'!$C:$C,D$43,'Погода Круча'!$B:$B,$A49)</f>
        <v>0</v>
      </c>
      <c r="E49" s="99" t="str">
        <f>IFERROR(IF(D49&lt;&gt;0,AVERAGEIFS('Погода Круча'!$D:$D,'Погода Круча'!$B:$B,$A49,'Погода Круча'!$C:$C,D$43),"~"),"~")</f>
        <v>~</v>
      </c>
      <c r="F49" s="99">
        <f>COUNTIFS('Погода Круча'!$C:$C,F$43,'Погода Круча'!$B:$B,$A49)</f>
        <v>0</v>
      </c>
      <c r="G49" s="99" t="str">
        <f>IFERROR(IF(F49&lt;&gt;0,AVERAGEIFS('Погода Круча'!$D:$D,'Погода Круча'!$B:$B,$A49,'Погода Круча'!$C:$C,F$43),"~"),"~")</f>
        <v>~</v>
      </c>
      <c r="H49" s="99">
        <f>COUNTIFS('Погода Круча'!$C:$C,H$43,'Погода Круча'!$B:$B,$A49)</f>
        <v>0</v>
      </c>
      <c r="I49" s="99" t="str">
        <f>IFERROR(IF(H49&lt;&gt;0,AVERAGEIFS('Погода Круча'!$D:$D,'Погода Круча'!$B:$B,$A49,'Погода Круча'!$C:$C,H$43),"~"),"~")</f>
        <v>~</v>
      </c>
      <c r="J49" s="99">
        <f>COUNTIFS('Погода Круча'!$C:$C,J$43,'Погода Круча'!$B:$B,$A49)</f>
        <v>0</v>
      </c>
      <c r="K49" s="99" t="str">
        <f>IFERROR(IF(J49&lt;&gt;0,AVERAGEIFS('Погода Круча'!$D:$D,'Погода Круча'!$B:$B,$A49,'Погода Круча'!$C:$C,J$43),"~"),"~")</f>
        <v>~</v>
      </c>
      <c r="L49" s="99">
        <f>COUNTIFS('Погода Круча'!$C:$C,L$43,'Погода Круча'!$B:$B,$A49)</f>
        <v>0</v>
      </c>
      <c r="M49" s="99" t="str">
        <f>IFERROR(IF(L49&lt;&gt;0,AVERAGEIFS('Погода Круча'!$D:$D,'Погода Круча'!$B:$B,$A49,'Погода Круча'!$C:$C,L$43),"~"),"~")</f>
        <v>~</v>
      </c>
      <c r="N49" s="99">
        <f>COUNTIFS('Погода Круча'!$C:$C,N$43,'Погода Круча'!$B:$B,$A49)</f>
        <v>0</v>
      </c>
      <c r="O49" s="99" t="str">
        <f>IFERROR(IF(N49&lt;&gt;0,AVERAGEIFS('Погода Круча'!$D:$D,'Погода Круча'!$B:$B,$A49,'Погода Круча'!$C:$C,N$43),"~"),"~")</f>
        <v>~</v>
      </c>
      <c r="P49" s="99">
        <f>COUNTIFS('Погода Круча'!$C:$C,P$43,'Погода Круча'!$B:$B,$A49)</f>
        <v>0</v>
      </c>
      <c r="Q49" s="99" t="str">
        <f>IFERROR(IF(P49&lt;&gt;0,AVERAGEIFS('Погода Круча'!$D:$D,'Погода Круча'!$B:$B,$A49,'Погода Круча'!$C:$C,P$43),"~"),"~")</f>
        <v>~</v>
      </c>
      <c r="R49" s="99">
        <f>COUNTIFS('Погода Круча'!$C:$C,R$43,'Погода Круча'!$B:$B,$A49)</f>
        <v>0</v>
      </c>
      <c r="S49" s="99" t="str">
        <f>IFERROR(IF(R49&lt;&gt;0,AVERAGEIFS('Погода Круча'!$D:$D,'Погода Круча'!$B:$B,$A49,'Погода Круча'!$C:$C,R$43),"~"),"~")</f>
        <v>~</v>
      </c>
      <c r="T49" s="99">
        <f>COUNTIFS('Погода Круча'!$C:$C,T$43,'Погода Круча'!$B:$B,$A49)</f>
        <v>0</v>
      </c>
      <c r="U49" s="99" t="str">
        <f>IFERROR(IF(T49&lt;&gt;0,AVERAGEIFS('Погода Круча'!$D:$D,'Погода Круча'!$B:$B,$A49,'Погода Круча'!$C:$C,T$43),"~"),"~")</f>
        <v>~</v>
      </c>
      <c r="V49" s="99">
        <f>COUNTIFS('Погода Круча'!$C:$C,V$43,'Погода Круча'!$B:$B,$A49)</f>
        <v>0</v>
      </c>
      <c r="W49" s="99" t="str">
        <f>IFERROR(IF(V49&lt;&gt;0,AVERAGEIFS('Погода Круча'!$D:$D,'Погода Круча'!$B:$B,$A49,'Погода Круча'!$C:$C,V$43),"~"),"~")</f>
        <v>~</v>
      </c>
      <c r="X49" s="99">
        <f>COUNTIFS('Погода Круча'!$C:$C,X$43,'Погода Круча'!$B:$B,$A49)</f>
        <v>0</v>
      </c>
      <c r="Y49" s="99" t="str">
        <f>IFERROR(IF(X49&lt;&gt;0,AVERAGEIFS('Погода Круча'!$D:$D,'Погода Круча'!$B:$B,$A49,'Погода Круча'!$C:$C,X$43),"~"),"~")</f>
        <v>~</v>
      </c>
      <c r="Z49" s="99">
        <f>COUNTIFS('Погода Круча'!$C:$C,Z$43,'Погода Круча'!$B:$B,$A49)</f>
        <v>0</v>
      </c>
      <c r="AA49" s="99" t="str">
        <f>IFERROR(IF(Z49&lt;&gt;0,AVERAGEIFS('Погода Круча'!$D:$D,'Погода Круча'!$B:$B,$A49,'Погода Круча'!$C:$C,Z$43),"~"),"~")</f>
        <v>~</v>
      </c>
      <c r="AB49" s="99">
        <f>COUNTIFS('Погода Круча'!$C:$C,AB$43,'Погода Круча'!$B:$B,$A49)</f>
        <v>0</v>
      </c>
      <c r="AC49" s="99" t="str">
        <f>IFERROR(IF(AB49&lt;&gt;0,AVERAGEIFS('Погода Круча'!$D:$D,'Погода Круча'!$B:$B,$A49,'Погода Круча'!$C:$C,AB$43),"~"),"~")</f>
        <v>~</v>
      </c>
      <c r="AD49" s="99">
        <f>COUNTIFS('Погода Круча'!$C:$C,AD$43,'Погода Круча'!$B:$B,$A49)</f>
        <v>0</v>
      </c>
      <c r="AE49" s="99" t="str">
        <f>IFERROR(IF(AD49&lt;&gt;0,AVERAGEIFS('Погода Круча'!$D:$D,'Погода Круча'!$B:$B,$A49,'Погода Круча'!$C:$C,AD$43),"~"),"~")</f>
        <v>~</v>
      </c>
      <c r="AF49" s="99">
        <f>COUNTIFS('Погода Круча'!$C:$C,AF$43,'Погода Круча'!$B:$B,$A49)</f>
        <v>0</v>
      </c>
      <c r="AG49" s="99" t="str">
        <f>IFERROR(IF(AF49&lt;&gt;0,AVERAGEIFS('Погода Круча'!$D:$D,'Погода Круча'!$B:$B,$A49,'Погода Круча'!$C:$C,AF$43),"~"),"~")</f>
        <v>~</v>
      </c>
      <c r="AH49" s="99">
        <f>COUNTIFS('Погода Круча'!$C:$C,AH$43,'Погода Круча'!$B:$B,$A49)</f>
        <v>0</v>
      </c>
    </row>
    <row r="50" spans="1:34" ht="15.75" x14ac:dyDescent="0.25">
      <c r="A50" s="8" t="s">
        <v>15</v>
      </c>
      <c r="B50" s="99">
        <f>COUNTIFS('Погода Круча'!$C:$C,B$43,'Погода Круча'!$B:$B,$A50)</f>
        <v>0</v>
      </c>
      <c r="C50" s="99" t="str">
        <f>IFERROR(IF(B50&lt;&gt;0,AVERAGEIFS('Погода Круча'!$D:$D,'Погода Круча'!$B:$B,$A50,'Погода Круча'!$C:$C,B$43),"~"),"~")</f>
        <v>~</v>
      </c>
      <c r="D50" s="99">
        <f>COUNTIFS('Погода Круча'!$C:$C,D$43,'Погода Круча'!$B:$B,$A50)</f>
        <v>0</v>
      </c>
      <c r="E50" s="99" t="str">
        <f>IFERROR(IF(D50&lt;&gt;0,AVERAGEIFS('Погода Круча'!$D:$D,'Погода Круча'!$B:$B,$A50,'Погода Круча'!$C:$C,D$43),"~"),"~")</f>
        <v>~</v>
      </c>
      <c r="F50" s="99">
        <f>COUNTIFS('Погода Круча'!$C:$C,F$43,'Погода Круча'!$B:$B,$A50)</f>
        <v>0</v>
      </c>
      <c r="G50" s="99" t="str">
        <f>IFERROR(IF(F50&lt;&gt;0,AVERAGEIFS('Погода Круча'!$D:$D,'Погода Круча'!$B:$B,$A50,'Погода Круча'!$C:$C,F$43),"~"),"~")</f>
        <v>~</v>
      </c>
      <c r="H50" s="99">
        <f>COUNTIFS('Погода Круча'!$C:$C,H$43,'Погода Круча'!$B:$B,$A50)</f>
        <v>0</v>
      </c>
      <c r="I50" s="99" t="str">
        <f>IFERROR(IF(H50&lt;&gt;0,AVERAGEIFS('Погода Круча'!$D:$D,'Погода Круча'!$B:$B,$A50,'Погода Круча'!$C:$C,H$43),"~"),"~")</f>
        <v>~</v>
      </c>
      <c r="J50" s="99">
        <f>COUNTIFS('Погода Круча'!$C:$C,J$43,'Погода Круча'!$B:$B,$A50)</f>
        <v>0</v>
      </c>
      <c r="K50" s="99" t="str">
        <f>IFERROR(IF(J50&lt;&gt;0,AVERAGEIFS('Погода Круча'!$D:$D,'Погода Круча'!$B:$B,$A50,'Погода Круча'!$C:$C,J$43),"~"),"~")</f>
        <v>~</v>
      </c>
      <c r="L50" s="99">
        <f>COUNTIFS('Погода Круча'!$C:$C,L$43,'Погода Круча'!$B:$B,$A50)</f>
        <v>0</v>
      </c>
      <c r="M50" s="99" t="str">
        <f>IFERROR(IF(L50&lt;&gt;0,AVERAGEIFS('Погода Круча'!$D:$D,'Погода Круча'!$B:$B,$A50,'Погода Круча'!$C:$C,L$43),"~"),"~")</f>
        <v>~</v>
      </c>
      <c r="N50" s="99">
        <f>COUNTIFS('Погода Круча'!$C:$C,N$43,'Погода Круча'!$B:$B,$A50)</f>
        <v>0</v>
      </c>
      <c r="O50" s="99" t="str">
        <f>IFERROR(IF(N50&lt;&gt;0,AVERAGEIFS('Погода Круча'!$D:$D,'Погода Круча'!$B:$B,$A50,'Погода Круча'!$C:$C,N$43),"~"),"~")</f>
        <v>~</v>
      </c>
      <c r="P50" s="99">
        <f>COUNTIFS('Погода Круча'!$C:$C,P$43,'Погода Круча'!$B:$B,$A50)</f>
        <v>0</v>
      </c>
      <c r="Q50" s="99" t="str">
        <f>IFERROR(IF(P50&lt;&gt;0,AVERAGEIFS('Погода Круча'!$D:$D,'Погода Круча'!$B:$B,$A50,'Погода Круча'!$C:$C,P$43),"~"),"~")</f>
        <v>~</v>
      </c>
      <c r="R50" s="99">
        <f>COUNTIFS('Погода Круча'!$C:$C,R$43,'Погода Круча'!$B:$B,$A50)</f>
        <v>0</v>
      </c>
      <c r="S50" s="99" t="str">
        <f>IFERROR(IF(R50&lt;&gt;0,AVERAGEIFS('Погода Круча'!$D:$D,'Погода Круча'!$B:$B,$A50,'Погода Круча'!$C:$C,R$43),"~"),"~")</f>
        <v>~</v>
      </c>
      <c r="T50" s="99">
        <f>COUNTIFS('Погода Круча'!$C:$C,T$43,'Погода Круча'!$B:$B,$A50)</f>
        <v>0</v>
      </c>
      <c r="U50" s="99" t="str">
        <f>IFERROR(IF(T50&lt;&gt;0,AVERAGEIFS('Погода Круча'!$D:$D,'Погода Круча'!$B:$B,$A50,'Погода Круча'!$C:$C,T$43),"~"),"~")</f>
        <v>~</v>
      </c>
      <c r="V50" s="99">
        <f>COUNTIFS('Погода Круча'!$C:$C,V$43,'Погода Круча'!$B:$B,$A50)</f>
        <v>0</v>
      </c>
      <c r="W50" s="99" t="str">
        <f>IFERROR(IF(V50&lt;&gt;0,AVERAGEIFS('Погода Круча'!$D:$D,'Погода Круча'!$B:$B,$A50,'Погода Круча'!$C:$C,V$43),"~"),"~")</f>
        <v>~</v>
      </c>
      <c r="X50" s="99">
        <f>COUNTIFS('Погода Круча'!$C:$C,X$43,'Погода Круча'!$B:$B,$A50)</f>
        <v>0</v>
      </c>
      <c r="Y50" s="99" t="str">
        <f>IFERROR(IF(X50&lt;&gt;0,AVERAGEIFS('Погода Круча'!$D:$D,'Погода Круча'!$B:$B,$A50,'Погода Круча'!$C:$C,X$43),"~"),"~")</f>
        <v>~</v>
      </c>
      <c r="Z50" s="99">
        <f>COUNTIFS('Погода Круча'!$C:$C,Z$43,'Погода Круча'!$B:$B,$A50)</f>
        <v>0</v>
      </c>
      <c r="AA50" s="99" t="str">
        <f>IFERROR(IF(Z50&lt;&gt;0,AVERAGEIFS('Погода Круча'!$D:$D,'Погода Круча'!$B:$B,$A50,'Погода Круча'!$C:$C,Z$43),"~"),"~")</f>
        <v>~</v>
      </c>
      <c r="AB50" s="99">
        <f>COUNTIFS('Погода Круча'!$C:$C,AB$43,'Погода Круча'!$B:$B,$A50)</f>
        <v>0</v>
      </c>
      <c r="AC50" s="99" t="str">
        <f>IFERROR(IF(AB50&lt;&gt;0,AVERAGEIFS('Погода Круча'!$D:$D,'Погода Круча'!$B:$B,$A50,'Погода Круча'!$C:$C,AB$43),"~"),"~")</f>
        <v>~</v>
      </c>
      <c r="AD50" s="99">
        <f>COUNTIFS('Погода Круча'!$C:$C,AD$43,'Погода Круча'!$B:$B,$A50)</f>
        <v>0</v>
      </c>
      <c r="AE50" s="99" t="str">
        <f>IFERROR(IF(AD50&lt;&gt;0,AVERAGEIFS('Погода Круча'!$D:$D,'Погода Круча'!$B:$B,$A50,'Погода Круча'!$C:$C,AD$43),"~"),"~")</f>
        <v>~</v>
      </c>
      <c r="AF50" s="99">
        <f>COUNTIFS('Погода Круча'!$C:$C,AF$43,'Погода Круча'!$B:$B,$A50)</f>
        <v>0</v>
      </c>
      <c r="AG50" s="99" t="str">
        <f>IFERROR(IF(AF50&lt;&gt;0,AVERAGEIFS('Погода Круча'!$D:$D,'Погода Круча'!$B:$B,$A50,'Погода Круча'!$C:$C,AF$43),"~"),"~")</f>
        <v>~</v>
      </c>
      <c r="AH50" s="99">
        <f>COUNTIFS('Погода Круча'!$C:$C,AH$43,'Погода Круча'!$B:$B,$A50)</f>
        <v>0</v>
      </c>
    </row>
    <row r="51" spans="1:34" ht="15.75" x14ac:dyDescent="0.25">
      <c r="A51" s="8" t="s">
        <v>16</v>
      </c>
      <c r="B51" s="99">
        <f>COUNTIFS('Погода Круча'!$C:$C,B$43,'Погода Круча'!$B:$B,$A51)</f>
        <v>0</v>
      </c>
      <c r="C51" s="99" t="str">
        <f>IFERROR(IF(B51&lt;&gt;0,AVERAGEIFS('Погода Круча'!$D:$D,'Погода Круча'!$B:$B,$A51,'Погода Круча'!$C:$C,B$43),"~"),"~")</f>
        <v>~</v>
      </c>
      <c r="D51" s="99">
        <f>COUNTIFS('Погода Круча'!$C:$C,D$43,'Погода Круча'!$B:$B,$A51)</f>
        <v>0</v>
      </c>
      <c r="E51" s="99" t="str">
        <f>IFERROR(IF(D51&lt;&gt;0,AVERAGEIFS('Погода Круча'!$D:$D,'Погода Круча'!$B:$B,$A51,'Погода Круча'!$C:$C,D$43),"~"),"~")</f>
        <v>~</v>
      </c>
      <c r="F51" s="99">
        <f>COUNTIFS('Погода Круча'!$C:$C,F$43,'Погода Круча'!$B:$B,$A51)</f>
        <v>0</v>
      </c>
      <c r="G51" s="99" t="str">
        <f>IFERROR(IF(F51&lt;&gt;0,AVERAGEIFS('Погода Круча'!$D:$D,'Погода Круча'!$B:$B,$A51,'Погода Круча'!$C:$C,F$43),"~"),"~")</f>
        <v>~</v>
      </c>
      <c r="H51" s="99">
        <f>COUNTIFS('Погода Круча'!$C:$C,H$43,'Погода Круча'!$B:$B,$A51)</f>
        <v>0</v>
      </c>
      <c r="I51" s="99" t="str">
        <f>IFERROR(IF(H51&lt;&gt;0,AVERAGEIFS('Погода Круча'!$D:$D,'Погода Круча'!$B:$B,$A51,'Погода Круча'!$C:$C,H$43),"~"),"~")</f>
        <v>~</v>
      </c>
      <c r="J51" s="99">
        <f>COUNTIFS('Погода Круча'!$C:$C,J$43,'Погода Круча'!$B:$B,$A51)</f>
        <v>0</v>
      </c>
      <c r="K51" s="99" t="str">
        <f>IFERROR(IF(J51&lt;&gt;0,AVERAGEIFS('Погода Круча'!$D:$D,'Погода Круча'!$B:$B,$A51,'Погода Круча'!$C:$C,J$43),"~"),"~")</f>
        <v>~</v>
      </c>
      <c r="L51" s="99">
        <f>COUNTIFS('Погода Круча'!$C:$C,L$43,'Погода Круча'!$B:$B,$A51)</f>
        <v>0</v>
      </c>
      <c r="M51" s="99" t="str">
        <f>IFERROR(IF(L51&lt;&gt;0,AVERAGEIFS('Погода Круча'!$D:$D,'Погода Круча'!$B:$B,$A51,'Погода Круча'!$C:$C,L$43),"~"),"~")</f>
        <v>~</v>
      </c>
      <c r="N51" s="99">
        <f>COUNTIFS('Погода Круча'!$C:$C,N$43,'Погода Круча'!$B:$B,$A51)</f>
        <v>0</v>
      </c>
      <c r="O51" s="99" t="str">
        <f>IFERROR(IF(N51&lt;&gt;0,AVERAGEIFS('Погода Круча'!$D:$D,'Погода Круча'!$B:$B,$A51,'Погода Круча'!$C:$C,N$43),"~"),"~")</f>
        <v>~</v>
      </c>
      <c r="P51" s="99">
        <f>COUNTIFS('Погода Круча'!$C:$C,P$43,'Погода Круча'!$B:$B,$A51)</f>
        <v>0</v>
      </c>
      <c r="Q51" s="99" t="str">
        <f>IFERROR(IF(P51&lt;&gt;0,AVERAGEIFS('Погода Круча'!$D:$D,'Погода Круча'!$B:$B,$A51,'Погода Круча'!$C:$C,P$43),"~"),"~")</f>
        <v>~</v>
      </c>
      <c r="R51" s="99">
        <f>COUNTIFS('Погода Круча'!$C:$C,R$43,'Погода Круча'!$B:$B,$A51)</f>
        <v>0</v>
      </c>
      <c r="S51" s="99" t="str">
        <f>IFERROR(IF(R51&lt;&gt;0,AVERAGEIFS('Погода Круча'!$D:$D,'Погода Круча'!$B:$B,$A51,'Погода Круча'!$C:$C,R$43),"~"),"~")</f>
        <v>~</v>
      </c>
      <c r="T51" s="99">
        <f>COUNTIFS('Погода Круча'!$C:$C,T$43,'Погода Круча'!$B:$B,$A51)</f>
        <v>0</v>
      </c>
      <c r="U51" s="99" t="str">
        <f>IFERROR(IF(T51&lt;&gt;0,AVERAGEIFS('Погода Круча'!$D:$D,'Погода Круча'!$B:$B,$A51,'Погода Круча'!$C:$C,T$43),"~"),"~")</f>
        <v>~</v>
      </c>
      <c r="V51" s="99">
        <f>COUNTIFS('Погода Круча'!$C:$C,V$43,'Погода Круча'!$B:$B,$A51)</f>
        <v>0</v>
      </c>
      <c r="W51" s="99" t="str">
        <f>IFERROR(IF(V51&lt;&gt;0,AVERAGEIFS('Погода Круча'!$D:$D,'Погода Круча'!$B:$B,$A51,'Погода Круча'!$C:$C,V$43),"~"),"~")</f>
        <v>~</v>
      </c>
      <c r="X51" s="99">
        <f>COUNTIFS('Погода Круча'!$C:$C,X$43,'Погода Круча'!$B:$B,$A51)</f>
        <v>0</v>
      </c>
      <c r="Y51" s="99" t="str">
        <f>IFERROR(IF(X51&lt;&gt;0,AVERAGEIFS('Погода Круча'!$D:$D,'Погода Круча'!$B:$B,$A51,'Погода Круча'!$C:$C,X$43),"~"),"~")</f>
        <v>~</v>
      </c>
      <c r="Z51" s="99">
        <f>COUNTIFS('Погода Круча'!$C:$C,Z$43,'Погода Круча'!$B:$B,$A51)</f>
        <v>0</v>
      </c>
      <c r="AA51" s="99" t="str">
        <f>IFERROR(IF(Z51&lt;&gt;0,AVERAGEIFS('Погода Круча'!$D:$D,'Погода Круча'!$B:$B,$A51,'Погода Круча'!$C:$C,Z$43),"~"),"~")</f>
        <v>~</v>
      </c>
      <c r="AB51" s="99">
        <f>COUNTIFS('Погода Круча'!$C:$C,AB$43,'Погода Круча'!$B:$B,$A51)</f>
        <v>0</v>
      </c>
      <c r="AC51" s="99" t="str">
        <f>IFERROR(IF(AB51&lt;&gt;0,AVERAGEIFS('Погода Круча'!$D:$D,'Погода Круча'!$B:$B,$A51,'Погода Круча'!$C:$C,AB$43),"~"),"~")</f>
        <v>~</v>
      </c>
      <c r="AD51" s="99">
        <f>COUNTIFS('Погода Круча'!$C:$C,AD$43,'Погода Круча'!$B:$B,$A51)</f>
        <v>0</v>
      </c>
      <c r="AE51" s="99" t="str">
        <f>IFERROR(IF(AD51&lt;&gt;0,AVERAGEIFS('Погода Круча'!$D:$D,'Погода Круча'!$B:$B,$A51,'Погода Круча'!$C:$C,AD$43),"~"),"~")</f>
        <v>~</v>
      </c>
      <c r="AF51" s="99">
        <f>COUNTIFS('Погода Круча'!$C:$C,AF$43,'Погода Круча'!$B:$B,$A51)</f>
        <v>0</v>
      </c>
      <c r="AG51" s="99" t="str">
        <f>IFERROR(IF(AF51&lt;&gt;0,AVERAGEIFS('Погода Круча'!$D:$D,'Погода Круча'!$B:$B,$A51,'Погода Круча'!$C:$C,AF$43),"~"),"~")</f>
        <v>~</v>
      </c>
      <c r="AH51" s="99">
        <f>COUNTIFS('Погода Круча'!$C:$C,AH$43,'Погода Круча'!$B:$B,$A51)</f>
        <v>0</v>
      </c>
    </row>
    <row r="52" spans="1:34" ht="16.5" thickBot="1" x14ac:dyDescent="0.3">
      <c r="A52" s="102" t="s">
        <v>17</v>
      </c>
      <c r="B52" s="99">
        <f>COUNTIFS('Погода Круча'!$C:$C,B$43,'Погода Круча'!$B:$B,$A52)</f>
        <v>0</v>
      </c>
      <c r="C52" s="99" t="str">
        <f>IFERROR(IF(B52&lt;&gt;0,AVERAGEIFS('Погода Круча'!$D:$D,'Погода Круча'!$B:$B,$A52,'Погода Круча'!$C:$C,B$43),"~"),"~")</f>
        <v>~</v>
      </c>
      <c r="D52" s="99">
        <f>COUNTIFS('Погода Круча'!$C:$C,D$43,'Погода Круча'!$B:$B,$A52)</f>
        <v>0</v>
      </c>
      <c r="E52" s="99" t="str">
        <f>IFERROR(IF(D52&lt;&gt;0,AVERAGEIFS('Погода Круча'!$D:$D,'Погода Круча'!$B:$B,$A52,'Погода Круча'!$C:$C,D$43),"~"),"~")</f>
        <v>~</v>
      </c>
      <c r="F52" s="99">
        <f>COUNTIFS('Погода Круча'!$C:$C,F$43,'Погода Круча'!$B:$B,$A52)</f>
        <v>0</v>
      </c>
      <c r="G52" s="99" t="str">
        <f>IFERROR(IF(F52&lt;&gt;0,AVERAGEIFS('Погода Круча'!$D:$D,'Погода Круча'!$B:$B,$A52,'Погода Круча'!$C:$C,F$43),"~"),"~")</f>
        <v>~</v>
      </c>
      <c r="H52" s="99">
        <f>COUNTIFS('Погода Круча'!$C:$C,H$43,'Погода Круча'!$B:$B,$A52)</f>
        <v>0</v>
      </c>
      <c r="I52" s="99" t="str">
        <f>IFERROR(IF(H52&lt;&gt;0,AVERAGEIFS('Погода Круча'!$D:$D,'Погода Круча'!$B:$B,$A52,'Погода Круча'!$C:$C,H$43),"~"),"~")</f>
        <v>~</v>
      </c>
      <c r="J52" s="99">
        <f>COUNTIFS('Погода Круча'!$C:$C,J$43,'Погода Круча'!$B:$B,$A52)</f>
        <v>0</v>
      </c>
      <c r="K52" s="99" t="str">
        <f>IFERROR(IF(J52&lt;&gt;0,AVERAGEIFS('Погода Круча'!$D:$D,'Погода Круча'!$B:$B,$A52,'Погода Круча'!$C:$C,J$43),"~"),"~")</f>
        <v>~</v>
      </c>
      <c r="L52" s="99">
        <f>COUNTIFS('Погода Круча'!$C:$C,L$43,'Погода Круча'!$B:$B,$A52)</f>
        <v>0</v>
      </c>
      <c r="M52" s="99" t="str">
        <f>IFERROR(IF(L52&lt;&gt;0,AVERAGEIFS('Погода Круча'!$D:$D,'Погода Круча'!$B:$B,$A52,'Погода Круча'!$C:$C,L$43),"~"),"~")</f>
        <v>~</v>
      </c>
      <c r="N52" s="99">
        <f>COUNTIFS('Погода Круча'!$C:$C,N$43,'Погода Круча'!$B:$B,$A52)</f>
        <v>0</v>
      </c>
      <c r="O52" s="99" t="str">
        <f>IFERROR(IF(N52&lt;&gt;0,AVERAGEIFS('Погода Круча'!$D:$D,'Погода Круча'!$B:$B,$A52,'Погода Круча'!$C:$C,N$43),"~"),"~")</f>
        <v>~</v>
      </c>
      <c r="P52" s="99">
        <f>COUNTIFS('Погода Круча'!$C:$C,P$43,'Погода Круча'!$B:$B,$A52)</f>
        <v>0</v>
      </c>
      <c r="Q52" s="99" t="str">
        <f>IFERROR(IF(P52&lt;&gt;0,AVERAGEIFS('Погода Круча'!$D:$D,'Погода Круча'!$B:$B,$A52,'Погода Круча'!$C:$C,P$43),"~"),"~")</f>
        <v>~</v>
      </c>
      <c r="R52" s="99">
        <f>COUNTIFS('Погода Круча'!$C:$C,R$43,'Погода Круча'!$B:$B,$A52)</f>
        <v>0</v>
      </c>
      <c r="S52" s="99" t="str">
        <f>IFERROR(IF(R52&lt;&gt;0,AVERAGEIFS('Погода Круча'!$D:$D,'Погода Круча'!$B:$B,$A52,'Погода Круча'!$C:$C,R$43),"~"),"~")</f>
        <v>~</v>
      </c>
      <c r="T52" s="99">
        <f>COUNTIFS('Погода Круча'!$C:$C,T$43,'Погода Круча'!$B:$B,$A52)</f>
        <v>0</v>
      </c>
      <c r="U52" s="99" t="str">
        <f>IFERROR(IF(T52&lt;&gt;0,AVERAGEIFS('Погода Круча'!$D:$D,'Погода Круча'!$B:$B,$A52,'Погода Круча'!$C:$C,T$43),"~"),"~")</f>
        <v>~</v>
      </c>
      <c r="V52" s="99">
        <f>COUNTIFS('Погода Круча'!$C:$C,V$43,'Погода Круча'!$B:$B,$A52)</f>
        <v>0</v>
      </c>
      <c r="W52" s="99" t="str">
        <f>IFERROR(IF(V52&lt;&gt;0,AVERAGEIFS('Погода Круча'!$D:$D,'Погода Круча'!$B:$B,$A52,'Погода Круча'!$C:$C,V$43),"~"),"~")</f>
        <v>~</v>
      </c>
      <c r="X52" s="99">
        <f>COUNTIFS('Погода Круча'!$C:$C,X$43,'Погода Круча'!$B:$B,$A52)</f>
        <v>0</v>
      </c>
      <c r="Y52" s="99" t="str">
        <f>IFERROR(IF(X52&lt;&gt;0,AVERAGEIFS('Погода Круча'!$D:$D,'Погода Круча'!$B:$B,$A52,'Погода Круча'!$C:$C,X$43),"~"),"~")</f>
        <v>~</v>
      </c>
      <c r="Z52" s="99">
        <f>COUNTIFS('Погода Круча'!$C:$C,Z$43,'Погода Круча'!$B:$B,$A52)</f>
        <v>0</v>
      </c>
      <c r="AA52" s="99" t="str">
        <f>IFERROR(IF(Z52&lt;&gt;0,AVERAGEIFS('Погода Круча'!$D:$D,'Погода Круча'!$B:$B,$A52,'Погода Круча'!$C:$C,Z$43),"~"),"~")</f>
        <v>~</v>
      </c>
      <c r="AB52" s="99">
        <f>COUNTIFS('Погода Круча'!$C:$C,AB$43,'Погода Круча'!$B:$B,$A52)</f>
        <v>0</v>
      </c>
      <c r="AC52" s="99" t="str">
        <f>IFERROR(IF(AB52&lt;&gt;0,AVERAGEIFS('Погода Круча'!$D:$D,'Погода Круча'!$B:$B,$A52,'Погода Круча'!$C:$C,AB$43),"~"),"~")</f>
        <v>~</v>
      </c>
      <c r="AD52" s="99">
        <f>COUNTIFS('Погода Круча'!$C:$C,AD$43,'Погода Круча'!$B:$B,$A52)</f>
        <v>0</v>
      </c>
      <c r="AE52" s="99" t="str">
        <f>IFERROR(IF(AD52&lt;&gt;0,AVERAGEIFS('Погода Круча'!$D:$D,'Погода Круча'!$B:$B,$A52,'Погода Круча'!$C:$C,AD$43),"~"),"~")</f>
        <v>~</v>
      </c>
      <c r="AF52" s="99">
        <f>COUNTIFS('Погода Круча'!$C:$C,AF$43,'Погода Круча'!$B:$B,$A52)</f>
        <v>0</v>
      </c>
      <c r="AG52" s="99" t="str">
        <f>IFERROR(IF(AF52&lt;&gt;0,AVERAGEIFS('Погода Круча'!$D:$D,'Погода Круча'!$B:$B,$A52,'Погода Круча'!$C:$C,AF$43),"~"),"~")</f>
        <v>~</v>
      </c>
      <c r="AH52" s="99">
        <f>COUNTIFS('Погода Круча'!$C:$C,AH$43,'Погода Круча'!$B:$B,$A52)</f>
        <v>0</v>
      </c>
    </row>
    <row r="53" spans="1:34" ht="15.75" x14ac:dyDescent="0.25">
      <c r="A53" s="110" t="s">
        <v>77</v>
      </c>
      <c r="B53" s="138">
        <f>SUM(B45:B52)</f>
        <v>0</v>
      </c>
      <c r="C53" s="138"/>
      <c r="D53" s="138">
        <f>SUM(D45:D52)</f>
        <v>0</v>
      </c>
      <c r="E53" s="138"/>
      <c r="F53" s="138">
        <f>SUM(F45:F52)</f>
        <v>0</v>
      </c>
      <c r="G53" s="138"/>
      <c r="H53" s="138">
        <f>SUM(H45:H52)</f>
        <v>0</v>
      </c>
      <c r="I53" s="138"/>
      <c r="J53" s="138">
        <f>SUM(J45:J52)</f>
        <v>0</v>
      </c>
      <c r="K53" s="138"/>
      <c r="L53" s="138">
        <f>SUM(L45:L52)</f>
        <v>0</v>
      </c>
      <c r="M53" s="138"/>
      <c r="N53" s="138">
        <f>SUM(N45:N52)</f>
        <v>0</v>
      </c>
      <c r="O53" s="138"/>
      <c r="P53" s="138">
        <f>SUM(P45:P52)</f>
        <v>0</v>
      </c>
      <c r="Q53" s="138"/>
      <c r="R53" s="138">
        <f>SUM(R45:R52)</f>
        <v>0</v>
      </c>
      <c r="S53" s="138"/>
      <c r="T53" s="138">
        <f>SUM(T45:T52)</f>
        <v>0</v>
      </c>
      <c r="U53" s="138"/>
      <c r="V53" s="138">
        <f>SUM(V45:V52)</f>
        <v>0</v>
      </c>
      <c r="W53" s="138"/>
      <c r="X53" s="138">
        <f>SUM(X45:X52)</f>
        <v>0</v>
      </c>
      <c r="Y53" s="138"/>
      <c r="Z53" s="138">
        <f>SUM(Z45:Z52)</f>
        <v>0</v>
      </c>
      <c r="AA53" s="138"/>
      <c r="AB53" s="138">
        <f>SUM(AB45:AB52)</f>
        <v>0</v>
      </c>
      <c r="AC53" s="138"/>
      <c r="AD53" s="138">
        <f>SUM(AD45:AD52)</f>
        <v>0</v>
      </c>
      <c r="AE53" s="138"/>
      <c r="AF53" s="138">
        <f>SUM(AF45:AF52)</f>
        <v>0</v>
      </c>
      <c r="AG53" s="138"/>
      <c r="AH53" s="139">
        <f>SUM(AH45:AH52)</f>
        <v>0</v>
      </c>
    </row>
    <row r="54" spans="1:34" s="3" customFormat="1" ht="16.5" thickBot="1" x14ac:dyDescent="0.3">
      <c r="A54" s="134" t="s">
        <v>78</v>
      </c>
      <c r="B54" s="91">
        <f>AVERAGE(B45:B52)</f>
        <v>0</v>
      </c>
      <c r="C54" s="133" t="str">
        <f>IF(SUM(C45:C52)&lt;&gt;0,AVERAGE(C45:C52),"~")</f>
        <v>~</v>
      </c>
      <c r="D54" s="91">
        <f>AVERAGE(D45:D52)</f>
        <v>0</v>
      </c>
      <c r="E54" s="133" t="str">
        <f>IF(SUM(E45:E52)&lt;&gt;0,AVERAGE(E45:E52),"~")</f>
        <v>~</v>
      </c>
      <c r="F54" s="91">
        <f>AVERAGE(F45:F52)</f>
        <v>0</v>
      </c>
      <c r="G54" s="133" t="str">
        <f>IF(SUM(G45:G52)&lt;&gt;0,AVERAGE(G45:G52),"~")</f>
        <v>~</v>
      </c>
      <c r="H54" s="91">
        <f>AVERAGE(H45:H52)</f>
        <v>0</v>
      </c>
      <c r="I54" s="133" t="str">
        <f>IF(SUM(I45:I52)&lt;&gt;0,AVERAGE(I45:I52),"~")</f>
        <v>~</v>
      </c>
      <c r="J54" s="91">
        <f>AVERAGE(J45:J52)</f>
        <v>0</v>
      </c>
      <c r="K54" s="133" t="str">
        <f>IF(SUM(K45:K52)&lt;&gt;0,AVERAGE(K45:K52),"~")</f>
        <v>~</v>
      </c>
      <c r="L54" s="91">
        <f>AVERAGE(L45:L52)</f>
        <v>0</v>
      </c>
      <c r="M54" s="133" t="str">
        <f>IF(SUM(M45:M52)&lt;&gt;0,AVERAGE(M45:M52),"~")</f>
        <v>~</v>
      </c>
      <c r="N54" s="91">
        <f>AVERAGE(N45:N52)</f>
        <v>0</v>
      </c>
      <c r="O54" s="133" t="str">
        <f>IF(SUM(O45:O52)&lt;&gt;0,AVERAGE(O45:O52),"~")</f>
        <v>~</v>
      </c>
      <c r="P54" s="91">
        <f>AVERAGE(P45:P52)</f>
        <v>0</v>
      </c>
      <c r="Q54" s="133" t="str">
        <f>IF(SUM(Q45:Q52)&lt;&gt;0,AVERAGE(Q45:Q52),"~")</f>
        <v>~</v>
      </c>
      <c r="R54" s="91">
        <f>AVERAGE(R45:R52)</f>
        <v>0</v>
      </c>
      <c r="S54" s="133" t="str">
        <f>IF(SUM(S45:S52)&lt;&gt;0,AVERAGE(S45:S52),"~")</f>
        <v>~</v>
      </c>
      <c r="T54" s="91">
        <f>AVERAGE(T45:T52)</f>
        <v>0</v>
      </c>
      <c r="U54" s="133" t="str">
        <f>IF(SUM(U45:U52)&lt;&gt;0,AVERAGE(U45:U52),"~")</f>
        <v>~</v>
      </c>
      <c r="V54" s="91">
        <f>AVERAGE(V45:V52)</f>
        <v>0</v>
      </c>
      <c r="W54" s="133" t="str">
        <f>IF(SUM(W45:W52)&lt;&gt;0,AVERAGE(W45:W52),"~")</f>
        <v>~</v>
      </c>
      <c r="X54" s="91">
        <f>AVERAGE(X45:X52)</f>
        <v>0</v>
      </c>
      <c r="Y54" s="133" t="str">
        <f>IF(SUM(Y45:Y52)&lt;&gt;0,AVERAGE(Y45:Y52),"~")</f>
        <v>~</v>
      </c>
      <c r="Z54" s="91">
        <f>AVERAGE(Z45:Z52)</f>
        <v>0</v>
      </c>
      <c r="AA54" s="133" t="str">
        <f>IF(SUM(AA45:AA52)&lt;&gt;0,AVERAGE(AA45:AA52),"~")</f>
        <v>~</v>
      </c>
      <c r="AB54" s="91">
        <f>AVERAGE(AB45:AB52)</f>
        <v>0</v>
      </c>
      <c r="AC54" s="133" t="str">
        <f>IF(SUM(AC45:AC52)&lt;&gt;0,AVERAGE(AC45:AC52),"~")</f>
        <v>~</v>
      </c>
      <c r="AD54" s="91">
        <f>AVERAGE(AD45:AD52)</f>
        <v>0</v>
      </c>
      <c r="AE54" s="133" t="str">
        <f>IF(SUM(AE45:AE52)&lt;&gt;0,AVERAGE(AE45:AE52),"~")</f>
        <v>~</v>
      </c>
      <c r="AF54" s="91">
        <f>AVERAGE(AF45:AF52)</f>
        <v>0</v>
      </c>
      <c r="AG54" s="133" t="str">
        <f>IF(SUM(AG45:AG52)&lt;&gt;0,AVERAGE(AG45:AG52),"~")</f>
        <v>~</v>
      </c>
      <c r="AH54" s="140">
        <f>AVERAGE(AH45:AH52)</f>
        <v>0</v>
      </c>
    </row>
    <row r="56" spans="1:34" ht="16.5" thickBot="1" x14ac:dyDescent="0.3">
      <c r="A56" s="107" t="s">
        <v>79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R56" s="128"/>
      <c r="S56" s="128"/>
      <c r="U56" s="3"/>
    </row>
    <row r="57" spans="1:34" ht="15.75" x14ac:dyDescent="0.25">
      <c r="A57" s="110"/>
      <c r="B57" s="111" t="s">
        <v>80</v>
      </c>
      <c r="C57" s="112" t="s">
        <v>81</v>
      </c>
      <c r="D57" s="112" t="s">
        <v>82</v>
      </c>
      <c r="E57" s="112" t="s">
        <v>83</v>
      </c>
      <c r="F57" s="112" t="s">
        <v>84</v>
      </c>
      <c r="G57" s="112" t="s">
        <v>85</v>
      </c>
      <c r="H57" s="112" t="s">
        <v>86</v>
      </c>
      <c r="I57" s="96" t="s">
        <v>87</v>
      </c>
      <c r="J57" s="96" t="s">
        <v>88</v>
      </c>
      <c r="K57" s="96" t="s">
        <v>89</v>
      </c>
      <c r="L57" s="96" t="s">
        <v>90</v>
      </c>
      <c r="M57" s="96" t="s">
        <v>91</v>
      </c>
      <c r="N57" s="111" t="s">
        <v>92</v>
      </c>
      <c r="O57" s="111" t="s">
        <v>93</v>
      </c>
      <c r="P57" s="113" t="s">
        <v>94</v>
      </c>
      <c r="R57" s="38" t="s">
        <v>46</v>
      </c>
      <c r="S57" s="38" t="s">
        <v>128</v>
      </c>
      <c r="Z57" s="100"/>
    </row>
    <row r="58" spans="1:34" ht="15.75" x14ac:dyDescent="0.25">
      <c r="A58" s="8" t="s">
        <v>10</v>
      </c>
      <c r="B58" s="108">
        <f>COUNTIFS('Погода Круча'!$B:$B,$A58,'Погода Круча'!$D:$D,"&gt;=0",'Погода Круча'!$D:$D,"&lt;=1")</f>
        <v>0</v>
      </c>
      <c r="C58" s="108">
        <f>COUNTIFS('Погода Круча'!$B:$B,$A58,'Погода Круча'!$D:$D,"&gt;=2",'Погода Круча'!$D:$D,"&lt;=3")</f>
        <v>0</v>
      </c>
      <c r="D58" s="108">
        <f>COUNTIFS('Погода Круча'!$B:$B,$A58,'Погода Круча'!$D:$D,"&gt;=4",'Погода Круча'!$D:$D,"&lt;=5")</f>
        <v>0</v>
      </c>
      <c r="E58" s="108">
        <f>COUNTIFS('Погода Круча'!$B:$B,$A58,'Погода Круча'!$D:$D,"&gt;=6",'Погода Круча'!$D:$D,"&lt;=7")</f>
        <v>0</v>
      </c>
      <c r="F58" s="108">
        <f>COUNTIFS('Погода Круча'!$B:$B,$A58,'Погода Круча'!$D:$D,"&gt;=8",'Погода Круча'!$D:$D,"&lt;=9")</f>
        <v>0</v>
      </c>
      <c r="G58" s="108">
        <f>COUNTIFS('Погода Круча'!$B:$B,$A58,'Погода Круча'!$D:$D,"&gt;=10",'Погода Круча'!$D:$D,"&lt;=11")</f>
        <v>0</v>
      </c>
      <c r="H58" s="108">
        <f>COUNTIFS('Погода Круча'!$B:$B,$A58,'Погода Круча'!$D:$D,"&gt;=12",'Погода Круча'!$D:$D,"&lt;=13")</f>
        <v>0</v>
      </c>
      <c r="I58" s="108">
        <f>COUNTIFS('Погода Круча'!$B:$B,$A58,'Погода Круча'!$D:$D,"&gt;=14",'Погода Круча'!$D:$D,"&lt;=15")</f>
        <v>0</v>
      </c>
      <c r="J58" s="108">
        <f>COUNTIFS('Погода Круча'!$B:$B,$A58,'Погода Круча'!$D:$D,"&gt;=16",'Погода Круча'!$D:$D,"&lt;=17")</f>
        <v>0</v>
      </c>
      <c r="K58" s="108">
        <f>COUNTIFS('Погода Круча'!$B:$B,$A58,'Погода Круча'!$D:$D,"&gt;=18",'Погода Круча'!$D:$D,"&lt;=20")</f>
        <v>0</v>
      </c>
      <c r="L58" s="108">
        <f>COUNTIFS('Погода Круча'!$B:$B,$A58,'Погода Круча'!$D:$D,"&gt;=21",'Погода Круча'!$D:$D,"&lt;=24")</f>
        <v>0</v>
      </c>
      <c r="M58" s="108">
        <f>COUNTIFS('Погода Круча'!$B:$B,$A58,'Погода Круча'!$D:$D,"&gt;=25",'Погода Круча'!$D:$D,"&lt;=28")</f>
        <v>0</v>
      </c>
      <c r="N58" s="108">
        <f>COUNTIFS('Погода Круча'!$B:$B,$A58,'Погода Круча'!$D:$D,"&gt;=29",'Погода Круча'!$D:$D,"&lt;=34")</f>
        <v>0</v>
      </c>
      <c r="O58" s="108">
        <f>COUNTIFS('Погода Круча'!$B:$B,$A58,'Погода Круча'!$D:$D,"&gt;=36",'Погода Круча'!$D:$D,"&lt;=40")</f>
        <v>0</v>
      </c>
      <c r="P58" s="108">
        <f>COUNTIFS('Погода Круча'!$B:$B,$A58,'Погода Круча'!$D:$D,"&gt;40")</f>
        <v>0</v>
      </c>
      <c r="R58" s="36" t="s">
        <v>30</v>
      </c>
      <c r="S58" s="37">
        <f>COUNTIF('Погода Круча'!C:E,$R58)</f>
        <v>0</v>
      </c>
    </row>
    <row r="59" spans="1:34" ht="15.75" x14ac:dyDescent="0.25">
      <c r="A59" s="8" t="s">
        <v>11</v>
      </c>
      <c r="B59" s="108">
        <f>COUNTIFS('Погода Круча'!$B:$B,$A59,'Погода Круча'!$D:$D,"&gt;=0",'Погода Круча'!$D:$D,"&lt;=1")</f>
        <v>0</v>
      </c>
      <c r="C59" s="108">
        <f>COUNTIFS('Погода Круча'!$B:$B,$A59,'Погода Круча'!$D:$D,"&gt;=2",'Погода Круча'!$D:$D,"&lt;=3")</f>
        <v>0</v>
      </c>
      <c r="D59" s="108">
        <f>COUNTIFS('Погода Круча'!$B:$B,$A59,'Погода Круча'!$D:$D,"&gt;=4",'Погода Круча'!$D:$D,"&lt;=5")</f>
        <v>0</v>
      </c>
      <c r="E59" s="108">
        <f>COUNTIFS('Погода Круча'!$B:$B,$A59,'Погода Круча'!$D:$D,"&gt;=6",'Погода Круча'!$D:$D,"&lt;=7")</f>
        <v>0</v>
      </c>
      <c r="F59" s="108">
        <f>COUNTIFS('Погода Круча'!$B:$B,$A59,'Погода Круча'!$D:$D,"&gt;=8",'Погода Круча'!$D:$D,"&lt;=9")</f>
        <v>0</v>
      </c>
      <c r="G59" s="108">
        <f>COUNTIFS('Погода Круча'!$B:$B,$A59,'Погода Круча'!$D:$D,"&gt;=10",'Погода Круча'!$D:$D,"&lt;=11")</f>
        <v>0</v>
      </c>
      <c r="H59" s="108">
        <f>COUNTIFS('Погода Круча'!$B:$B,$A59,'Погода Круча'!$D:$D,"&gt;=12",'Погода Круча'!$D:$D,"&lt;=13")</f>
        <v>0</v>
      </c>
      <c r="I59" s="108">
        <f>COUNTIFS('Погода Круча'!$B:$B,$A59,'Погода Круча'!$D:$D,"&gt;=14",'Погода Круча'!$D:$D,"&lt;=15")</f>
        <v>0</v>
      </c>
      <c r="J59" s="108">
        <f>COUNTIFS('Погода Круча'!$B:$B,$A59,'Погода Круча'!$D:$D,"&gt;=16",'Погода Круча'!$D:$D,"&lt;=17")</f>
        <v>0</v>
      </c>
      <c r="K59" s="108">
        <f>COUNTIFS('Погода Круча'!$B:$B,$A59,'Погода Круча'!$D:$D,"&gt;=18",'Погода Круча'!$D:$D,"&lt;=20")</f>
        <v>0</v>
      </c>
      <c r="L59" s="108">
        <f>COUNTIFS('Погода Круча'!$B:$B,$A59,'Погода Круча'!$D:$D,"&gt;=21",'Погода Круча'!$D:$D,"&lt;=24")</f>
        <v>0</v>
      </c>
      <c r="M59" s="108">
        <f>COUNTIFS('Погода Круча'!$B:$B,$A59,'Погода Круча'!$D:$D,"&gt;=25",'Погода Круча'!$D:$D,"&lt;=28")</f>
        <v>0</v>
      </c>
      <c r="N59" s="108">
        <f>COUNTIFS('Погода Круча'!$B:$B,$A59,'Погода Круча'!$D:$D,"&gt;=29",'Погода Круча'!$D:$D,"&lt;=34")</f>
        <v>0</v>
      </c>
      <c r="O59" s="108">
        <f>COUNTIFS('Погода Круча'!$B:$B,$A59,'Погода Круча'!$D:$D,"&gt;=36",'Погода Круча'!$D:$D,"&lt;=40")</f>
        <v>0</v>
      </c>
      <c r="P59" s="108">
        <f>COUNTIFS('Погода Круча'!$B:$B,$A59,'Погода Круча'!$D:$D,"&gt;40")</f>
        <v>0</v>
      </c>
      <c r="R59" s="36" t="s">
        <v>31</v>
      </c>
      <c r="S59" s="37">
        <f>COUNTIF('Погода Круча'!C:E,$R59)</f>
        <v>0</v>
      </c>
      <c r="Y59" s="101"/>
    </row>
    <row r="60" spans="1:34" ht="15.75" x14ac:dyDescent="0.25">
      <c r="A60" s="8" t="s">
        <v>12</v>
      </c>
      <c r="B60" s="108">
        <f>COUNTIFS('Погода Круча'!$B:$B,$A60,'Погода Круча'!$D:$D,"&gt;=0",'Погода Круча'!$D:$D,"&lt;=1")</f>
        <v>0</v>
      </c>
      <c r="C60" s="108">
        <f>COUNTIFS('Погода Круча'!$B:$B,$A60,'Погода Круча'!$D:$D,"&gt;=2",'Погода Круча'!$D:$D,"&lt;=3")</f>
        <v>0</v>
      </c>
      <c r="D60" s="108">
        <f>COUNTIFS('Погода Круча'!$B:$B,$A60,'Погода Круча'!$D:$D,"&gt;=4",'Погода Круча'!$D:$D,"&lt;=5")</f>
        <v>0</v>
      </c>
      <c r="E60" s="108">
        <f>COUNTIFS('Погода Круча'!$B:$B,$A60,'Погода Круча'!$D:$D,"&gt;=6",'Погода Круча'!$D:$D,"&lt;=7")</f>
        <v>0</v>
      </c>
      <c r="F60" s="108">
        <f>COUNTIFS('Погода Круча'!$B:$B,$A60,'Погода Круча'!$D:$D,"&gt;=8",'Погода Круча'!$D:$D,"&lt;=9")</f>
        <v>0</v>
      </c>
      <c r="G60" s="108">
        <f>COUNTIFS('Погода Круча'!$B:$B,$A60,'Погода Круча'!$D:$D,"&gt;=10",'Погода Круча'!$D:$D,"&lt;=11")</f>
        <v>0</v>
      </c>
      <c r="H60" s="108">
        <f>COUNTIFS('Погода Круча'!$B:$B,$A60,'Погода Круча'!$D:$D,"&gt;=12",'Погода Круча'!$D:$D,"&lt;=13")</f>
        <v>0</v>
      </c>
      <c r="I60" s="108">
        <f>COUNTIFS('Погода Круча'!$B:$B,$A60,'Погода Круча'!$D:$D,"&gt;=14",'Погода Круча'!$D:$D,"&lt;=15")</f>
        <v>0</v>
      </c>
      <c r="J60" s="108">
        <f>COUNTIFS('Погода Круча'!$B:$B,$A60,'Погода Круча'!$D:$D,"&gt;=16",'Погода Круча'!$D:$D,"&lt;=17")</f>
        <v>0</v>
      </c>
      <c r="K60" s="108">
        <f>COUNTIFS('Погода Круча'!$B:$B,$A60,'Погода Круча'!$D:$D,"&gt;=18",'Погода Круча'!$D:$D,"&lt;=20")</f>
        <v>0</v>
      </c>
      <c r="L60" s="108">
        <f>COUNTIFS('Погода Круча'!$B:$B,$A60,'Погода Круча'!$D:$D,"&gt;=21",'Погода Круча'!$D:$D,"&lt;=24")</f>
        <v>0</v>
      </c>
      <c r="M60" s="108">
        <f>COUNTIFS('Погода Круча'!$B:$B,$A60,'Погода Круча'!$D:$D,"&gt;=25",'Погода Круча'!$D:$D,"&lt;=28")</f>
        <v>0</v>
      </c>
      <c r="N60" s="108">
        <f>COUNTIFS('Погода Круча'!$B:$B,$A60,'Погода Круча'!$D:$D,"&gt;=29",'Погода Круча'!$D:$D,"&lt;=34")</f>
        <v>0</v>
      </c>
      <c r="O60" s="108">
        <f>COUNTIFS('Погода Круча'!$B:$B,$A60,'Погода Круча'!$D:$D,"&gt;=36",'Погода Круча'!$D:$D,"&lt;=40")</f>
        <v>0</v>
      </c>
      <c r="P60" s="108">
        <f>COUNTIFS('Погода Круча'!$B:$B,$A60,'Погода Круча'!$D:$D,"&gt;40")</f>
        <v>0</v>
      </c>
      <c r="R60" s="36" t="s">
        <v>32</v>
      </c>
      <c r="S60" s="37">
        <f>COUNTIF('Погода Круча'!C:E,$R60)</f>
        <v>0</v>
      </c>
    </row>
    <row r="61" spans="1:34" ht="15.75" x14ac:dyDescent="0.25">
      <c r="A61" s="8" t="s">
        <v>13</v>
      </c>
      <c r="B61" s="108">
        <f>COUNTIFS('Погода Круча'!$B:$B,$A61,'Погода Круча'!$D:$D,"&gt;=0",'Погода Круча'!$D:$D,"&lt;=1")</f>
        <v>0</v>
      </c>
      <c r="C61" s="108">
        <f>COUNTIFS('Погода Круча'!$B:$B,$A61,'Погода Круча'!$D:$D,"&gt;=2",'Погода Круча'!$D:$D,"&lt;=3")</f>
        <v>0</v>
      </c>
      <c r="D61" s="108">
        <f>COUNTIFS('Погода Круча'!$B:$B,$A61,'Погода Круча'!$D:$D,"&gt;=4",'Погода Круча'!$D:$D,"&lt;=5")</f>
        <v>0</v>
      </c>
      <c r="E61" s="108">
        <f>COUNTIFS('Погода Круча'!$B:$B,$A61,'Погода Круча'!$D:$D,"&gt;=6",'Погода Круча'!$D:$D,"&lt;=7")</f>
        <v>0</v>
      </c>
      <c r="F61" s="108">
        <f>COUNTIFS('Погода Круча'!$B:$B,$A61,'Погода Круча'!$D:$D,"&gt;=8",'Погода Круча'!$D:$D,"&lt;=9")</f>
        <v>0</v>
      </c>
      <c r="G61" s="108">
        <f>COUNTIFS('Погода Круча'!$B:$B,$A61,'Погода Круча'!$D:$D,"&gt;=10",'Погода Круча'!$D:$D,"&lt;=11")</f>
        <v>0</v>
      </c>
      <c r="H61" s="108">
        <f>COUNTIFS('Погода Круча'!$B:$B,$A61,'Погода Круча'!$D:$D,"&gt;=12",'Погода Круча'!$D:$D,"&lt;=13")</f>
        <v>0</v>
      </c>
      <c r="I61" s="108">
        <f>COUNTIFS('Погода Круча'!$B:$B,$A61,'Погода Круча'!$D:$D,"&gt;=14",'Погода Круча'!$D:$D,"&lt;=15")</f>
        <v>0</v>
      </c>
      <c r="J61" s="108">
        <f>COUNTIFS('Погода Круча'!$B:$B,$A61,'Погода Круча'!$D:$D,"&gt;=16",'Погода Круча'!$D:$D,"&lt;=17")</f>
        <v>0</v>
      </c>
      <c r="K61" s="108">
        <f>COUNTIFS('Погода Круча'!$B:$B,$A61,'Погода Круча'!$D:$D,"&gt;=18",'Погода Круча'!$D:$D,"&lt;=20")</f>
        <v>0</v>
      </c>
      <c r="L61" s="108">
        <f>COUNTIFS('Погода Круча'!$B:$B,$A61,'Погода Круча'!$D:$D,"&gt;=21",'Погода Круча'!$D:$D,"&lt;=24")</f>
        <v>0</v>
      </c>
      <c r="M61" s="108">
        <f>COUNTIFS('Погода Круча'!$B:$B,$A61,'Погода Круча'!$D:$D,"&gt;=25",'Погода Круча'!$D:$D,"&lt;=28")</f>
        <v>0</v>
      </c>
      <c r="N61" s="108">
        <f>COUNTIFS('Погода Круча'!$B:$B,$A61,'Погода Круча'!$D:$D,"&gt;=29",'Погода Круча'!$D:$D,"&lt;=34")</f>
        <v>0</v>
      </c>
      <c r="O61" s="108">
        <f>COUNTIFS('Погода Круча'!$B:$B,$A61,'Погода Круча'!$D:$D,"&gt;=36",'Погода Круча'!$D:$D,"&lt;=40")</f>
        <v>0</v>
      </c>
      <c r="P61" s="108">
        <f>COUNTIFS('Погода Круча'!$B:$B,$A61,'Погода Круча'!$D:$D,"&gt;40")</f>
        <v>0</v>
      </c>
      <c r="R61" s="36" t="s">
        <v>33</v>
      </c>
      <c r="S61" s="37">
        <f>COUNTIF('Погода Круча'!C:E,$R61)</f>
        <v>0</v>
      </c>
    </row>
    <row r="62" spans="1:34" ht="15.75" x14ac:dyDescent="0.25">
      <c r="A62" s="8" t="s">
        <v>14</v>
      </c>
      <c r="B62" s="108">
        <f>COUNTIFS('Погода Круча'!$B:$B,$A62,'Погода Круча'!$D:$D,"&gt;=0",'Погода Круча'!$D:$D,"&lt;=1")</f>
        <v>0</v>
      </c>
      <c r="C62" s="108">
        <f>COUNTIFS('Погода Круча'!$B:$B,$A62,'Погода Круча'!$D:$D,"&gt;=2",'Погода Круча'!$D:$D,"&lt;=3")</f>
        <v>0</v>
      </c>
      <c r="D62" s="108">
        <f>COUNTIFS('Погода Круча'!$B:$B,$A62,'Погода Круча'!$D:$D,"&gt;=4",'Погода Круча'!$D:$D,"&lt;=5")</f>
        <v>0</v>
      </c>
      <c r="E62" s="108">
        <f>COUNTIFS('Погода Круча'!$B:$B,$A62,'Погода Круча'!$D:$D,"&gt;=6",'Погода Круча'!$D:$D,"&lt;=7")</f>
        <v>0</v>
      </c>
      <c r="F62" s="108">
        <f>COUNTIFS('Погода Круча'!$B:$B,$A62,'Погода Круча'!$D:$D,"&gt;=8",'Погода Круча'!$D:$D,"&lt;=9")</f>
        <v>0</v>
      </c>
      <c r="G62" s="108">
        <f>COUNTIFS('Погода Круча'!$B:$B,$A62,'Погода Круча'!$D:$D,"&gt;=10",'Погода Круча'!$D:$D,"&lt;=11")</f>
        <v>0</v>
      </c>
      <c r="H62" s="108">
        <f>COUNTIFS('Погода Круча'!$B:$B,$A62,'Погода Круча'!$D:$D,"&gt;=12",'Погода Круча'!$D:$D,"&lt;=13")</f>
        <v>0</v>
      </c>
      <c r="I62" s="108">
        <f>COUNTIFS('Погода Круча'!$B:$B,$A62,'Погода Круча'!$D:$D,"&gt;=14",'Погода Круча'!$D:$D,"&lt;=15")</f>
        <v>0</v>
      </c>
      <c r="J62" s="108">
        <f>COUNTIFS('Погода Круча'!$B:$B,$A62,'Погода Круча'!$D:$D,"&gt;=16",'Погода Круча'!$D:$D,"&lt;=17")</f>
        <v>0</v>
      </c>
      <c r="K62" s="108">
        <f>COUNTIFS('Погода Круча'!$B:$B,$A62,'Погода Круча'!$D:$D,"&gt;=18",'Погода Круча'!$D:$D,"&lt;=20")</f>
        <v>0</v>
      </c>
      <c r="L62" s="108">
        <f>COUNTIFS('Погода Круча'!$B:$B,$A62,'Погода Круча'!$D:$D,"&gt;=21",'Погода Круча'!$D:$D,"&lt;=24")</f>
        <v>0</v>
      </c>
      <c r="M62" s="108">
        <f>COUNTIFS('Погода Круча'!$B:$B,$A62,'Погода Круча'!$D:$D,"&gt;=25",'Погода Круча'!$D:$D,"&lt;=28")</f>
        <v>0</v>
      </c>
      <c r="N62" s="108">
        <f>COUNTIFS('Погода Круча'!$B:$B,$A62,'Погода Круча'!$D:$D,"&gt;=29",'Погода Круча'!$D:$D,"&lt;=34")</f>
        <v>0</v>
      </c>
      <c r="O62" s="108">
        <f>COUNTIFS('Погода Круча'!$B:$B,$A62,'Погода Круча'!$D:$D,"&gt;=36",'Погода Круча'!$D:$D,"&lt;=40")</f>
        <v>0</v>
      </c>
      <c r="P62" s="108">
        <f>COUNTIFS('Погода Круча'!$B:$B,$A62,'Погода Круча'!$D:$D,"&gt;40")</f>
        <v>0</v>
      </c>
      <c r="R62" s="36" t="s">
        <v>34</v>
      </c>
      <c r="S62" s="37">
        <f>COUNTIF('Погода Круча'!C:E,$R62)</f>
        <v>0</v>
      </c>
    </row>
    <row r="63" spans="1:34" ht="15.75" x14ac:dyDescent="0.25">
      <c r="A63" s="8" t="s">
        <v>15</v>
      </c>
      <c r="B63" s="108">
        <f>COUNTIFS('Погода Круча'!$B:$B,$A63,'Погода Круча'!$D:$D,"&gt;=0",'Погода Круча'!$D:$D,"&lt;=1")</f>
        <v>0</v>
      </c>
      <c r="C63" s="108">
        <f>COUNTIFS('Погода Круча'!$B:$B,$A63,'Погода Круча'!$D:$D,"&gt;=2",'Погода Круча'!$D:$D,"&lt;=3")</f>
        <v>0</v>
      </c>
      <c r="D63" s="108">
        <f>COUNTIFS('Погода Круча'!$B:$B,$A63,'Погода Круча'!$D:$D,"&gt;=4",'Погода Круча'!$D:$D,"&lt;=5")</f>
        <v>0</v>
      </c>
      <c r="E63" s="108">
        <f>COUNTIFS('Погода Круча'!$B:$B,$A63,'Погода Круча'!$D:$D,"&gt;=6",'Погода Круча'!$D:$D,"&lt;=7")</f>
        <v>0</v>
      </c>
      <c r="F63" s="108">
        <f>COUNTIFS('Погода Круча'!$B:$B,$A63,'Погода Круча'!$D:$D,"&gt;=8",'Погода Круча'!$D:$D,"&lt;=9")</f>
        <v>0</v>
      </c>
      <c r="G63" s="108">
        <f>COUNTIFS('Погода Круча'!$B:$B,$A63,'Погода Круча'!$D:$D,"&gt;=10",'Погода Круча'!$D:$D,"&lt;=11")</f>
        <v>0</v>
      </c>
      <c r="H63" s="108">
        <f>COUNTIFS('Погода Круча'!$B:$B,$A63,'Погода Круча'!$D:$D,"&gt;=12",'Погода Круча'!$D:$D,"&lt;=13")</f>
        <v>0</v>
      </c>
      <c r="I63" s="108">
        <f>COUNTIFS('Погода Круча'!$B:$B,$A63,'Погода Круча'!$D:$D,"&gt;=14",'Погода Круча'!$D:$D,"&lt;=15")</f>
        <v>0</v>
      </c>
      <c r="J63" s="108">
        <f>COUNTIFS('Погода Круча'!$B:$B,$A63,'Погода Круча'!$D:$D,"&gt;=16",'Погода Круча'!$D:$D,"&lt;=17")</f>
        <v>0</v>
      </c>
      <c r="K63" s="108">
        <f>COUNTIFS('Погода Круча'!$B:$B,$A63,'Погода Круча'!$D:$D,"&gt;=18",'Погода Круча'!$D:$D,"&lt;=20")</f>
        <v>0</v>
      </c>
      <c r="L63" s="108">
        <f>COUNTIFS('Погода Круча'!$B:$B,$A63,'Погода Круча'!$D:$D,"&gt;=21",'Погода Круча'!$D:$D,"&lt;=24")</f>
        <v>0</v>
      </c>
      <c r="M63" s="108">
        <f>COUNTIFS('Погода Круча'!$B:$B,$A63,'Погода Круча'!$D:$D,"&gt;=25",'Погода Круча'!$D:$D,"&lt;=28")</f>
        <v>0</v>
      </c>
      <c r="N63" s="108">
        <f>COUNTIFS('Погода Круча'!$B:$B,$A63,'Погода Круча'!$D:$D,"&gt;=29",'Погода Круча'!$D:$D,"&lt;=34")</f>
        <v>0</v>
      </c>
      <c r="O63" s="108">
        <f>COUNTIFS('Погода Круча'!$B:$B,$A63,'Погода Круча'!$D:$D,"&gt;=36",'Погода Круча'!$D:$D,"&lt;=40")</f>
        <v>0</v>
      </c>
      <c r="P63" s="108">
        <f>COUNTIFS('Погода Круча'!$B:$B,$A63,'Погода Круча'!$D:$D,"&gt;40")</f>
        <v>0</v>
      </c>
      <c r="R63" s="36" t="s">
        <v>35</v>
      </c>
      <c r="S63" s="37">
        <f>COUNTIF('Погода Круча'!C:E,$R63)</f>
        <v>0</v>
      </c>
    </row>
    <row r="64" spans="1:34" ht="15.75" x14ac:dyDescent="0.25">
      <c r="A64" s="8" t="s">
        <v>16</v>
      </c>
      <c r="B64" s="108">
        <f>COUNTIFS('Погода Круча'!$B:$B,$A64,'Погода Круча'!$D:$D,"&gt;=0",'Погода Круча'!$D:$D,"&lt;=1")</f>
        <v>0</v>
      </c>
      <c r="C64" s="108">
        <f>COUNTIFS('Погода Круча'!$B:$B,$A64,'Погода Круча'!$D:$D,"&gt;=2",'Погода Круча'!$D:$D,"&lt;=3")</f>
        <v>0</v>
      </c>
      <c r="D64" s="108">
        <f>COUNTIFS('Погода Круча'!$B:$B,$A64,'Погода Круча'!$D:$D,"&gt;=4",'Погода Круча'!$D:$D,"&lt;=5")</f>
        <v>0</v>
      </c>
      <c r="E64" s="108">
        <f>COUNTIFS('Погода Круча'!$B:$B,$A64,'Погода Круча'!$D:$D,"&gt;=6",'Погода Круча'!$D:$D,"&lt;=7")</f>
        <v>0</v>
      </c>
      <c r="F64" s="108">
        <f>COUNTIFS('Погода Круча'!$B:$B,$A64,'Погода Круча'!$D:$D,"&gt;=8",'Погода Круча'!$D:$D,"&lt;=9")</f>
        <v>0</v>
      </c>
      <c r="G64" s="108">
        <f>COUNTIFS('Погода Круча'!$B:$B,$A64,'Погода Круча'!$D:$D,"&gt;=10",'Погода Круча'!$D:$D,"&lt;=11")</f>
        <v>0</v>
      </c>
      <c r="H64" s="108">
        <f>COUNTIFS('Погода Круча'!$B:$B,$A64,'Погода Круча'!$D:$D,"&gt;=12",'Погода Круча'!$D:$D,"&lt;=13")</f>
        <v>0</v>
      </c>
      <c r="I64" s="108">
        <f>COUNTIFS('Погода Круча'!$B:$B,$A64,'Погода Круча'!$D:$D,"&gt;=14",'Погода Круча'!$D:$D,"&lt;=15")</f>
        <v>0</v>
      </c>
      <c r="J64" s="108">
        <f>COUNTIFS('Погода Круча'!$B:$B,$A64,'Погода Круча'!$D:$D,"&gt;=16",'Погода Круча'!$D:$D,"&lt;=17")</f>
        <v>0</v>
      </c>
      <c r="K64" s="108">
        <f>COUNTIFS('Погода Круча'!$B:$B,$A64,'Погода Круча'!$D:$D,"&gt;=18",'Погода Круча'!$D:$D,"&lt;=20")</f>
        <v>0</v>
      </c>
      <c r="L64" s="108">
        <f>COUNTIFS('Погода Круча'!$B:$B,$A64,'Погода Круча'!$D:$D,"&gt;=21",'Погода Круча'!$D:$D,"&lt;=24")</f>
        <v>0</v>
      </c>
      <c r="M64" s="108">
        <f>COUNTIFS('Погода Круча'!$B:$B,$A64,'Погода Круча'!$D:$D,"&gt;=25",'Погода Круча'!$D:$D,"&lt;=28")</f>
        <v>0</v>
      </c>
      <c r="N64" s="108">
        <f>COUNTIFS('Погода Круча'!$B:$B,$A64,'Погода Круча'!$D:$D,"&gt;=29",'Погода Круча'!$D:$D,"&lt;=34")</f>
        <v>0</v>
      </c>
      <c r="O64" s="108">
        <f>COUNTIFS('Погода Круча'!$B:$B,$A64,'Погода Круча'!$D:$D,"&gt;=36",'Погода Круча'!$D:$D,"&lt;=40")</f>
        <v>0</v>
      </c>
      <c r="P64" s="108">
        <f>COUNTIFS('Погода Круча'!$B:$B,$A64,'Погода Круча'!$D:$D,"&gt;40")</f>
        <v>0</v>
      </c>
      <c r="R64" s="36" t="s">
        <v>36</v>
      </c>
      <c r="S64" s="37">
        <f>COUNTIF('Погода Круча'!C:E,$R64)</f>
        <v>0</v>
      </c>
    </row>
    <row r="65" spans="1:19" ht="16.5" thickBot="1" x14ac:dyDescent="0.3">
      <c r="A65" s="102" t="s">
        <v>17</v>
      </c>
      <c r="B65" s="108">
        <f>COUNTIFS('Погода Круча'!$B:$B,$A65,'Погода Круча'!$D:$D,"&gt;=0",'Погода Круча'!$D:$D,"&lt;=1")</f>
        <v>0</v>
      </c>
      <c r="C65" s="108">
        <f>COUNTIFS('Погода Круча'!$B:$B,$A65,'Погода Круча'!$D:$D,"&gt;=2",'Погода Круча'!$D:$D,"&lt;=3")</f>
        <v>0</v>
      </c>
      <c r="D65" s="108">
        <f>COUNTIFS('Погода Круча'!$B:$B,$A65,'Погода Круча'!$D:$D,"&gt;=4",'Погода Круча'!$D:$D,"&lt;=5")</f>
        <v>0</v>
      </c>
      <c r="E65" s="108">
        <f>COUNTIFS('Погода Круча'!$B:$B,$A65,'Погода Круча'!$D:$D,"&gt;=6",'Погода Круча'!$D:$D,"&lt;=7")</f>
        <v>0</v>
      </c>
      <c r="F65" s="108">
        <f>COUNTIFS('Погода Круча'!$B:$B,$A65,'Погода Круча'!$D:$D,"&gt;=8",'Погода Круча'!$D:$D,"&lt;=9")</f>
        <v>0</v>
      </c>
      <c r="G65" s="108">
        <f>COUNTIFS('Погода Круча'!$B:$B,$A65,'Погода Круча'!$D:$D,"&gt;=10",'Погода Круча'!$D:$D,"&lt;=11")</f>
        <v>0</v>
      </c>
      <c r="H65" s="108">
        <f>COUNTIFS('Погода Круча'!$B:$B,$A65,'Погода Круча'!$D:$D,"&gt;=12",'Погода Круча'!$D:$D,"&lt;=13")</f>
        <v>0</v>
      </c>
      <c r="I65" s="108">
        <f>COUNTIFS('Погода Круча'!$B:$B,$A65,'Погода Круча'!$D:$D,"&gt;=14",'Погода Круча'!$D:$D,"&lt;=15")</f>
        <v>0</v>
      </c>
      <c r="J65" s="108">
        <f>COUNTIFS('Погода Круча'!$B:$B,$A65,'Погода Круча'!$D:$D,"&gt;=16",'Погода Круча'!$D:$D,"&lt;=17")</f>
        <v>0</v>
      </c>
      <c r="K65" s="108">
        <f>COUNTIFS('Погода Круча'!$B:$B,$A65,'Погода Круча'!$D:$D,"&gt;=18",'Погода Круча'!$D:$D,"&lt;=20")</f>
        <v>0</v>
      </c>
      <c r="L65" s="108">
        <f>COUNTIFS('Погода Круча'!$B:$B,$A65,'Погода Круча'!$D:$D,"&gt;=21",'Погода Круча'!$D:$D,"&lt;=24")</f>
        <v>0</v>
      </c>
      <c r="M65" s="108">
        <f>COUNTIFS('Погода Круча'!$B:$B,$A65,'Погода Круча'!$D:$D,"&gt;=25",'Погода Круча'!$D:$D,"&lt;=28")</f>
        <v>0</v>
      </c>
      <c r="N65" s="108">
        <f>COUNTIFS('Погода Круча'!$B:$B,$A65,'Погода Круча'!$D:$D,"&gt;=29",'Погода Круча'!$D:$D,"&lt;=34")</f>
        <v>0</v>
      </c>
      <c r="O65" s="108">
        <f>COUNTIFS('Погода Круча'!$B:$B,$A65,'Погода Круча'!$D:$D,"&gt;=36",'Погода Круча'!$D:$D,"&lt;=40")</f>
        <v>0</v>
      </c>
      <c r="P65" s="108">
        <f>COUNTIFS('Погода Круча'!$B:$B,$A65,'Погода Круча'!$D:$D,"&gt;40")</f>
        <v>0</v>
      </c>
      <c r="R65" s="36" t="s">
        <v>37</v>
      </c>
      <c r="S65" s="37">
        <f>COUNTIF('Погода Круча'!C:E,$R65)</f>
        <v>0</v>
      </c>
    </row>
    <row r="66" spans="1:19" ht="16.5" thickBot="1" x14ac:dyDescent="0.3">
      <c r="A66" s="135" t="s">
        <v>77</v>
      </c>
      <c r="B66" s="136">
        <f>SUM(B58:B65)</f>
        <v>0</v>
      </c>
      <c r="C66" s="136">
        <f t="shared" ref="C66:P66" si="5">SUM(C58:C65)</f>
        <v>0</v>
      </c>
      <c r="D66" s="136">
        <f t="shared" si="5"/>
        <v>0</v>
      </c>
      <c r="E66" s="136">
        <f t="shared" si="5"/>
        <v>0</v>
      </c>
      <c r="F66" s="136">
        <f t="shared" si="5"/>
        <v>0</v>
      </c>
      <c r="G66" s="136">
        <f t="shared" si="5"/>
        <v>0</v>
      </c>
      <c r="H66" s="136">
        <f t="shared" si="5"/>
        <v>0</v>
      </c>
      <c r="I66" s="136">
        <f t="shared" si="5"/>
        <v>0</v>
      </c>
      <c r="J66" s="136">
        <f t="shared" si="5"/>
        <v>0</v>
      </c>
      <c r="K66" s="136">
        <f t="shared" si="5"/>
        <v>0</v>
      </c>
      <c r="L66" s="136">
        <f t="shared" si="5"/>
        <v>0</v>
      </c>
      <c r="M66" s="136">
        <f t="shared" si="5"/>
        <v>0</v>
      </c>
      <c r="N66" s="136">
        <f t="shared" si="5"/>
        <v>0</v>
      </c>
      <c r="O66" s="136">
        <f t="shared" si="5"/>
        <v>0</v>
      </c>
      <c r="P66" s="137">
        <f t="shared" si="5"/>
        <v>0</v>
      </c>
      <c r="R66" s="36" t="s">
        <v>38</v>
      </c>
      <c r="S66" s="37">
        <f>COUNTIF('Погода Круча'!C:E,$R66)</f>
        <v>0</v>
      </c>
    </row>
    <row r="67" spans="1:19" ht="15.75" x14ac:dyDescent="0.25">
      <c r="R67" s="36" t="s">
        <v>39</v>
      </c>
      <c r="S67" s="37">
        <f>COUNTIF('Погода Круча'!C:E,$R67)</f>
        <v>0</v>
      </c>
    </row>
    <row r="68" spans="1:19" ht="15.75" x14ac:dyDescent="0.25">
      <c r="B68" s="107" t="s">
        <v>95</v>
      </c>
      <c r="C68" s="107"/>
      <c r="D68" s="107"/>
      <c r="E68" s="107"/>
      <c r="F68" s="107"/>
      <c r="G68" s="107"/>
      <c r="H68" s="107"/>
      <c r="I68" s="107"/>
      <c r="J68" s="107"/>
      <c r="K68" s="107"/>
      <c r="R68" s="36" t="s">
        <v>40</v>
      </c>
      <c r="S68" s="37">
        <f>COUNTIF('Погода Круча'!C:E,$R68)</f>
        <v>0</v>
      </c>
    </row>
    <row r="69" spans="1:19" ht="15.75" x14ac:dyDescent="0.25">
      <c r="B69" s="105">
        <v>0</v>
      </c>
      <c r="C69" s="106">
        <v>0.1</v>
      </c>
      <c r="D69" s="106">
        <v>0.5</v>
      </c>
      <c r="E69" s="103">
        <v>1</v>
      </c>
      <c r="F69" s="104">
        <v>5</v>
      </c>
      <c r="G69" s="104">
        <v>10</v>
      </c>
      <c r="H69" s="103">
        <v>20</v>
      </c>
      <c r="I69" s="104">
        <v>30</v>
      </c>
      <c r="J69" s="104">
        <v>50</v>
      </c>
      <c r="K69" s="103">
        <v>80</v>
      </c>
      <c r="R69" s="36" t="s">
        <v>29</v>
      </c>
      <c r="S69" s="37">
        <f>COUNTIF('Погода Круча'!C:E,$R69)</f>
        <v>0</v>
      </c>
    </row>
    <row r="70" spans="1:19" ht="15.75" x14ac:dyDescent="0.25">
      <c r="B70" s="117">
        <f>COUNTIFS(K5:K35,0)</f>
        <v>31</v>
      </c>
      <c r="C70" s="117">
        <f>COUNTIFS($K$5:$K$35,"&lt;="&amp;C69,$K$5:$K$35,"&gt;"&amp;B69)</f>
        <v>0</v>
      </c>
      <c r="D70" s="117">
        <f t="shared" ref="D70:K70" si="6">COUNTIFS($K$5:$K$35,"&lt;="&amp;D69,$K$5:$K$35,"&gt;"&amp;C69)</f>
        <v>0</v>
      </c>
      <c r="E70" s="117">
        <f t="shared" si="6"/>
        <v>0</v>
      </c>
      <c r="F70" s="117">
        <f t="shared" si="6"/>
        <v>0</v>
      </c>
      <c r="G70" s="117">
        <f t="shared" si="6"/>
        <v>0</v>
      </c>
      <c r="H70" s="117">
        <f t="shared" si="6"/>
        <v>0</v>
      </c>
      <c r="I70" s="117">
        <f t="shared" si="6"/>
        <v>0</v>
      </c>
      <c r="J70" s="117">
        <f t="shared" si="6"/>
        <v>0</v>
      </c>
      <c r="K70" s="117">
        <f t="shared" si="6"/>
        <v>0</v>
      </c>
      <c r="R70" s="36" t="s">
        <v>41</v>
      </c>
      <c r="S70" s="37">
        <f>COUNTIF('Погода Круча'!C:E,$R70)</f>
        <v>0</v>
      </c>
    </row>
    <row r="71" spans="1:19" ht="15.75" x14ac:dyDescent="0.25">
      <c r="R71" s="36" t="s">
        <v>42</v>
      </c>
      <c r="S71" s="37">
        <f>COUNTIF('Погода Круча'!C:E,$R71)</f>
        <v>0</v>
      </c>
    </row>
    <row r="72" spans="1:19" ht="15.75" x14ac:dyDescent="0.25">
      <c r="B72" s="223" t="s">
        <v>97</v>
      </c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R72" s="36" t="s">
        <v>43</v>
      </c>
      <c r="S72" s="37">
        <f>COUNTIF('Погода Круча'!C:E,$R72)</f>
        <v>0</v>
      </c>
    </row>
    <row r="73" spans="1:19" ht="15.75" x14ac:dyDescent="0.25">
      <c r="B73" s="121" t="s">
        <v>98</v>
      </c>
      <c r="C73" s="122" t="s">
        <v>99</v>
      </c>
      <c r="D73" s="122" t="s">
        <v>100</v>
      </c>
      <c r="E73" s="122" t="s">
        <v>101</v>
      </c>
      <c r="F73" s="122" t="s">
        <v>102</v>
      </c>
      <c r="G73" s="122" t="s">
        <v>103</v>
      </c>
      <c r="H73" s="123" t="s">
        <v>104</v>
      </c>
      <c r="I73" s="124" t="s">
        <v>105</v>
      </c>
      <c r="J73" s="124" t="s">
        <v>106</v>
      </c>
      <c r="K73" s="124" t="s">
        <v>107</v>
      </c>
      <c r="L73" s="124" t="s">
        <v>108</v>
      </c>
      <c r="M73" s="124" t="s">
        <v>109</v>
      </c>
      <c r="N73" s="125" t="s">
        <v>110</v>
      </c>
      <c r="R73" s="36" t="s">
        <v>44</v>
      </c>
      <c r="S73" s="37">
        <f>COUNTIF('Погода Круча'!C:E,$R73)</f>
        <v>0</v>
      </c>
    </row>
    <row r="74" spans="1:19" ht="16.5" thickBot="1" x14ac:dyDescent="0.3">
      <c r="B74" s="121" t="s">
        <v>111</v>
      </c>
      <c r="C74" s="122" t="s">
        <v>112</v>
      </c>
      <c r="D74" s="122" t="s">
        <v>113</v>
      </c>
      <c r="E74" s="122" t="s">
        <v>114</v>
      </c>
      <c r="F74" s="122" t="s">
        <v>115</v>
      </c>
      <c r="G74" s="122" t="s">
        <v>116</v>
      </c>
      <c r="H74" s="123" t="s">
        <v>117</v>
      </c>
      <c r="I74" s="124" t="s">
        <v>118</v>
      </c>
      <c r="J74" s="124" t="s">
        <v>119</v>
      </c>
      <c r="K74" s="124" t="s">
        <v>120</v>
      </c>
      <c r="L74" s="124" t="s">
        <v>121</v>
      </c>
      <c r="M74" s="124" t="s">
        <v>122</v>
      </c>
      <c r="N74" s="125" t="s">
        <v>123</v>
      </c>
      <c r="R74" s="36" t="s">
        <v>47</v>
      </c>
      <c r="S74" s="37">
        <f>COUNTIF('Погода Круча'!C:E,$R74)</f>
        <v>0</v>
      </c>
    </row>
    <row r="75" spans="1:19" ht="16.5" thickBot="1" x14ac:dyDescent="0.3">
      <c r="B75" s="126">
        <f>COUNTIFS($B$5:$B$35,B73,$B$5:$B$35,B74)</f>
        <v>0</v>
      </c>
      <c r="C75" s="126">
        <f t="shared" ref="C75:N75" si="7">COUNTIFS($B$5:$B$35,C73,$B$5:$B$35,C74)</f>
        <v>0</v>
      </c>
      <c r="D75" s="126">
        <f t="shared" si="7"/>
        <v>0</v>
      </c>
      <c r="E75" s="126">
        <f t="shared" si="7"/>
        <v>0</v>
      </c>
      <c r="F75" s="126">
        <f t="shared" si="7"/>
        <v>0</v>
      </c>
      <c r="G75" s="126">
        <f t="shared" si="7"/>
        <v>0</v>
      </c>
      <c r="H75" s="126">
        <f t="shared" si="7"/>
        <v>0</v>
      </c>
      <c r="I75" s="126">
        <f t="shared" si="7"/>
        <v>0</v>
      </c>
      <c r="J75" s="126">
        <f t="shared" si="7"/>
        <v>0</v>
      </c>
      <c r="K75" s="126">
        <f t="shared" si="7"/>
        <v>0</v>
      </c>
      <c r="L75" s="126">
        <f t="shared" si="7"/>
        <v>0</v>
      </c>
      <c r="M75" s="126">
        <f t="shared" si="7"/>
        <v>0</v>
      </c>
      <c r="N75" s="126">
        <f t="shared" si="7"/>
        <v>0</v>
      </c>
      <c r="R75" s="36" t="s">
        <v>45</v>
      </c>
      <c r="S75" s="37">
        <f>COUNTIF('Погода Круча'!C:E,$R75)</f>
        <v>0</v>
      </c>
    </row>
    <row r="77" spans="1:19" x14ac:dyDescent="0.25">
      <c r="A77" s="37"/>
      <c r="B77" s="222" t="s">
        <v>51</v>
      </c>
      <c r="C77" s="222"/>
      <c r="D77" s="129"/>
    </row>
    <row r="78" spans="1:19" x14ac:dyDescent="0.25">
      <c r="A78" s="37"/>
      <c r="B78" s="222" t="s">
        <v>54</v>
      </c>
      <c r="C78" s="222"/>
      <c r="D78" s="129"/>
    </row>
    <row r="79" spans="1:19" x14ac:dyDescent="0.25">
      <c r="A79" s="37"/>
      <c r="B79" s="222" t="s">
        <v>55</v>
      </c>
      <c r="C79" s="222"/>
      <c r="D79" s="129"/>
    </row>
    <row r="80" spans="1:19" x14ac:dyDescent="0.25">
      <c r="A80" s="37"/>
      <c r="B80" s="220" t="s">
        <v>124</v>
      </c>
      <c r="C80" s="220"/>
    </row>
    <row r="81" spans="1:5" x14ac:dyDescent="0.25">
      <c r="A81" s="8" t="s">
        <v>10</v>
      </c>
      <c r="B81" s="130" t="s">
        <v>68</v>
      </c>
      <c r="C81" s="35" t="str">
        <f>IFERROR(AVERAGEIFS('Погода Круча'!$F:$F,'Погода Круча'!$B:$B,A81,'Погода Круча'!$A:$A,"&lt;="&amp;DATE(YEAR('Погода Круча'!$A$5),MONTH('Погода Круча'!$A$5),10)),"~")</f>
        <v>~</v>
      </c>
    </row>
    <row r="82" spans="1:5" x14ac:dyDescent="0.25">
      <c r="A82" s="37"/>
      <c r="B82" s="131" t="s">
        <v>69</v>
      </c>
      <c r="C82" s="35" t="str">
        <f>IFERROR(AVERAGEIFS('Погода Круча'!$F:$F,'Погода Круча'!$B:$B,A81,'Погода Круча'!$A:$A,"&lt;="&amp;DATE(YEAR('Погода Круча'!$A$5),MONTH('Погода Круча'!$A$5),20),'Погода Круча'!$A:$A,"&gt;"&amp;DATE(YEAR('Погода Круча'!$A$5),MONTH('Погода Круча'!$A$5),10)),"~")</f>
        <v>~</v>
      </c>
      <c r="E82" s="81"/>
    </row>
    <row r="83" spans="1:5" x14ac:dyDescent="0.25">
      <c r="A83" s="37"/>
      <c r="B83" s="131" t="s">
        <v>70</v>
      </c>
      <c r="C83" s="35" t="str">
        <f>IFERROR(AVERAGEIFS('Погода Круча'!$F:$F,'Погода Круча'!$B:$B,A81,'Погода Круча'!$A:$A,"&gt;"&amp;DATE(YEAR('Погода Круча'!$A$5),MONTH('Погода Круча'!$A$5),20)),"~")</f>
        <v>~</v>
      </c>
    </row>
    <row r="84" spans="1:5" x14ac:dyDescent="0.25">
      <c r="A84" s="37"/>
      <c r="B84" s="132" t="s">
        <v>71</v>
      </c>
      <c r="C84" s="35" t="e">
        <f>AVERAGEIFS('Погода Круча'!$F:$F,'Погода Круча'!$B:$B,A81)</f>
        <v>#DIV/0!</v>
      </c>
    </row>
    <row r="85" spans="1:5" x14ac:dyDescent="0.25">
      <c r="A85" s="8" t="s">
        <v>11</v>
      </c>
      <c r="B85" s="130" t="s">
        <v>68</v>
      </c>
      <c r="C85" s="35" t="str">
        <f>IFERROR(AVERAGEIFS('Погода Круча'!$F:$F,'Погода Круча'!$B:$B,A85,'Погода Круча'!$A:$A,"&lt;="&amp;DATE(YEAR('Погода Круча'!$A$5),MONTH('Погода Круча'!$A$5),10)),"~")</f>
        <v>~</v>
      </c>
    </row>
    <row r="86" spans="1:5" x14ac:dyDescent="0.25">
      <c r="A86" s="37"/>
      <c r="B86" s="131" t="s">
        <v>69</v>
      </c>
      <c r="C86" s="35" t="str">
        <f>IFERROR(AVERAGEIFS('Погода Круча'!$F:$F,'Погода Круча'!$B:$B,A85,'Погода Круча'!$A:$A,"&lt;="&amp;DATE(YEAR('Погода Круча'!$A$5),MONTH('Погода Круча'!$A$5),20),'Погода Круча'!$A:$A,"&gt;"&amp;DATE(YEAR('Погода Круча'!$A$5),MONTH('Погода Круча'!$A$5),10)),"~")</f>
        <v>~</v>
      </c>
    </row>
    <row r="87" spans="1:5" x14ac:dyDescent="0.25">
      <c r="A87" s="37"/>
      <c r="B87" s="131" t="s">
        <v>70</v>
      </c>
      <c r="C87" s="35" t="str">
        <f>IFERROR(AVERAGEIFS('Погода Круча'!$F:$F,'Погода Круча'!$B:$B,A85,'Погода Круча'!$A:$A,"&gt;"&amp;DATE(YEAR('Погода Круча'!$A$5),MONTH('Погода Круча'!$A$5),20)),"~")</f>
        <v>~</v>
      </c>
    </row>
    <row r="88" spans="1:5" x14ac:dyDescent="0.25">
      <c r="A88" s="37"/>
      <c r="B88" s="132" t="s">
        <v>71</v>
      </c>
      <c r="C88" s="35" t="e">
        <f>AVERAGEIFS('Погода Круча'!$F:$F,'Погода Круча'!$B:$B,A85)</f>
        <v>#DIV/0!</v>
      </c>
    </row>
    <row r="89" spans="1:5" x14ac:dyDescent="0.25">
      <c r="A89" s="8" t="s">
        <v>12</v>
      </c>
      <c r="B89" s="130" t="s">
        <v>68</v>
      </c>
      <c r="C89" s="35" t="str">
        <f>IFERROR(AVERAGEIFS('Погода Круча'!$F:$F,'Погода Круча'!$B:$B,A89,'Погода Круча'!$A:$A,"&lt;="&amp;DATE(YEAR('Погода Круча'!$A$5),MONTH('Погода Круча'!$A$5),10)),"~")</f>
        <v>~</v>
      </c>
    </row>
    <row r="90" spans="1:5" x14ac:dyDescent="0.25">
      <c r="A90" s="37"/>
      <c r="B90" s="131" t="s">
        <v>69</v>
      </c>
      <c r="C90" s="35" t="str">
        <f>IFERROR(AVERAGEIFS('Погода Круча'!$F:$F,'Погода Круча'!$B:$B,A89,'Погода Круча'!$A:$A,"&lt;="&amp;DATE(YEAR('Погода Круча'!$A$5),MONTH('Погода Круча'!$A$5),20),'Погода Круча'!$A:$A,"&gt;"&amp;DATE(YEAR('Погода Круча'!$A$5),MONTH('Погода Круча'!$A$5),10)),"~")</f>
        <v>~</v>
      </c>
    </row>
    <row r="91" spans="1:5" x14ac:dyDescent="0.25">
      <c r="A91" s="37"/>
      <c r="B91" s="131" t="s">
        <v>70</v>
      </c>
      <c r="C91" s="35" t="str">
        <f>IFERROR(AVERAGEIFS('Погода Круча'!$F:$F,'Погода Круча'!$B:$B,A89,'Погода Круча'!$A:$A,"&gt;"&amp;DATE(YEAR('Погода Круча'!$A$5),MONTH('Погода Круча'!$A$5),20)),"~")</f>
        <v>~</v>
      </c>
    </row>
    <row r="92" spans="1:5" x14ac:dyDescent="0.25">
      <c r="A92" s="37"/>
      <c r="B92" s="132" t="s">
        <v>71</v>
      </c>
      <c r="C92" s="35" t="e">
        <f>AVERAGEIFS('Погода Круча'!$F:$F,'Погода Круча'!$B:$B,A89)</f>
        <v>#DIV/0!</v>
      </c>
    </row>
    <row r="93" spans="1:5" x14ac:dyDescent="0.25">
      <c r="A93" s="8" t="s">
        <v>13</v>
      </c>
      <c r="B93" s="130" t="s">
        <v>68</v>
      </c>
      <c r="C93" s="35" t="str">
        <f>IFERROR(AVERAGEIFS('Погода Круча'!$F:$F,'Погода Круча'!$B:$B,A93,'Погода Круча'!$A:$A,"&lt;="&amp;DATE(YEAR('Погода Круча'!$A$5),MONTH('Погода Круча'!$A$5),10)),"~")</f>
        <v>~</v>
      </c>
    </row>
    <row r="94" spans="1:5" x14ac:dyDescent="0.25">
      <c r="A94" s="37"/>
      <c r="B94" s="131" t="s">
        <v>69</v>
      </c>
      <c r="C94" s="35" t="str">
        <f>IFERROR(AVERAGEIFS('Погода Круча'!$F:$F,'Погода Круча'!$B:$B,A93,'Погода Круча'!$A:$A,"&lt;="&amp;DATE(YEAR('Погода Круча'!$A$5),MONTH('Погода Круча'!$A$5),20),'Погода Круча'!$A:$A,"&gt;"&amp;DATE(YEAR('Погода Круча'!$A$5),MONTH('Погода Круча'!$A$5),10)),"~")</f>
        <v>~</v>
      </c>
    </row>
    <row r="95" spans="1:5" x14ac:dyDescent="0.25">
      <c r="A95" s="37"/>
      <c r="B95" s="131" t="s">
        <v>70</v>
      </c>
      <c r="C95" s="35" t="str">
        <f>IFERROR(AVERAGEIFS('Погода Круча'!$F:$F,'Погода Круча'!$B:$B,A93,'Погода Круча'!$A:$A,"&gt;"&amp;DATE(YEAR('Погода Круча'!$A$5),MONTH('Погода Круча'!$A$5),20)),"~")</f>
        <v>~</v>
      </c>
    </row>
    <row r="96" spans="1:5" x14ac:dyDescent="0.25">
      <c r="A96" s="37"/>
      <c r="B96" s="132" t="s">
        <v>71</v>
      </c>
      <c r="C96" s="35" t="e">
        <f>AVERAGEIFS('Погода Круча'!$F:$F,'Погода Круча'!$B:$B,A93)</f>
        <v>#DIV/0!</v>
      </c>
    </row>
    <row r="97" spans="1:3" x14ac:dyDescent="0.25">
      <c r="A97" s="8" t="s">
        <v>14</v>
      </c>
      <c r="B97" s="130" t="s">
        <v>68</v>
      </c>
      <c r="C97" s="35" t="str">
        <f>IFERROR(AVERAGEIFS('Погода Круча'!$F:$F,'Погода Круча'!$B:$B,A97,'Погода Круча'!$A:$A,"&lt;="&amp;DATE(YEAR('Погода Круча'!$A$5),MONTH('Погода Круча'!$A$5),10)),"~")</f>
        <v>~</v>
      </c>
    </row>
    <row r="98" spans="1:3" x14ac:dyDescent="0.25">
      <c r="A98" s="37"/>
      <c r="B98" s="131" t="s">
        <v>69</v>
      </c>
      <c r="C98" s="35" t="str">
        <f>IFERROR(AVERAGEIFS('Погода Круча'!$F:$F,'Погода Круча'!$B:$B,A97,'Погода Круча'!$A:$A,"&lt;="&amp;DATE(YEAR('Погода Круча'!$A$5),MONTH('Погода Круча'!$A$5),20),'Погода Круча'!$A:$A,"&gt;"&amp;DATE(YEAR('Погода Круча'!$A$5),MONTH('Погода Круча'!$A$5),10)),"~")</f>
        <v>~</v>
      </c>
    </row>
    <row r="99" spans="1:3" x14ac:dyDescent="0.25">
      <c r="A99" s="37"/>
      <c r="B99" s="131" t="s">
        <v>70</v>
      </c>
      <c r="C99" s="35" t="str">
        <f>IFERROR(AVERAGEIFS('Погода Круча'!$F:$F,'Погода Круча'!$B:$B,A97,'Погода Круча'!$A:$A,"&gt;"&amp;DATE(YEAR('Погода Круча'!$A$5),MONTH('Погода Круча'!$A$5),20)),"~")</f>
        <v>~</v>
      </c>
    </row>
    <row r="100" spans="1:3" x14ac:dyDescent="0.25">
      <c r="A100" s="37"/>
      <c r="B100" s="132" t="s">
        <v>71</v>
      </c>
      <c r="C100" s="35" t="e">
        <f>AVERAGEIFS('Погода Круча'!$F:$F,'Погода Круча'!$B:$B,A97)</f>
        <v>#DIV/0!</v>
      </c>
    </row>
    <row r="101" spans="1:3" x14ac:dyDescent="0.25">
      <c r="A101" s="8" t="s">
        <v>15</v>
      </c>
      <c r="B101" s="130" t="s">
        <v>68</v>
      </c>
      <c r="C101" s="35" t="str">
        <f>IFERROR(AVERAGEIFS('Погода Круча'!$F:$F,'Погода Круча'!$B:$B,A101,'Погода Круча'!$A:$A,"&lt;="&amp;DATE(YEAR('Погода Круча'!$A$5),MONTH('Погода Круча'!$A$5),10)),"~")</f>
        <v>~</v>
      </c>
    </row>
    <row r="102" spans="1:3" x14ac:dyDescent="0.25">
      <c r="A102" s="37"/>
      <c r="B102" s="131" t="s">
        <v>69</v>
      </c>
      <c r="C102" s="35" t="str">
        <f>IFERROR(AVERAGEIFS('Погода Круча'!$F:$F,'Погода Круча'!$B:$B,A101,'Погода Круча'!$A:$A,"&lt;="&amp;DATE(YEAR('Погода Круча'!$A$5),MONTH('Погода Круча'!$A$5),20),'Погода Круча'!$A:$A,"&gt;"&amp;DATE(YEAR('Погода Круча'!$A$5),MONTH('Погода Круча'!$A$5),10)),"~")</f>
        <v>~</v>
      </c>
    </row>
    <row r="103" spans="1:3" x14ac:dyDescent="0.25">
      <c r="A103" s="37"/>
      <c r="B103" s="131" t="s">
        <v>70</v>
      </c>
      <c r="C103" s="35" t="str">
        <f>IFERROR(AVERAGEIFS('Погода Круча'!$F:$F,'Погода Круча'!$B:$B,A101,'Погода Круча'!$A:$A,"&gt;"&amp;DATE(YEAR('Погода Круча'!$A$5),MONTH('Погода Круча'!$A$5),20)),"~")</f>
        <v>~</v>
      </c>
    </row>
    <row r="104" spans="1:3" x14ac:dyDescent="0.25">
      <c r="A104" s="37"/>
      <c r="B104" s="132" t="s">
        <v>71</v>
      </c>
      <c r="C104" s="35" t="e">
        <f>AVERAGEIFS('Погода Круча'!$F:$F,'Погода Круча'!$B:$B,A101)</f>
        <v>#DIV/0!</v>
      </c>
    </row>
    <row r="105" spans="1:3" x14ac:dyDescent="0.25">
      <c r="A105" s="8" t="s">
        <v>16</v>
      </c>
      <c r="B105" s="130" t="s">
        <v>68</v>
      </c>
      <c r="C105" s="35" t="str">
        <f>IFERROR(AVERAGEIFS('Погода Круча'!$F:$F,'Погода Круча'!$B:$B,A105,'Погода Круча'!$A:$A,"&lt;="&amp;DATE(YEAR('Погода Круча'!$A$5),MONTH('Погода Круча'!$A$5),10)),"~")</f>
        <v>~</v>
      </c>
    </row>
    <row r="106" spans="1:3" x14ac:dyDescent="0.25">
      <c r="A106" s="37"/>
      <c r="B106" s="131" t="s">
        <v>69</v>
      </c>
      <c r="C106" s="35" t="str">
        <f>IFERROR(AVERAGEIFS('Погода Круча'!$F:$F,'Погода Круча'!$B:$B,A105,'Погода Круча'!$A:$A,"&lt;="&amp;DATE(YEAR('Погода Круча'!$A$5),MONTH('Погода Круча'!$A$5),20),'Погода Круча'!$A:$A,"&gt;"&amp;DATE(YEAR('Погода Круча'!$A$5),MONTH('Погода Круча'!$A$5),10)),"~")</f>
        <v>~</v>
      </c>
    </row>
    <row r="107" spans="1:3" x14ac:dyDescent="0.25">
      <c r="A107" s="37"/>
      <c r="B107" s="131" t="s">
        <v>70</v>
      </c>
      <c r="C107" s="35" t="str">
        <f>IFERROR(AVERAGEIFS('Погода Круча'!$F:$F,'Погода Круча'!$B:$B,A105,'Погода Круча'!$A:$A,"&gt;"&amp;DATE(YEAR('Погода Круча'!$A$5),MONTH('Погода Круча'!$A$5),20)),"~")</f>
        <v>~</v>
      </c>
    </row>
    <row r="108" spans="1:3" x14ac:dyDescent="0.25">
      <c r="A108" s="37"/>
      <c r="B108" s="132" t="s">
        <v>71</v>
      </c>
      <c r="C108" s="35" t="e">
        <f>AVERAGEIFS('Погода Круча'!$F:$F,'Погода Круча'!$B:$B,A105)</f>
        <v>#DIV/0!</v>
      </c>
    </row>
    <row r="109" spans="1:3" x14ac:dyDescent="0.25">
      <c r="A109" s="8" t="s">
        <v>17</v>
      </c>
      <c r="B109" s="130" t="s">
        <v>68</v>
      </c>
      <c r="C109" s="35" t="str">
        <f>IFERROR(AVERAGEIFS('Погода Круча'!$F:$F,'Погода Круча'!$B:$B,A109,'Погода Круча'!$A:$A,"&lt;="&amp;DATE(YEAR('Погода Круча'!$A$5),MONTH('Погода Круча'!$A$5),10)),"~")</f>
        <v>~</v>
      </c>
    </row>
    <row r="110" spans="1:3" x14ac:dyDescent="0.25">
      <c r="A110" s="37"/>
      <c r="B110" s="131" t="s">
        <v>69</v>
      </c>
      <c r="C110" s="35" t="str">
        <f>IFERROR(AVERAGEIFS('Погода Круча'!$F:$F,'Погода Круча'!$B:$B,A109,'Погода Круча'!$A:$A,"&lt;="&amp;DATE(YEAR('Погода Круча'!$A$5),MONTH('Погода Круча'!$A$5),20),'Погода Круча'!$A:$A,"&gt;"&amp;DATE(YEAR('Погода Круча'!$A$5),MONTH('Погода Круча'!$A$5),10)),"~")</f>
        <v>~</v>
      </c>
    </row>
    <row r="111" spans="1:3" x14ac:dyDescent="0.25">
      <c r="A111" s="37"/>
      <c r="B111" s="131" t="s">
        <v>70</v>
      </c>
      <c r="C111" s="35" t="str">
        <f>IFERROR(AVERAGEIFS('Погода Круча'!$F:$F,'Погода Круча'!$B:$B,A109,'Погода Круча'!$A:$A,"&gt;"&amp;DATE(YEAR('Погода Круча'!$A$5),MONTH('Погода Круча'!$A$5),20)),"~")</f>
        <v>~</v>
      </c>
    </row>
    <row r="112" spans="1:3" x14ac:dyDescent="0.25">
      <c r="A112" s="37"/>
      <c r="B112" s="132" t="s">
        <v>71</v>
      </c>
      <c r="C112" s="35" t="e">
        <f>AVERAGEIFS('Погода Круча'!$F:$F,'Погода Круча'!$B:$B,A109)</f>
        <v>#DIV/0!</v>
      </c>
    </row>
  </sheetData>
  <mergeCells count="12">
    <mergeCell ref="B80:C80"/>
    <mergeCell ref="P38:R38"/>
    <mergeCell ref="B77:C77"/>
    <mergeCell ref="B78:C78"/>
    <mergeCell ref="B79:C79"/>
    <mergeCell ref="B72:N72"/>
    <mergeCell ref="M2:M3"/>
    <mergeCell ref="A1:A4"/>
    <mergeCell ref="E1:G2"/>
    <mergeCell ref="I2:I3"/>
    <mergeCell ref="K2:K3"/>
    <mergeCell ref="L2:L3"/>
  </mergeCells>
  <phoneticPr fontId="15" type="noConversion"/>
  <conditionalFormatting sqref="B1:D36 B37:N40 B41:D44 B53:D53 B55:D55 D100:D112 B113:D1048576">
    <cfRule type="cellIs" dxfId="51" priority="61" operator="lessThan">
      <formula>0</formula>
    </cfRule>
  </conditionalFormatting>
  <conditionalFormatting sqref="B45:E52">
    <cfRule type="cellIs" dxfId="50" priority="4" operator="lessThan">
      <formula>0</formula>
    </cfRule>
  </conditionalFormatting>
  <conditionalFormatting sqref="B54:E54 G54 I54 K54 M54 O54 Q54 Z57">
    <cfRule type="cellIs" dxfId="49" priority="2" operator="lessThan">
      <formula>0</formula>
    </cfRule>
  </conditionalFormatting>
  <conditionalFormatting sqref="C81:C112">
    <cfRule type="cellIs" dxfId="48" priority="1" operator="lessThan">
      <formula>0</formula>
    </cfRule>
  </conditionalFormatting>
  <conditionalFormatting sqref="F45:F54">
    <cfRule type="cellIs" dxfId="47" priority="41" operator="lessThan">
      <formula>0</formula>
    </cfRule>
  </conditionalFormatting>
  <conditionalFormatting sqref="G45:G52 I45:I52 K45:K52 M45:M52 O45:O52 Q45:Q52 S45:S52 U45:U52 W45:W52 Y45:Y52 AA45:AA52">
    <cfRule type="cellIs" dxfId="46" priority="10" operator="lessThan">
      <formula>0</formula>
    </cfRule>
  </conditionalFormatting>
  <conditionalFormatting sqref="H45:H54">
    <cfRule type="cellIs" dxfId="45" priority="40" operator="lessThan">
      <formula>0</formula>
    </cfRule>
  </conditionalFormatting>
  <conditionalFormatting sqref="H5:J36 H41:J42 I53 H55:J55 H100:J1048576">
    <cfRule type="cellIs" dxfId="44" priority="60" operator="greaterThanOrEqual">
      <formula>15</formula>
    </cfRule>
  </conditionalFormatting>
  <conditionalFormatting sqref="J45:J54">
    <cfRule type="cellIs" dxfId="43" priority="39" operator="lessThan">
      <formula>0</formula>
    </cfRule>
  </conditionalFormatting>
  <conditionalFormatting sqref="L45:L54">
    <cfRule type="cellIs" dxfId="42" priority="38" operator="lessThan">
      <formula>0</formula>
    </cfRule>
  </conditionalFormatting>
  <conditionalFormatting sqref="N45:N54">
    <cfRule type="cellIs" dxfId="41" priority="37" operator="lessThan">
      <formula>0</formula>
    </cfRule>
  </conditionalFormatting>
  <conditionalFormatting sqref="P45:P54">
    <cfRule type="cellIs" dxfId="40" priority="36" operator="lessThan">
      <formula>0</formula>
    </cfRule>
  </conditionalFormatting>
  <conditionalFormatting sqref="R45:R54">
    <cfRule type="cellIs" dxfId="39" priority="35" operator="lessThan">
      <formula>0</formula>
    </cfRule>
  </conditionalFormatting>
  <conditionalFormatting sqref="S54 U54 W54 Y54 AA54 AC54 AE54 AG54">
    <cfRule type="cellIs" dxfId="38" priority="7" operator="lessThan">
      <formula>0</formula>
    </cfRule>
  </conditionalFormatting>
  <conditionalFormatting sqref="T45:T54">
    <cfRule type="cellIs" dxfId="37" priority="34" operator="lessThan">
      <formula>0</formula>
    </cfRule>
  </conditionalFormatting>
  <conditionalFormatting sqref="V45:V54">
    <cfRule type="cellIs" dxfId="36" priority="33" operator="lessThan">
      <formula>0</formula>
    </cfRule>
  </conditionalFormatting>
  <conditionalFormatting sqref="X45:X54">
    <cfRule type="cellIs" dxfId="35" priority="32" operator="lessThan">
      <formula>0</formula>
    </cfRule>
  </conditionalFormatting>
  <conditionalFormatting sqref="Z45:Z54 AB45:AB54 AD45:AD54 AF45:AF54">
    <cfRule type="cellIs" dxfId="34" priority="28" operator="lessThan">
      <formula>0</formula>
    </cfRule>
  </conditionalFormatting>
  <conditionalFormatting sqref="AC45:AC52 AE45:AE52 AG45:AG52 Y59">
    <cfRule type="cellIs" dxfId="33" priority="5" operator="lessThan">
      <formula>0</formula>
    </cfRule>
  </conditionalFormatting>
  <conditionalFormatting sqref="AH45:AH54">
    <cfRule type="cellIs" dxfId="32" priority="27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27181-2A72-4B55-9B1A-647D7A56408D}">
  <sheetPr codeName="Лист1"/>
  <dimension ref="A1:T254"/>
  <sheetViews>
    <sheetView zoomScale="130" zoomScaleNormal="13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B1" sqref="B1:B3"/>
    </sheetView>
  </sheetViews>
  <sheetFormatPr defaultRowHeight="15" x14ac:dyDescent="0.25"/>
  <cols>
    <col min="1" max="1" width="9.5703125" customWidth="1"/>
    <col min="3" max="3" width="6.42578125" customWidth="1"/>
    <col min="4" max="4" width="5.5703125" style="5" customWidth="1"/>
    <col min="5" max="5" width="5.7109375" customWidth="1"/>
    <col min="6" max="6" width="10" style="88" customWidth="1"/>
    <col min="7" max="8" width="10" style="4" customWidth="1"/>
    <col min="10" max="10" width="10.28515625" style="5" customWidth="1"/>
    <col min="11" max="11" width="4.5703125" style="5" hidden="1" customWidth="1"/>
    <col min="12" max="12" width="8.85546875" style="3"/>
    <col min="13" max="13" width="8.85546875" style="6"/>
    <col min="14" max="14" width="8.85546875" style="2"/>
    <col min="15" max="15" width="9.140625" style="2"/>
    <col min="17" max="17" width="14" customWidth="1"/>
    <col min="18" max="18" width="14.5703125" style="81" customWidth="1"/>
    <col min="19" max="19" width="10.5703125" style="3" customWidth="1"/>
    <col min="20" max="20" width="10.85546875" customWidth="1"/>
  </cols>
  <sheetData>
    <row r="1" spans="1:20" ht="15" customHeight="1" x14ac:dyDescent="0.25">
      <c r="A1" s="229" t="s">
        <v>0</v>
      </c>
      <c r="B1" s="230" t="s">
        <v>1</v>
      </c>
      <c r="C1" s="90" t="s">
        <v>2</v>
      </c>
      <c r="D1" s="90"/>
      <c r="E1" s="90"/>
      <c r="F1" s="2"/>
      <c r="G1" s="83" t="s">
        <v>51</v>
      </c>
      <c r="H1" s="84"/>
      <c r="I1" s="226" t="s">
        <v>21</v>
      </c>
      <c r="J1" s="228" t="s">
        <v>22</v>
      </c>
      <c r="K1" s="68"/>
      <c r="L1" s="227" t="s">
        <v>28</v>
      </c>
      <c r="M1" s="224" t="s">
        <v>23</v>
      </c>
      <c r="N1" s="225" t="s">
        <v>24</v>
      </c>
      <c r="O1" s="225" t="s">
        <v>25</v>
      </c>
      <c r="P1" s="226" t="s">
        <v>26</v>
      </c>
      <c r="Q1" s="1" t="s">
        <v>48</v>
      </c>
    </row>
    <row r="2" spans="1:20" x14ac:dyDescent="0.25">
      <c r="A2" s="229"/>
      <c r="B2" s="230"/>
      <c r="C2" s="226" t="s">
        <v>18</v>
      </c>
      <c r="D2" s="231" t="s">
        <v>19</v>
      </c>
      <c r="E2" s="226" t="s">
        <v>20</v>
      </c>
      <c r="F2" s="2"/>
      <c r="G2" s="86" t="s">
        <v>54</v>
      </c>
      <c r="H2" s="87"/>
      <c r="I2" s="226"/>
      <c r="J2" s="228"/>
      <c r="K2" s="68"/>
      <c r="L2" s="228"/>
      <c r="M2" s="224"/>
      <c r="N2" s="225"/>
      <c r="O2" s="225"/>
      <c r="P2" s="226"/>
      <c r="Q2" s="1" t="s">
        <v>49</v>
      </c>
    </row>
    <row r="3" spans="1:20" ht="24.6" customHeight="1" x14ac:dyDescent="0.25">
      <c r="A3" s="229"/>
      <c r="B3" s="230"/>
      <c r="C3" s="226"/>
      <c r="D3" s="231"/>
      <c r="E3" s="226"/>
      <c r="F3" s="89" t="s">
        <v>66</v>
      </c>
      <c r="G3" s="85" t="s">
        <v>67</v>
      </c>
      <c r="H3" s="89" t="s">
        <v>65</v>
      </c>
      <c r="I3" s="226"/>
      <c r="J3" s="228"/>
      <c r="K3" s="68"/>
      <c r="L3" s="228"/>
      <c r="M3" s="224"/>
      <c r="N3" s="225"/>
      <c r="O3" s="225"/>
      <c r="P3" s="226"/>
      <c r="Q3" s="1" t="s">
        <v>50</v>
      </c>
    </row>
    <row r="4" spans="1:20" x14ac:dyDescent="0.25">
      <c r="A4" s="40"/>
      <c r="B4" s="41"/>
      <c r="C4" s="39" t="s">
        <v>3</v>
      </c>
      <c r="D4" s="41" t="s">
        <v>4</v>
      </c>
      <c r="E4" s="39" t="s">
        <v>4</v>
      </c>
      <c r="F4" s="82" t="s">
        <v>5</v>
      </c>
      <c r="G4" s="82" t="s">
        <v>5</v>
      </c>
      <c r="H4" s="82" t="s">
        <v>5</v>
      </c>
      <c r="I4" s="39"/>
      <c r="J4" s="41" t="s">
        <v>6</v>
      </c>
      <c r="K4" s="41"/>
      <c r="L4" s="41" t="s">
        <v>6</v>
      </c>
      <c r="M4" s="42" t="s">
        <v>7</v>
      </c>
      <c r="N4" s="42" t="s">
        <v>7</v>
      </c>
      <c r="O4" s="42" t="s">
        <v>8</v>
      </c>
      <c r="P4" s="39" t="s">
        <v>9</v>
      </c>
      <c r="Q4" s="1"/>
    </row>
    <row r="5" spans="1:20" x14ac:dyDescent="0.25">
      <c r="A5" s="7">
        <v>44927</v>
      </c>
      <c r="B5" s="8" t="s">
        <v>10</v>
      </c>
      <c r="C5" s="1"/>
      <c r="D5" s="12"/>
      <c r="E5" s="12"/>
      <c r="F5" s="11"/>
      <c r="G5" s="11"/>
      <c r="H5" s="11"/>
      <c r="I5" s="9"/>
      <c r="J5" s="12"/>
      <c r="K5" s="10">
        <f>J5</f>
        <v>0</v>
      </c>
      <c r="L5" s="12">
        <v>0</v>
      </c>
      <c r="M5" s="9"/>
      <c r="N5" s="45"/>
      <c r="O5" s="11"/>
      <c r="P5" s="9"/>
      <c r="Q5" s="9"/>
    </row>
    <row r="6" spans="1:20" x14ac:dyDescent="0.25">
      <c r="A6" s="7">
        <v>44927</v>
      </c>
      <c r="B6" s="12" t="s">
        <v>11</v>
      </c>
      <c r="C6" s="1"/>
      <c r="D6" s="12"/>
      <c r="E6" s="12"/>
      <c r="F6" s="11"/>
      <c r="G6" s="11"/>
      <c r="H6" s="11"/>
      <c r="I6" s="9"/>
      <c r="J6" s="12"/>
      <c r="K6" s="10">
        <f>IF(AND(J6="~",J5&lt;&gt;"~"),J5,IF(AND(J6="~",J5="~"),K5,J6))</f>
        <v>0</v>
      </c>
      <c r="L6" s="12">
        <f>IF(K6="~","~",IFERROR(K6-K5,K6-LOOKUP(9999999,$J$5:K5)))</f>
        <v>0</v>
      </c>
      <c r="M6" s="9"/>
      <c r="N6" s="45"/>
      <c r="O6" s="11"/>
      <c r="P6" s="9"/>
      <c r="Q6" s="9"/>
    </row>
    <row r="7" spans="1:20" x14ac:dyDescent="0.25">
      <c r="A7" s="7">
        <v>44927</v>
      </c>
      <c r="B7" s="12" t="s">
        <v>12</v>
      </c>
      <c r="C7" s="1"/>
      <c r="D7" s="12"/>
      <c r="E7" s="12"/>
      <c r="F7" s="11"/>
      <c r="G7" s="11"/>
      <c r="H7" s="11"/>
      <c r="I7" s="9"/>
      <c r="J7" s="12"/>
      <c r="K7" s="10">
        <f t="shared" ref="K7:K70" si="0">IF(AND(J7="~",J6&lt;&gt;"~"),J6,IF(AND(J7="~",J6="~"),K6,J7))</f>
        <v>0</v>
      </c>
      <c r="L7" s="12">
        <f>IF(K7="~","~",IFERROR(K7-K6,K7-LOOKUP(9999999,$J$5:K6)))</f>
        <v>0</v>
      </c>
      <c r="M7" s="9"/>
      <c r="N7" s="45"/>
      <c r="O7" s="11"/>
      <c r="P7" s="9"/>
      <c r="Q7" s="9"/>
    </row>
    <row r="8" spans="1:20" x14ac:dyDescent="0.25">
      <c r="A8" s="7">
        <v>44927</v>
      </c>
      <c r="B8" s="12" t="s">
        <v>13</v>
      </c>
      <c r="C8" s="1"/>
      <c r="D8" s="12"/>
      <c r="E8" s="12"/>
      <c r="F8" s="11"/>
      <c r="G8" s="11"/>
      <c r="H8" s="11"/>
      <c r="I8" s="9"/>
      <c r="J8" s="12"/>
      <c r="K8" s="10">
        <f t="shared" si="0"/>
        <v>0</v>
      </c>
      <c r="L8" s="12">
        <f>IF(K8="~","~",IFERROR(K8-K7,K8-LOOKUP(9999999,$J$5:K7)))</f>
        <v>0</v>
      </c>
      <c r="M8" s="9"/>
      <c r="N8" s="45"/>
      <c r="O8" s="11"/>
      <c r="P8" s="9"/>
      <c r="Q8" s="9"/>
    </row>
    <row r="9" spans="1:20" x14ac:dyDescent="0.25">
      <c r="A9" s="7">
        <v>44927</v>
      </c>
      <c r="B9" s="12" t="s">
        <v>14</v>
      </c>
      <c r="C9" s="1"/>
      <c r="D9" s="12"/>
      <c r="E9" s="12"/>
      <c r="F9" s="11"/>
      <c r="G9" s="11"/>
      <c r="H9" s="11"/>
      <c r="I9" s="9"/>
      <c r="J9" s="12"/>
      <c r="K9" s="10">
        <f t="shared" si="0"/>
        <v>0</v>
      </c>
      <c r="L9" s="12">
        <f>IF(K9="~","~",IFERROR(K9-K8,K9-LOOKUP(9999999,$J$5:K8)))</f>
        <v>0</v>
      </c>
      <c r="M9" s="9"/>
      <c r="N9" s="45"/>
      <c r="O9" s="11"/>
      <c r="P9" s="9"/>
      <c r="Q9" s="9"/>
      <c r="T9" s="2"/>
    </row>
    <row r="10" spans="1:20" x14ac:dyDescent="0.25">
      <c r="A10" s="7">
        <v>44927</v>
      </c>
      <c r="B10" s="12" t="s">
        <v>15</v>
      </c>
      <c r="C10" s="1"/>
      <c r="D10" s="12"/>
      <c r="E10" s="12"/>
      <c r="F10" s="11"/>
      <c r="G10" s="11"/>
      <c r="H10" s="11"/>
      <c r="I10" s="9"/>
      <c r="J10" s="12"/>
      <c r="K10" s="10">
        <f t="shared" si="0"/>
        <v>0</v>
      </c>
      <c r="L10" s="12">
        <f>IF(K10="~","~",IFERROR(K10-K9,K10-LOOKUP(9999999,$J$5:K9)))</f>
        <v>0</v>
      </c>
      <c r="M10" s="9"/>
      <c r="N10" s="45"/>
      <c r="O10" s="11"/>
      <c r="P10" s="9"/>
      <c r="Q10" s="9"/>
    </row>
    <row r="11" spans="1:20" x14ac:dyDescent="0.25">
      <c r="A11" s="7">
        <v>44927</v>
      </c>
      <c r="B11" s="12" t="s">
        <v>16</v>
      </c>
      <c r="C11" s="1"/>
      <c r="D11" s="12"/>
      <c r="E11" s="12"/>
      <c r="F11" s="11"/>
      <c r="G11" s="11"/>
      <c r="H11" s="11"/>
      <c r="I11" s="9"/>
      <c r="J11" s="12"/>
      <c r="K11" s="10">
        <f t="shared" si="0"/>
        <v>0</v>
      </c>
      <c r="L11" s="12">
        <f>IF(K11="~","~",IFERROR(K11-K10,K11-LOOKUP(9999999,$J$5:K10)))</f>
        <v>0</v>
      </c>
      <c r="M11" s="9"/>
      <c r="N11" s="45"/>
      <c r="O11" s="11"/>
      <c r="P11" s="9"/>
      <c r="Q11" s="9"/>
    </row>
    <row r="12" spans="1:20" x14ac:dyDescent="0.25">
      <c r="A12" s="7">
        <v>44927</v>
      </c>
      <c r="B12" s="12" t="s">
        <v>17</v>
      </c>
      <c r="C12" s="1"/>
      <c r="D12" s="12"/>
      <c r="E12" s="12"/>
      <c r="F12" s="11"/>
      <c r="G12" s="11"/>
      <c r="H12" s="11"/>
      <c r="I12" s="9"/>
      <c r="J12" s="12"/>
      <c r="K12" s="10">
        <f t="shared" si="0"/>
        <v>0</v>
      </c>
      <c r="L12" s="12">
        <f>IF(K12="~","~",IFERROR(K12-K11,K12-LOOKUP(9999999,$J$5:K11)))</f>
        <v>0</v>
      </c>
      <c r="M12" s="9"/>
      <c r="N12" s="45"/>
      <c r="O12" s="11"/>
      <c r="P12" s="9"/>
      <c r="Q12" s="9"/>
    </row>
    <row r="13" spans="1:20" x14ac:dyDescent="0.25">
      <c r="A13" s="13">
        <v>44928</v>
      </c>
      <c r="B13" s="8" t="s">
        <v>10</v>
      </c>
      <c r="C13" s="1"/>
      <c r="D13" s="12"/>
      <c r="E13" s="12"/>
      <c r="F13" s="11"/>
      <c r="G13" s="11"/>
      <c r="H13" s="11"/>
      <c r="I13" s="9"/>
      <c r="J13" s="12"/>
      <c r="K13" s="10">
        <f t="shared" si="0"/>
        <v>0</v>
      </c>
      <c r="L13" s="12">
        <f>IF(K13="~","~",IFERROR(K13-K12,K13-LOOKUP(9999999,$J$5:K12)))</f>
        <v>0</v>
      </c>
      <c r="M13" s="9"/>
      <c r="N13" s="45"/>
      <c r="O13" s="11"/>
      <c r="P13" s="9"/>
      <c r="Q13" s="9"/>
    </row>
    <row r="14" spans="1:20" x14ac:dyDescent="0.25">
      <c r="A14" s="13">
        <v>44928</v>
      </c>
      <c r="B14" s="12" t="s">
        <v>11</v>
      </c>
      <c r="C14" s="1"/>
      <c r="D14" s="12"/>
      <c r="E14" s="12"/>
      <c r="F14" s="11"/>
      <c r="G14" s="11"/>
      <c r="H14" s="11"/>
      <c r="I14" s="9"/>
      <c r="J14" s="12"/>
      <c r="K14" s="10">
        <f t="shared" si="0"/>
        <v>0</v>
      </c>
      <c r="L14" s="12">
        <f>IF(K14="~","~",IFERROR(K14-K13,K14-LOOKUP(9999999,$J$5:K13)))</f>
        <v>0</v>
      </c>
      <c r="M14" s="9"/>
      <c r="N14" s="45"/>
      <c r="O14" s="11"/>
      <c r="P14" s="9"/>
      <c r="Q14" s="9"/>
      <c r="T14" s="81"/>
    </row>
    <row r="15" spans="1:20" x14ac:dyDescent="0.25">
      <c r="A15" s="13">
        <v>44928</v>
      </c>
      <c r="B15" s="12" t="s">
        <v>12</v>
      </c>
      <c r="C15" s="1"/>
      <c r="D15" s="12"/>
      <c r="E15" s="12"/>
      <c r="F15" s="11"/>
      <c r="G15" s="11"/>
      <c r="H15" s="11"/>
      <c r="I15" s="9"/>
      <c r="J15" s="12"/>
      <c r="K15" s="10">
        <f t="shared" si="0"/>
        <v>0</v>
      </c>
      <c r="L15" s="12">
        <f>IF(K15="~","~",IFERROR(K15-K14,K15-LOOKUP(9999999,$J$5:K14)))</f>
        <v>0</v>
      </c>
      <c r="M15" s="9"/>
      <c r="N15" s="45"/>
      <c r="O15" s="11"/>
      <c r="P15" s="9"/>
      <c r="Q15" s="9"/>
      <c r="T15" s="81"/>
    </row>
    <row r="16" spans="1:20" x14ac:dyDescent="0.25">
      <c r="A16" s="13">
        <v>44928</v>
      </c>
      <c r="B16" s="12" t="s">
        <v>13</v>
      </c>
      <c r="C16" s="69"/>
      <c r="D16" s="12"/>
      <c r="E16" s="12"/>
      <c r="F16" s="11"/>
      <c r="G16" s="11"/>
      <c r="H16" s="11"/>
      <c r="I16" s="9"/>
      <c r="J16" s="12"/>
      <c r="K16" s="10">
        <f t="shared" si="0"/>
        <v>0</v>
      </c>
      <c r="L16" s="12">
        <f>IF(K16="~","~",IFERROR(K16-K15,K16-LOOKUP(9999999,$J$5:K15)))</f>
        <v>0</v>
      </c>
      <c r="M16" s="9"/>
      <c r="N16" s="45"/>
      <c r="O16" s="11"/>
      <c r="P16" s="9"/>
      <c r="Q16" s="9"/>
      <c r="T16" s="81"/>
    </row>
    <row r="17" spans="1:20" x14ac:dyDescent="0.25">
      <c r="A17" s="13">
        <v>44928</v>
      </c>
      <c r="B17" s="12" t="s">
        <v>14</v>
      </c>
      <c r="C17" s="69"/>
      <c r="D17" s="12"/>
      <c r="E17" s="12"/>
      <c r="F17" s="11"/>
      <c r="G17" s="11"/>
      <c r="H17" s="11"/>
      <c r="I17" s="9"/>
      <c r="J17" s="12"/>
      <c r="K17" s="10">
        <f t="shared" si="0"/>
        <v>0</v>
      </c>
      <c r="L17" s="12">
        <f>IF(K17="~","~",IFERROR(K17-K16,K17-LOOKUP(9999999,$J$5:K16)))</f>
        <v>0</v>
      </c>
      <c r="M17" s="9"/>
      <c r="N17" s="45"/>
      <c r="O17" s="11"/>
      <c r="P17" s="9"/>
      <c r="Q17" s="9"/>
      <c r="T17" s="81"/>
    </row>
    <row r="18" spans="1:20" x14ac:dyDescent="0.25">
      <c r="A18" s="13">
        <v>44928</v>
      </c>
      <c r="B18" s="12" t="s">
        <v>15</v>
      </c>
      <c r="C18" s="69"/>
      <c r="D18" s="12"/>
      <c r="E18" s="12"/>
      <c r="F18" s="11"/>
      <c r="G18" s="11"/>
      <c r="H18" s="11"/>
      <c r="I18" s="9"/>
      <c r="J18" s="12"/>
      <c r="K18" s="10">
        <f t="shared" si="0"/>
        <v>0</v>
      </c>
      <c r="L18" s="12">
        <f>IF(K18="~","~",IFERROR(K18-K17,K18-LOOKUP(9999999,$J$5:K17)))</f>
        <v>0</v>
      </c>
      <c r="M18" s="9"/>
      <c r="N18" s="45"/>
      <c r="O18" s="11"/>
      <c r="P18" s="9"/>
      <c r="Q18" s="9"/>
      <c r="T18" s="81"/>
    </row>
    <row r="19" spans="1:20" x14ac:dyDescent="0.25">
      <c r="A19" s="13">
        <v>44928</v>
      </c>
      <c r="B19" s="12" t="s">
        <v>16</v>
      </c>
      <c r="C19" s="69"/>
      <c r="D19" s="12"/>
      <c r="E19" s="12"/>
      <c r="F19" s="11"/>
      <c r="G19" s="11"/>
      <c r="H19" s="11"/>
      <c r="I19" s="9"/>
      <c r="J19" s="12"/>
      <c r="K19" s="10">
        <f t="shared" si="0"/>
        <v>0</v>
      </c>
      <c r="L19" s="12">
        <f>IF(K19="~","~",IFERROR(K19-K18,K19-LOOKUP(9999999,$J$5:K18)))</f>
        <v>0</v>
      </c>
      <c r="M19" s="9"/>
      <c r="N19" s="45"/>
      <c r="O19" s="11"/>
      <c r="P19" s="9"/>
      <c r="Q19" s="9"/>
      <c r="T19" s="81"/>
    </row>
    <row r="20" spans="1:20" x14ac:dyDescent="0.25">
      <c r="A20" s="13">
        <v>44928</v>
      </c>
      <c r="B20" s="12" t="s">
        <v>17</v>
      </c>
      <c r="C20" s="69"/>
      <c r="D20" s="12"/>
      <c r="E20" s="12"/>
      <c r="F20" s="11"/>
      <c r="G20" s="11"/>
      <c r="H20" s="11"/>
      <c r="I20" s="9"/>
      <c r="J20" s="12"/>
      <c r="K20" s="10">
        <f t="shared" si="0"/>
        <v>0</v>
      </c>
      <c r="L20" s="12">
        <f>IF(K20="~","~",IFERROR(K20-K19,K20-LOOKUP(9999999,$J$5:K19)))</f>
        <v>0</v>
      </c>
      <c r="M20" s="9"/>
      <c r="N20" s="45"/>
      <c r="O20" s="11"/>
      <c r="P20" s="9"/>
      <c r="Q20" s="9"/>
      <c r="T20" s="81"/>
    </row>
    <row r="21" spans="1:20" x14ac:dyDescent="0.25">
      <c r="A21" s="14">
        <v>44929</v>
      </c>
      <c r="B21" s="8" t="s">
        <v>10</v>
      </c>
      <c r="C21" s="69"/>
      <c r="D21" s="12"/>
      <c r="E21" s="12"/>
      <c r="F21" s="11"/>
      <c r="G21" s="11"/>
      <c r="H21" s="11"/>
      <c r="I21" s="9"/>
      <c r="J21" s="12"/>
      <c r="K21" s="10">
        <f t="shared" si="0"/>
        <v>0</v>
      </c>
      <c r="L21" s="12">
        <f>IF(K21="~","~",IFERROR(K21-K20,K21-LOOKUP(9999999,$J$5:K20)))</f>
        <v>0</v>
      </c>
      <c r="M21" s="9"/>
      <c r="N21" s="45"/>
      <c r="O21" s="11"/>
      <c r="P21" s="9"/>
      <c r="Q21" s="9"/>
      <c r="T21" s="81"/>
    </row>
    <row r="22" spans="1:20" x14ac:dyDescent="0.25">
      <c r="A22" s="14">
        <v>44929</v>
      </c>
      <c r="B22" s="8" t="s">
        <v>11</v>
      </c>
      <c r="C22" s="69"/>
      <c r="D22" s="12"/>
      <c r="E22" s="12"/>
      <c r="F22" s="11"/>
      <c r="G22" s="11"/>
      <c r="H22" s="11"/>
      <c r="I22" s="9"/>
      <c r="J22" s="12"/>
      <c r="K22" s="10">
        <f t="shared" si="0"/>
        <v>0</v>
      </c>
      <c r="L22" s="12">
        <f>IF(K22="~","~",IFERROR(K22-K21,K22-LOOKUP(9999999,$J$5:K21)))</f>
        <v>0</v>
      </c>
      <c r="M22" s="9"/>
      <c r="N22" s="45"/>
      <c r="O22" s="11"/>
      <c r="P22" s="9"/>
      <c r="Q22" s="9"/>
      <c r="T22" s="81"/>
    </row>
    <row r="23" spans="1:20" x14ac:dyDescent="0.25">
      <c r="A23" s="14">
        <v>44929</v>
      </c>
      <c r="B23" s="8" t="s">
        <v>12</v>
      </c>
      <c r="C23" s="69"/>
      <c r="D23" s="12"/>
      <c r="E23" s="12"/>
      <c r="F23" s="11"/>
      <c r="G23" s="11"/>
      <c r="H23" s="11"/>
      <c r="I23" s="9"/>
      <c r="J23" s="12"/>
      <c r="K23" s="10">
        <f t="shared" si="0"/>
        <v>0</v>
      </c>
      <c r="L23" s="12">
        <f>IF(K23="~","~",IFERROR(K23-K22,K23-LOOKUP(9999999,$J$5:K22)))</f>
        <v>0</v>
      </c>
      <c r="M23" s="9"/>
      <c r="N23" s="45"/>
      <c r="O23" s="11"/>
      <c r="P23" s="9"/>
      <c r="Q23" s="9"/>
      <c r="T23" s="81"/>
    </row>
    <row r="24" spans="1:20" x14ac:dyDescent="0.25">
      <c r="A24" s="14">
        <v>44929</v>
      </c>
      <c r="B24" s="8" t="s">
        <v>13</v>
      </c>
      <c r="C24" s="69"/>
      <c r="D24" s="12"/>
      <c r="E24" s="12"/>
      <c r="F24" s="11"/>
      <c r="G24" s="11"/>
      <c r="H24" s="11"/>
      <c r="I24" s="9"/>
      <c r="J24" s="12"/>
      <c r="K24" s="10">
        <f t="shared" si="0"/>
        <v>0</v>
      </c>
      <c r="L24" s="12">
        <f>IF(K24="~","~",IFERROR(K24-K23,K24-LOOKUP(9999999,$J$5:K23)))</f>
        <v>0</v>
      </c>
      <c r="M24" s="9"/>
      <c r="N24" s="45"/>
      <c r="O24" s="11"/>
      <c r="P24" s="9"/>
      <c r="Q24" s="9"/>
      <c r="T24" s="81"/>
    </row>
    <row r="25" spans="1:20" x14ac:dyDescent="0.25">
      <c r="A25" s="14">
        <v>44929</v>
      </c>
      <c r="B25" s="8" t="s">
        <v>14</v>
      </c>
      <c r="C25" s="1"/>
      <c r="D25" s="12"/>
      <c r="E25" s="12"/>
      <c r="F25" s="11"/>
      <c r="G25" s="11"/>
      <c r="H25" s="11"/>
      <c r="I25" s="9"/>
      <c r="J25" s="12"/>
      <c r="K25" s="10">
        <f t="shared" si="0"/>
        <v>0</v>
      </c>
      <c r="L25" s="12">
        <f>IF(K25="~","~",IFERROR(K25-K24,K25-LOOKUP(9999999,$J$5:K24)))</f>
        <v>0</v>
      </c>
      <c r="M25" s="9"/>
      <c r="N25" s="45"/>
      <c r="O25" s="11"/>
      <c r="P25" s="9"/>
      <c r="Q25" s="9"/>
      <c r="T25" s="81"/>
    </row>
    <row r="26" spans="1:20" x14ac:dyDescent="0.25">
      <c r="A26" s="14">
        <v>44929</v>
      </c>
      <c r="B26" s="8" t="s">
        <v>15</v>
      </c>
      <c r="C26" s="69"/>
      <c r="D26" s="12"/>
      <c r="E26" s="12"/>
      <c r="F26" s="11"/>
      <c r="G26" s="11"/>
      <c r="H26" s="11"/>
      <c r="I26" s="9"/>
      <c r="J26" s="12"/>
      <c r="K26" s="10">
        <f t="shared" si="0"/>
        <v>0</v>
      </c>
      <c r="L26" s="12">
        <f>IF(K26="~","~",IFERROR(K26-K25,K26-LOOKUP(9999999,$J$5:K25)))</f>
        <v>0</v>
      </c>
      <c r="M26" s="9"/>
      <c r="N26" s="45"/>
      <c r="O26" s="11"/>
      <c r="P26" s="9"/>
      <c r="Q26" s="9"/>
      <c r="T26" s="81"/>
    </row>
    <row r="27" spans="1:20" x14ac:dyDescent="0.25">
      <c r="A27" s="14">
        <v>44929</v>
      </c>
      <c r="B27" s="8" t="s">
        <v>16</v>
      </c>
      <c r="C27" s="69"/>
      <c r="D27" s="12"/>
      <c r="E27" s="12"/>
      <c r="F27" s="11"/>
      <c r="G27" s="11"/>
      <c r="H27" s="11"/>
      <c r="I27" s="9"/>
      <c r="J27" s="12"/>
      <c r="K27" s="10">
        <f t="shared" si="0"/>
        <v>0</v>
      </c>
      <c r="L27" s="12">
        <f>IF(K27="~","~",IFERROR(K27-K26,K27-LOOKUP(9999999,$J$5:K26)))</f>
        <v>0</v>
      </c>
      <c r="M27" s="9"/>
      <c r="N27" s="45"/>
      <c r="O27" s="11"/>
      <c r="P27" s="9"/>
      <c r="Q27" s="9"/>
      <c r="T27" s="81"/>
    </row>
    <row r="28" spans="1:20" x14ac:dyDescent="0.25">
      <c r="A28" s="14">
        <v>44929</v>
      </c>
      <c r="B28" s="8" t="s">
        <v>17</v>
      </c>
      <c r="C28" s="69"/>
      <c r="D28" s="12"/>
      <c r="E28" s="12"/>
      <c r="F28" s="11"/>
      <c r="G28" s="11"/>
      <c r="H28" s="11"/>
      <c r="I28" s="9"/>
      <c r="J28" s="12"/>
      <c r="K28" s="10">
        <f t="shared" si="0"/>
        <v>0</v>
      </c>
      <c r="L28" s="12">
        <f>IF(K28="~","~",IFERROR(K28-K27,K28-LOOKUP(9999999,$J$5:K27)))</f>
        <v>0</v>
      </c>
      <c r="M28" s="9"/>
      <c r="N28" s="45"/>
      <c r="O28" s="11"/>
      <c r="P28" s="9"/>
      <c r="Q28" s="9"/>
      <c r="T28" s="81"/>
    </row>
    <row r="29" spans="1:20" x14ac:dyDescent="0.25">
      <c r="A29" s="15">
        <v>44930</v>
      </c>
      <c r="B29" s="8" t="s">
        <v>10</v>
      </c>
      <c r="C29" s="69"/>
      <c r="D29" s="12"/>
      <c r="E29" s="12"/>
      <c r="F29" s="11"/>
      <c r="G29" s="11"/>
      <c r="H29" s="11"/>
      <c r="I29" s="9"/>
      <c r="J29" s="12"/>
      <c r="K29" s="10">
        <f t="shared" si="0"/>
        <v>0</v>
      </c>
      <c r="L29" s="12">
        <f>IF(K29="~","~",IFERROR(K29-K28,K29-LOOKUP(9999999,$J$5:K28)))</f>
        <v>0</v>
      </c>
      <c r="M29" s="9"/>
      <c r="N29" s="45"/>
      <c r="O29" s="11"/>
      <c r="P29" s="9"/>
      <c r="Q29" s="9"/>
      <c r="T29" s="81"/>
    </row>
    <row r="30" spans="1:20" x14ac:dyDescent="0.25">
      <c r="A30" s="15">
        <v>44930</v>
      </c>
      <c r="B30" s="8" t="s">
        <v>11</v>
      </c>
      <c r="C30" s="69"/>
      <c r="D30" s="12"/>
      <c r="E30" s="12"/>
      <c r="F30" s="11"/>
      <c r="G30" s="11"/>
      <c r="H30" s="11"/>
      <c r="I30" s="9"/>
      <c r="J30" s="12"/>
      <c r="K30" s="10">
        <f t="shared" si="0"/>
        <v>0</v>
      </c>
      <c r="L30" s="12">
        <f>IF(K30="~","~",IFERROR(K30-K29,K30-LOOKUP(9999999,$J$5:K29)))</f>
        <v>0</v>
      </c>
      <c r="M30" s="9"/>
      <c r="N30" s="45"/>
      <c r="O30" s="11"/>
      <c r="P30" s="9"/>
      <c r="Q30" s="9"/>
      <c r="T30" s="81"/>
    </row>
    <row r="31" spans="1:20" x14ac:dyDescent="0.25">
      <c r="A31" s="15">
        <v>44930</v>
      </c>
      <c r="B31" s="8" t="s">
        <v>12</v>
      </c>
      <c r="C31" s="69"/>
      <c r="D31" s="12"/>
      <c r="E31" s="12"/>
      <c r="F31" s="11"/>
      <c r="G31" s="11"/>
      <c r="H31" s="11"/>
      <c r="I31" s="9"/>
      <c r="J31" s="12"/>
      <c r="K31" s="10">
        <f t="shared" si="0"/>
        <v>0</v>
      </c>
      <c r="L31" s="12">
        <f>IF(K31="~","~",IFERROR(K31-K30,K31-LOOKUP(9999999,$J$5:K30)))</f>
        <v>0</v>
      </c>
      <c r="M31" s="9"/>
      <c r="N31" s="45"/>
      <c r="O31" s="11"/>
      <c r="P31" s="9"/>
      <c r="Q31" s="9"/>
      <c r="T31" s="81"/>
    </row>
    <row r="32" spans="1:20" x14ac:dyDescent="0.25">
      <c r="A32" s="15">
        <v>44930</v>
      </c>
      <c r="B32" s="8" t="s">
        <v>13</v>
      </c>
      <c r="C32" s="69"/>
      <c r="D32" s="12"/>
      <c r="E32" s="12"/>
      <c r="F32" s="11"/>
      <c r="G32" s="11"/>
      <c r="H32" s="11"/>
      <c r="I32" s="9"/>
      <c r="J32" s="12"/>
      <c r="K32" s="10">
        <f t="shared" si="0"/>
        <v>0</v>
      </c>
      <c r="L32" s="12">
        <f>IF(K32="~","~",IFERROR(K32-K31,K32-LOOKUP(9999999,$J$5:K31)))</f>
        <v>0</v>
      </c>
      <c r="M32" s="9"/>
      <c r="N32" s="45"/>
      <c r="O32" s="11"/>
      <c r="P32" s="9"/>
      <c r="Q32" s="9"/>
      <c r="T32" s="81"/>
    </row>
    <row r="33" spans="1:20" x14ac:dyDescent="0.25">
      <c r="A33" s="15">
        <v>44930</v>
      </c>
      <c r="B33" s="8" t="s">
        <v>14</v>
      </c>
      <c r="C33" s="69"/>
      <c r="D33" s="12"/>
      <c r="E33" s="12"/>
      <c r="F33" s="11"/>
      <c r="G33" s="11"/>
      <c r="H33" s="11"/>
      <c r="I33" s="9"/>
      <c r="J33" s="12"/>
      <c r="K33" s="10">
        <f t="shared" si="0"/>
        <v>0</v>
      </c>
      <c r="L33" s="12">
        <f>IF(K33="~","~",IFERROR(K33-K32,K33-LOOKUP(9999999,$J$5:K32)))</f>
        <v>0</v>
      </c>
      <c r="M33" s="9"/>
      <c r="N33" s="45"/>
      <c r="O33" s="11"/>
      <c r="P33" s="9"/>
      <c r="Q33" s="9"/>
      <c r="T33" s="81"/>
    </row>
    <row r="34" spans="1:20" x14ac:dyDescent="0.25">
      <c r="A34" s="15">
        <v>44930</v>
      </c>
      <c r="B34" s="8" t="s">
        <v>15</v>
      </c>
      <c r="C34" s="1"/>
      <c r="D34" s="12"/>
      <c r="E34" s="12"/>
      <c r="F34" s="11"/>
      <c r="G34" s="11"/>
      <c r="H34" s="11"/>
      <c r="I34" s="9"/>
      <c r="J34" s="12"/>
      <c r="K34" s="10">
        <f t="shared" si="0"/>
        <v>0</v>
      </c>
      <c r="L34" s="12">
        <f>IF(K34="~","~",IFERROR(K34-K33,K34-LOOKUP(9999999,$J$5:K33)))</f>
        <v>0</v>
      </c>
      <c r="M34" s="9"/>
      <c r="N34" s="45"/>
      <c r="O34" s="11"/>
      <c r="P34" s="9"/>
      <c r="Q34" s="9"/>
      <c r="T34" s="81"/>
    </row>
    <row r="35" spans="1:20" x14ac:dyDescent="0.25">
      <c r="A35" s="15">
        <v>44930</v>
      </c>
      <c r="B35" s="8" t="s">
        <v>16</v>
      </c>
      <c r="C35" s="69"/>
      <c r="D35" s="12"/>
      <c r="E35" s="12"/>
      <c r="F35" s="11"/>
      <c r="G35" s="11"/>
      <c r="H35" s="11"/>
      <c r="I35" s="9"/>
      <c r="J35" s="12"/>
      <c r="K35" s="10">
        <f t="shared" si="0"/>
        <v>0</v>
      </c>
      <c r="L35" s="12">
        <f>IF(K35="~","~",IFERROR(K35-K34,K35-LOOKUP(9999999,$J$5:K34)))</f>
        <v>0</v>
      </c>
      <c r="M35" s="9"/>
      <c r="N35" s="45"/>
      <c r="O35" s="11"/>
      <c r="P35" s="9"/>
      <c r="Q35" s="9"/>
      <c r="T35" s="81"/>
    </row>
    <row r="36" spans="1:20" x14ac:dyDescent="0.25">
      <c r="A36" s="15">
        <v>44930</v>
      </c>
      <c r="B36" s="8" t="s">
        <v>17</v>
      </c>
      <c r="C36" s="69"/>
      <c r="D36" s="12"/>
      <c r="E36" s="12"/>
      <c r="F36" s="11"/>
      <c r="G36" s="11"/>
      <c r="H36" s="11"/>
      <c r="I36" s="9"/>
      <c r="J36" s="12"/>
      <c r="K36" s="10">
        <f t="shared" si="0"/>
        <v>0</v>
      </c>
      <c r="L36" s="12">
        <f>IF(K36="~","~",IFERROR(K36-K35,K36-LOOKUP(9999999,$J$5:K35)))</f>
        <v>0</v>
      </c>
      <c r="M36" s="9"/>
      <c r="N36" s="45"/>
      <c r="O36" s="11"/>
      <c r="P36" s="9"/>
      <c r="Q36" s="9"/>
      <c r="T36" s="81"/>
    </row>
    <row r="37" spans="1:20" x14ac:dyDescent="0.25">
      <c r="A37" s="16">
        <v>44931</v>
      </c>
      <c r="B37" s="8" t="s">
        <v>10</v>
      </c>
      <c r="C37" s="69"/>
      <c r="D37" s="12"/>
      <c r="E37" s="12"/>
      <c r="F37" s="11"/>
      <c r="G37" s="11"/>
      <c r="H37" s="11"/>
      <c r="I37" s="9"/>
      <c r="J37" s="12"/>
      <c r="K37" s="10">
        <f t="shared" si="0"/>
        <v>0</v>
      </c>
      <c r="L37" s="12">
        <f>IF(K37="~","~",IFERROR(K37-K36,K37-LOOKUP(9999999,$J$5:K36)))</f>
        <v>0</v>
      </c>
      <c r="M37" s="9"/>
      <c r="N37" s="45"/>
      <c r="O37" s="11"/>
      <c r="P37" s="9"/>
      <c r="Q37" s="9"/>
      <c r="T37" s="81"/>
    </row>
    <row r="38" spans="1:20" x14ac:dyDescent="0.25">
      <c r="A38" s="16">
        <v>44931</v>
      </c>
      <c r="B38" s="8" t="s">
        <v>11</v>
      </c>
      <c r="C38" s="69"/>
      <c r="D38" s="12"/>
      <c r="E38" s="12"/>
      <c r="F38" s="11"/>
      <c r="G38" s="11"/>
      <c r="H38" s="11"/>
      <c r="I38" s="9"/>
      <c r="J38" s="12"/>
      <c r="K38" s="10">
        <f t="shared" si="0"/>
        <v>0</v>
      </c>
      <c r="L38" s="12">
        <f>IF(K38="~","~",IFERROR(K38-K37,K38-LOOKUP(9999999,$J$5:K37)))</f>
        <v>0</v>
      </c>
      <c r="M38" s="9"/>
      <c r="N38" s="45"/>
      <c r="O38" s="11"/>
      <c r="P38" s="9"/>
      <c r="Q38" s="9"/>
      <c r="T38" s="81"/>
    </row>
    <row r="39" spans="1:20" x14ac:dyDescent="0.25">
      <c r="A39" s="16">
        <v>44931</v>
      </c>
      <c r="B39" s="8" t="s">
        <v>12</v>
      </c>
      <c r="C39" s="69"/>
      <c r="D39" s="12"/>
      <c r="E39" s="12"/>
      <c r="F39" s="11"/>
      <c r="G39" s="11"/>
      <c r="H39" s="11"/>
      <c r="I39" s="9"/>
      <c r="J39" s="12"/>
      <c r="K39" s="10">
        <f t="shared" si="0"/>
        <v>0</v>
      </c>
      <c r="L39" s="12">
        <f>IF(K39="~","~",IFERROR(K39-K38,K39-LOOKUP(9999999,$J$5:K38)))</f>
        <v>0</v>
      </c>
      <c r="M39" s="9"/>
      <c r="N39" s="45"/>
      <c r="O39" s="11"/>
      <c r="P39" s="9"/>
      <c r="Q39" s="9"/>
      <c r="T39" s="81"/>
    </row>
    <row r="40" spans="1:20" x14ac:dyDescent="0.25">
      <c r="A40" s="16">
        <v>44931</v>
      </c>
      <c r="B40" s="8" t="s">
        <v>13</v>
      </c>
      <c r="C40" s="69"/>
      <c r="D40" s="12"/>
      <c r="E40" s="12"/>
      <c r="F40" s="11"/>
      <c r="G40" s="11"/>
      <c r="H40" s="11"/>
      <c r="I40" s="9"/>
      <c r="J40" s="12"/>
      <c r="K40" s="10">
        <f t="shared" si="0"/>
        <v>0</v>
      </c>
      <c r="L40" s="12">
        <f>IF(K40="~","~",IFERROR(K40-K39,K40-LOOKUP(9999999,$J$5:K39)))</f>
        <v>0</v>
      </c>
      <c r="M40" s="9"/>
      <c r="N40" s="45"/>
      <c r="O40" s="11"/>
      <c r="P40" s="9"/>
      <c r="Q40" s="9"/>
      <c r="T40" s="81"/>
    </row>
    <row r="41" spans="1:20" x14ac:dyDescent="0.25">
      <c r="A41" s="16">
        <v>44931</v>
      </c>
      <c r="B41" s="8" t="s">
        <v>14</v>
      </c>
      <c r="C41" s="69"/>
      <c r="D41" s="12"/>
      <c r="E41" s="12"/>
      <c r="F41" s="11"/>
      <c r="G41" s="11"/>
      <c r="H41" s="11"/>
      <c r="I41" s="9"/>
      <c r="J41" s="12"/>
      <c r="K41" s="10">
        <f t="shared" si="0"/>
        <v>0</v>
      </c>
      <c r="L41" s="12">
        <f>IF(K41="~","~",IFERROR(K41-K40,K41-LOOKUP(9999999,$J$5:K40)))</f>
        <v>0</v>
      </c>
      <c r="M41" s="9"/>
      <c r="N41" s="45"/>
      <c r="O41" s="11"/>
      <c r="P41" s="9"/>
      <c r="Q41" s="9"/>
      <c r="T41" s="81"/>
    </row>
    <row r="42" spans="1:20" x14ac:dyDescent="0.25">
      <c r="A42" s="16">
        <v>44931</v>
      </c>
      <c r="B42" s="8" t="s">
        <v>15</v>
      </c>
      <c r="C42" s="69"/>
      <c r="D42" s="12"/>
      <c r="E42" s="12"/>
      <c r="F42" s="11"/>
      <c r="G42" s="11"/>
      <c r="H42" s="11"/>
      <c r="I42" s="9"/>
      <c r="J42" s="12"/>
      <c r="K42" s="10">
        <f t="shared" si="0"/>
        <v>0</v>
      </c>
      <c r="L42" s="12">
        <f>IF(K42="~","~",IFERROR(K42-K41,K42-LOOKUP(9999999,$J$5:K41)))</f>
        <v>0</v>
      </c>
      <c r="M42" s="9"/>
      <c r="N42" s="45"/>
      <c r="O42" s="11"/>
      <c r="P42" s="9"/>
      <c r="Q42" s="9"/>
    </row>
    <row r="43" spans="1:20" x14ac:dyDescent="0.25">
      <c r="A43" s="16">
        <v>44931</v>
      </c>
      <c r="B43" s="8" t="s">
        <v>16</v>
      </c>
      <c r="C43" s="69"/>
      <c r="D43" s="12"/>
      <c r="E43" s="12"/>
      <c r="F43" s="11"/>
      <c r="G43" s="11"/>
      <c r="H43" s="11"/>
      <c r="I43" s="9"/>
      <c r="J43" s="12"/>
      <c r="K43" s="10">
        <f t="shared" si="0"/>
        <v>0</v>
      </c>
      <c r="L43" s="12">
        <f>IF(K43="~","~",IFERROR(K43-K42,K43-LOOKUP(9999999,$J$5:K42)))</f>
        <v>0</v>
      </c>
      <c r="M43" s="9"/>
      <c r="N43" s="45"/>
      <c r="O43" s="11"/>
      <c r="P43" s="9"/>
      <c r="Q43" s="9"/>
    </row>
    <row r="44" spans="1:20" x14ac:dyDescent="0.25">
      <c r="A44" s="16">
        <v>44931</v>
      </c>
      <c r="B44" s="8" t="s">
        <v>17</v>
      </c>
      <c r="C44" s="69"/>
      <c r="D44" s="12"/>
      <c r="E44" s="12"/>
      <c r="F44" s="11"/>
      <c r="G44" s="11"/>
      <c r="H44" s="11"/>
      <c r="I44" s="9"/>
      <c r="J44" s="12"/>
      <c r="K44" s="10">
        <f t="shared" si="0"/>
        <v>0</v>
      </c>
      <c r="L44" s="12">
        <f>IF(K44="~","~",IFERROR(K44-K43,K44-LOOKUP(9999999,$J$5:K43)))</f>
        <v>0</v>
      </c>
      <c r="M44" s="9"/>
      <c r="N44" s="45"/>
      <c r="O44" s="11"/>
      <c r="P44" s="9"/>
      <c r="Q44" s="9"/>
    </row>
    <row r="45" spans="1:20" x14ac:dyDescent="0.25">
      <c r="A45" s="17">
        <v>44932</v>
      </c>
      <c r="B45" s="8" t="s">
        <v>10</v>
      </c>
      <c r="C45" s="69"/>
      <c r="D45" s="12"/>
      <c r="E45" s="12"/>
      <c r="F45" s="11"/>
      <c r="G45" s="11"/>
      <c r="H45" s="11"/>
      <c r="I45" s="9"/>
      <c r="J45" s="12"/>
      <c r="K45" s="10">
        <f t="shared" si="0"/>
        <v>0</v>
      </c>
      <c r="L45" s="12">
        <f>IF(K45="~","~",IFERROR(K45-K44,K45-LOOKUP(9999999,$J$5:K44)))</f>
        <v>0</v>
      </c>
      <c r="M45" s="9"/>
      <c r="N45" s="45"/>
      <c r="O45" s="11"/>
      <c r="P45" s="9"/>
      <c r="Q45" s="9"/>
    </row>
    <row r="46" spans="1:20" x14ac:dyDescent="0.25">
      <c r="A46" s="17">
        <v>44932</v>
      </c>
      <c r="B46" s="8" t="s">
        <v>11</v>
      </c>
      <c r="C46" s="69"/>
      <c r="D46" s="12"/>
      <c r="E46" s="12"/>
      <c r="F46" s="11"/>
      <c r="G46" s="11"/>
      <c r="H46" s="11"/>
      <c r="I46" s="9"/>
      <c r="J46" s="12"/>
      <c r="K46" s="10">
        <f t="shared" si="0"/>
        <v>0</v>
      </c>
      <c r="L46" s="12">
        <f>IF(K46="~","~",IFERROR(K46-K45,K46-LOOKUP(9999999,$J$5:K45)))</f>
        <v>0</v>
      </c>
      <c r="M46" s="9"/>
      <c r="N46" s="45"/>
      <c r="O46" s="11"/>
      <c r="P46" s="9"/>
      <c r="Q46" s="9"/>
    </row>
    <row r="47" spans="1:20" x14ac:dyDescent="0.25">
      <c r="A47" s="17">
        <v>44932</v>
      </c>
      <c r="B47" s="8" t="s">
        <v>12</v>
      </c>
      <c r="C47" s="69"/>
      <c r="D47" s="12"/>
      <c r="E47" s="12"/>
      <c r="F47" s="11"/>
      <c r="G47" s="11"/>
      <c r="H47" s="11"/>
      <c r="I47" s="9"/>
      <c r="J47" s="12"/>
      <c r="K47" s="10">
        <f t="shared" si="0"/>
        <v>0</v>
      </c>
      <c r="L47" s="12">
        <f>IF(K47="~","~",IFERROR(K47-K46,K47-LOOKUP(9999999,$J$5:K46)))</f>
        <v>0</v>
      </c>
      <c r="M47" s="9"/>
      <c r="N47" s="45"/>
      <c r="O47" s="11"/>
      <c r="P47" s="9"/>
      <c r="Q47" s="9"/>
    </row>
    <row r="48" spans="1:20" x14ac:dyDescent="0.25">
      <c r="A48" s="17">
        <v>44932</v>
      </c>
      <c r="B48" s="8" t="s">
        <v>13</v>
      </c>
      <c r="C48" s="69"/>
      <c r="D48" s="12"/>
      <c r="E48" s="12"/>
      <c r="F48" s="11"/>
      <c r="G48" s="11"/>
      <c r="H48" s="11"/>
      <c r="I48" s="9"/>
      <c r="J48" s="12"/>
      <c r="K48" s="10">
        <f t="shared" si="0"/>
        <v>0</v>
      </c>
      <c r="L48" s="12">
        <f>IF(K48="~","~",IFERROR(K48-K47,K48-LOOKUP(9999999,$J$5:K47)))</f>
        <v>0</v>
      </c>
      <c r="M48" s="9"/>
      <c r="N48" s="45"/>
      <c r="O48" s="11"/>
      <c r="P48" s="9"/>
      <c r="Q48" s="9"/>
    </row>
    <row r="49" spans="1:17" x14ac:dyDescent="0.25">
      <c r="A49" s="17">
        <v>44932</v>
      </c>
      <c r="B49" s="8" t="s">
        <v>14</v>
      </c>
      <c r="C49" s="69"/>
      <c r="D49" s="12"/>
      <c r="E49" s="12"/>
      <c r="F49" s="11"/>
      <c r="G49" s="11"/>
      <c r="H49" s="11"/>
      <c r="I49" s="9"/>
      <c r="J49" s="12"/>
      <c r="K49" s="10">
        <f t="shared" si="0"/>
        <v>0</v>
      </c>
      <c r="L49" s="12">
        <f>IF(K49="~","~",IFERROR(K49-K48,K49-LOOKUP(9999999,$J$5:K48)))</f>
        <v>0</v>
      </c>
      <c r="M49" s="9"/>
      <c r="N49" s="45"/>
      <c r="O49" s="11"/>
      <c r="P49" s="9"/>
      <c r="Q49" s="9"/>
    </row>
    <row r="50" spans="1:17" x14ac:dyDescent="0.25">
      <c r="A50" s="17">
        <v>44932</v>
      </c>
      <c r="B50" s="8" t="s">
        <v>15</v>
      </c>
      <c r="C50" s="69"/>
      <c r="D50" s="12"/>
      <c r="E50" s="12"/>
      <c r="F50" s="11"/>
      <c r="G50" s="11"/>
      <c r="H50" s="11"/>
      <c r="I50" s="9"/>
      <c r="J50" s="12"/>
      <c r="K50" s="10">
        <f t="shared" si="0"/>
        <v>0</v>
      </c>
      <c r="L50" s="12">
        <f>IF(K50="~","~",IFERROR(K50-K49,K50-LOOKUP(9999999,$J$5:K49)))</f>
        <v>0</v>
      </c>
      <c r="M50" s="9"/>
      <c r="N50" s="45"/>
      <c r="O50" s="11"/>
      <c r="P50" s="9"/>
      <c r="Q50" s="9"/>
    </row>
    <row r="51" spans="1:17" x14ac:dyDescent="0.25">
      <c r="A51" s="17">
        <v>44932</v>
      </c>
      <c r="B51" s="8" t="s">
        <v>16</v>
      </c>
      <c r="C51" s="69"/>
      <c r="D51" s="12"/>
      <c r="E51" s="12"/>
      <c r="F51" s="11"/>
      <c r="G51" s="11"/>
      <c r="H51" s="11"/>
      <c r="I51" s="9"/>
      <c r="J51" s="12"/>
      <c r="K51" s="10">
        <f t="shared" si="0"/>
        <v>0</v>
      </c>
      <c r="L51" s="12">
        <f>IF(K51="~","~",IFERROR(K51-K50,K51-LOOKUP(9999999,$J$5:K50)))</f>
        <v>0</v>
      </c>
      <c r="M51" s="9"/>
      <c r="N51" s="45"/>
      <c r="O51" s="11"/>
      <c r="P51" s="9"/>
      <c r="Q51" s="9"/>
    </row>
    <row r="52" spans="1:17" x14ac:dyDescent="0.25">
      <c r="A52" s="17">
        <v>44932</v>
      </c>
      <c r="B52" s="8" t="s">
        <v>17</v>
      </c>
      <c r="C52" s="69"/>
      <c r="D52" s="12"/>
      <c r="E52" s="12"/>
      <c r="F52" s="11"/>
      <c r="G52" s="11"/>
      <c r="H52" s="11"/>
      <c r="I52" s="9"/>
      <c r="J52" s="12"/>
      <c r="K52" s="10">
        <f t="shared" si="0"/>
        <v>0</v>
      </c>
      <c r="L52" s="12">
        <f>IF(K52="~","~",IFERROR(K52-K51,K52-LOOKUP(9999999,$J$5:K51)))</f>
        <v>0</v>
      </c>
      <c r="M52" s="9"/>
      <c r="N52" s="45"/>
      <c r="O52" s="11"/>
      <c r="P52" s="9"/>
      <c r="Q52" s="9"/>
    </row>
    <row r="53" spans="1:17" x14ac:dyDescent="0.25">
      <c r="A53" s="18">
        <v>44933</v>
      </c>
      <c r="B53" s="8" t="s">
        <v>10</v>
      </c>
      <c r="C53" s="69"/>
      <c r="D53" s="12"/>
      <c r="E53" s="12"/>
      <c r="F53" s="11"/>
      <c r="G53" s="147"/>
      <c r="H53" s="11"/>
      <c r="I53" s="9"/>
      <c r="J53" s="12"/>
      <c r="K53" s="10">
        <f t="shared" si="0"/>
        <v>0</v>
      </c>
      <c r="L53" s="12">
        <f>IF(K53="~","~",IFERROR(K53-K52,K53-LOOKUP(9999999,$J$5:K52)))</f>
        <v>0</v>
      </c>
      <c r="M53" s="9"/>
      <c r="N53" s="45"/>
      <c r="O53" s="11"/>
      <c r="P53" s="9"/>
      <c r="Q53" s="9"/>
    </row>
    <row r="54" spans="1:17" x14ac:dyDescent="0.25">
      <c r="A54" s="18">
        <v>44933</v>
      </c>
      <c r="B54" s="8" t="s">
        <v>11</v>
      </c>
      <c r="C54" s="69"/>
      <c r="D54" s="12"/>
      <c r="E54" s="12"/>
      <c r="F54" s="11"/>
      <c r="G54" s="147"/>
      <c r="H54" s="11"/>
      <c r="I54" s="9"/>
      <c r="J54" s="12"/>
      <c r="K54" s="10">
        <f t="shared" si="0"/>
        <v>0</v>
      </c>
      <c r="L54" s="12">
        <f>IF(K54="~","~",IFERROR(K54-K53,K54-LOOKUP(9999999,$J$5:K53)))</f>
        <v>0</v>
      </c>
      <c r="M54" s="9"/>
      <c r="N54" s="45"/>
      <c r="O54" s="11"/>
      <c r="P54" s="9"/>
      <c r="Q54" s="9"/>
    </row>
    <row r="55" spans="1:17" x14ac:dyDescent="0.25">
      <c r="A55" s="18">
        <v>44933</v>
      </c>
      <c r="B55" s="8" t="s">
        <v>12</v>
      </c>
      <c r="C55" s="69"/>
      <c r="D55" s="12"/>
      <c r="E55" s="12"/>
      <c r="F55" s="11"/>
      <c r="G55" s="147"/>
      <c r="H55" s="11"/>
      <c r="I55" s="9"/>
      <c r="J55" s="12"/>
      <c r="K55" s="10">
        <f t="shared" si="0"/>
        <v>0</v>
      </c>
      <c r="L55" s="12">
        <f>IF(K55="~","~",IFERROR(K55-K54,K55-LOOKUP(9999999,$J$5:K54)))</f>
        <v>0</v>
      </c>
      <c r="M55" s="9"/>
      <c r="N55" s="45"/>
      <c r="O55" s="11"/>
      <c r="P55" s="9"/>
      <c r="Q55" s="9"/>
    </row>
    <row r="56" spans="1:17" x14ac:dyDescent="0.25">
      <c r="A56" s="18">
        <v>44933</v>
      </c>
      <c r="B56" s="8" t="s">
        <v>13</v>
      </c>
      <c r="C56" s="69"/>
      <c r="D56" s="12"/>
      <c r="E56" s="12"/>
      <c r="F56" s="11"/>
      <c r="G56" s="147"/>
      <c r="H56" s="11"/>
      <c r="I56" s="9"/>
      <c r="J56" s="12"/>
      <c r="K56" s="10">
        <f t="shared" si="0"/>
        <v>0</v>
      </c>
      <c r="L56" s="12">
        <f>IF(K56="~","~",IFERROR(K56-K55,K56-LOOKUP(9999999,$J$5:K55)))</f>
        <v>0</v>
      </c>
      <c r="M56" s="9"/>
      <c r="N56" s="45"/>
      <c r="O56" s="11"/>
      <c r="P56" s="9"/>
      <c r="Q56" s="9"/>
    </row>
    <row r="57" spans="1:17" x14ac:dyDescent="0.25">
      <c r="A57" s="18">
        <v>44933</v>
      </c>
      <c r="B57" s="8" t="s">
        <v>14</v>
      </c>
      <c r="C57" s="69"/>
      <c r="D57" s="12"/>
      <c r="E57" s="12"/>
      <c r="F57" s="11"/>
      <c r="G57" s="147"/>
      <c r="H57" s="11"/>
      <c r="I57" s="9"/>
      <c r="J57" s="12"/>
      <c r="K57" s="10">
        <f t="shared" si="0"/>
        <v>0</v>
      </c>
      <c r="L57" s="12">
        <f>IF(K57="~","~",IFERROR(K57-K56,K57-LOOKUP(9999999,$J$5:K56)))</f>
        <v>0</v>
      </c>
      <c r="M57" s="9"/>
      <c r="N57" s="45"/>
      <c r="O57" s="11"/>
      <c r="P57" s="9"/>
      <c r="Q57" s="9"/>
    </row>
    <row r="58" spans="1:17" x14ac:dyDescent="0.25">
      <c r="A58" s="18">
        <v>44933</v>
      </c>
      <c r="B58" s="8" t="s">
        <v>15</v>
      </c>
      <c r="C58" s="69"/>
      <c r="D58" s="12"/>
      <c r="E58" s="12"/>
      <c r="F58" s="11"/>
      <c r="G58" s="147"/>
      <c r="H58" s="11"/>
      <c r="I58" s="9"/>
      <c r="J58" s="12"/>
      <c r="K58" s="10">
        <f t="shared" si="0"/>
        <v>0</v>
      </c>
      <c r="L58" s="12">
        <f>IF(K58="~","~",IFERROR(K58-K57,K58-LOOKUP(9999999,$J$5:K57)))</f>
        <v>0</v>
      </c>
      <c r="M58" s="9"/>
      <c r="N58" s="45"/>
      <c r="O58" s="11"/>
      <c r="P58" s="9"/>
      <c r="Q58" s="9"/>
    </row>
    <row r="59" spans="1:17" x14ac:dyDescent="0.25">
      <c r="A59" s="18">
        <v>44933</v>
      </c>
      <c r="B59" s="8" t="s">
        <v>16</v>
      </c>
      <c r="C59" s="69"/>
      <c r="D59" s="12"/>
      <c r="E59" s="12"/>
      <c r="F59" s="11"/>
      <c r="G59" s="147"/>
      <c r="H59" s="11"/>
      <c r="I59" s="9"/>
      <c r="J59" s="12"/>
      <c r="K59" s="10">
        <f t="shared" si="0"/>
        <v>0</v>
      </c>
      <c r="L59" s="12">
        <f>IF(K59="~","~",IFERROR(K59-K58,K59-LOOKUP(9999999,$J$5:K58)))</f>
        <v>0</v>
      </c>
      <c r="M59" s="9"/>
      <c r="N59" s="45"/>
      <c r="O59" s="11"/>
      <c r="P59" s="9"/>
      <c r="Q59" s="9"/>
    </row>
    <row r="60" spans="1:17" x14ac:dyDescent="0.25">
      <c r="A60" s="18">
        <v>44933</v>
      </c>
      <c r="B60" s="8" t="s">
        <v>17</v>
      </c>
      <c r="C60" s="69"/>
      <c r="D60" s="12"/>
      <c r="E60" s="12"/>
      <c r="F60" s="11"/>
      <c r="G60" s="147"/>
      <c r="H60" s="11"/>
      <c r="I60" s="9"/>
      <c r="J60" s="12"/>
      <c r="K60" s="10">
        <f t="shared" si="0"/>
        <v>0</v>
      </c>
      <c r="L60" s="12">
        <f>IF(K60="~","~",IFERROR(K60-K59,K60-LOOKUP(9999999,$J$5:K59)))</f>
        <v>0</v>
      </c>
      <c r="M60" s="9"/>
      <c r="N60" s="45"/>
      <c r="O60" s="11"/>
      <c r="P60" s="9"/>
      <c r="Q60" s="9"/>
    </row>
    <row r="61" spans="1:17" x14ac:dyDescent="0.25">
      <c r="A61" s="19">
        <v>44934</v>
      </c>
      <c r="B61" s="8" t="s">
        <v>10</v>
      </c>
      <c r="C61" s="69"/>
      <c r="D61" s="12"/>
      <c r="E61" s="12"/>
      <c r="F61" s="11"/>
      <c r="G61" s="11"/>
      <c r="H61" s="11"/>
      <c r="I61" s="9"/>
      <c r="J61" s="12"/>
      <c r="K61" s="10">
        <f t="shared" si="0"/>
        <v>0</v>
      </c>
      <c r="L61" s="12">
        <f>IF(K61="~","~",IFERROR(K61-K60,K61-LOOKUP(9999999,$J$5:K60)))</f>
        <v>0</v>
      </c>
      <c r="M61" s="9"/>
      <c r="N61" s="45"/>
      <c r="O61" s="11"/>
      <c r="P61" s="9"/>
      <c r="Q61" s="9"/>
    </row>
    <row r="62" spans="1:17" x14ac:dyDescent="0.25">
      <c r="A62" s="19">
        <v>44934</v>
      </c>
      <c r="B62" s="8" t="s">
        <v>11</v>
      </c>
      <c r="C62" s="69"/>
      <c r="D62" s="12"/>
      <c r="E62" s="12"/>
      <c r="F62" s="11"/>
      <c r="G62" s="11"/>
      <c r="H62" s="11"/>
      <c r="I62" s="9"/>
      <c r="J62" s="12"/>
      <c r="K62" s="10">
        <f t="shared" si="0"/>
        <v>0</v>
      </c>
      <c r="L62" s="12">
        <f>IF(K62="~","~",IFERROR(K62-K61,K62-LOOKUP(9999999,$J$5:K61)))</f>
        <v>0</v>
      </c>
      <c r="M62" s="9"/>
      <c r="N62" s="45"/>
      <c r="O62" s="11"/>
      <c r="P62" s="9"/>
      <c r="Q62" s="9"/>
    </row>
    <row r="63" spans="1:17" x14ac:dyDescent="0.25">
      <c r="A63" s="19">
        <v>44934</v>
      </c>
      <c r="B63" s="8" t="s">
        <v>12</v>
      </c>
      <c r="C63" s="69"/>
      <c r="D63" s="12"/>
      <c r="E63" s="12"/>
      <c r="F63" s="11"/>
      <c r="G63" s="11"/>
      <c r="H63" s="11"/>
      <c r="I63" s="9"/>
      <c r="J63" s="12"/>
      <c r="K63" s="10">
        <f t="shared" si="0"/>
        <v>0</v>
      </c>
      <c r="L63" s="12">
        <f>IF(K63="~","~",IFERROR(K63-K62,K63-LOOKUP(9999999,$J$5:K62)))</f>
        <v>0</v>
      </c>
      <c r="M63" s="9"/>
      <c r="N63" s="45"/>
      <c r="O63" s="11"/>
      <c r="P63" s="9"/>
      <c r="Q63" s="9"/>
    </row>
    <row r="64" spans="1:17" x14ac:dyDescent="0.25">
      <c r="A64" s="19">
        <v>44934</v>
      </c>
      <c r="B64" s="8" t="s">
        <v>13</v>
      </c>
      <c r="C64" s="69"/>
      <c r="D64" s="12"/>
      <c r="E64" s="12"/>
      <c r="F64" s="11"/>
      <c r="G64" s="11"/>
      <c r="H64" s="11"/>
      <c r="I64" s="9"/>
      <c r="J64" s="12"/>
      <c r="K64" s="10">
        <f t="shared" si="0"/>
        <v>0</v>
      </c>
      <c r="L64" s="12">
        <f>IF(K64="~","~",IFERROR(K64-K63,K64-LOOKUP(9999999,$J$5:K63)))</f>
        <v>0</v>
      </c>
      <c r="M64" s="9"/>
      <c r="N64" s="45"/>
      <c r="O64" s="11"/>
      <c r="P64" s="9"/>
      <c r="Q64" s="9"/>
    </row>
    <row r="65" spans="1:17" x14ac:dyDescent="0.25">
      <c r="A65" s="19">
        <v>44934</v>
      </c>
      <c r="B65" s="8" t="s">
        <v>14</v>
      </c>
      <c r="C65" s="69"/>
      <c r="D65" s="12"/>
      <c r="E65" s="12"/>
      <c r="F65" s="11"/>
      <c r="G65" s="11"/>
      <c r="H65" s="11"/>
      <c r="I65" s="9"/>
      <c r="J65" s="12"/>
      <c r="K65" s="10">
        <f t="shared" si="0"/>
        <v>0</v>
      </c>
      <c r="L65" s="12">
        <f>IF(K65="~","~",IFERROR(K65-K64,K65-LOOKUP(9999999,$J$5:K64)))</f>
        <v>0</v>
      </c>
      <c r="M65" s="9"/>
      <c r="N65" s="45"/>
      <c r="O65" s="11"/>
      <c r="P65" s="9"/>
      <c r="Q65" s="9"/>
    </row>
    <row r="66" spans="1:17" x14ac:dyDescent="0.25">
      <c r="A66" s="19">
        <v>44934</v>
      </c>
      <c r="B66" s="8" t="s">
        <v>15</v>
      </c>
      <c r="C66" s="69"/>
      <c r="D66" s="12"/>
      <c r="E66" s="12"/>
      <c r="F66" s="11"/>
      <c r="G66" s="11"/>
      <c r="H66" s="11"/>
      <c r="I66" s="9"/>
      <c r="J66" s="12"/>
      <c r="K66" s="10">
        <f t="shared" si="0"/>
        <v>0</v>
      </c>
      <c r="L66" s="12">
        <f>IF(K66="~","~",IFERROR(K66-K65,K66-LOOKUP(9999999,$J$5:K65)))</f>
        <v>0</v>
      </c>
      <c r="M66" s="9"/>
      <c r="N66" s="45"/>
      <c r="O66" s="11"/>
      <c r="P66" s="9"/>
      <c r="Q66" s="9"/>
    </row>
    <row r="67" spans="1:17" x14ac:dyDescent="0.25">
      <c r="A67" s="19">
        <v>44934</v>
      </c>
      <c r="B67" s="8" t="s">
        <v>16</v>
      </c>
      <c r="C67" s="69"/>
      <c r="D67" s="12"/>
      <c r="E67" s="12"/>
      <c r="F67" s="11"/>
      <c r="G67" s="11"/>
      <c r="H67" s="11"/>
      <c r="I67" s="9"/>
      <c r="J67" s="12"/>
      <c r="K67" s="10">
        <f t="shared" si="0"/>
        <v>0</v>
      </c>
      <c r="L67" s="12">
        <f>IF(K67="~","~",IFERROR(K67-K66,K67-LOOKUP(9999999,$J$5:K66)))</f>
        <v>0</v>
      </c>
      <c r="M67" s="9"/>
      <c r="N67" s="45"/>
      <c r="O67" s="11"/>
      <c r="P67" s="9"/>
      <c r="Q67" s="9"/>
    </row>
    <row r="68" spans="1:17" x14ac:dyDescent="0.25">
      <c r="A68" s="19">
        <v>44934</v>
      </c>
      <c r="B68" s="8" t="s">
        <v>17</v>
      </c>
      <c r="C68" s="69"/>
      <c r="D68" s="12"/>
      <c r="E68" s="12"/>
      <c r="F68" s="11"/>
      <c r="G68" s="11"/>
      <c r="H68" s="11"/>
      <c r="I68" s="9"/>
      <c r="J68" s="12"/>
      <c r="K68" s="10">
        <f t="shared" si="0"/>
        <v>0</v>
      </c>
      <c r="L68" s="12">
        <f>IF(K68="~","~",IFERROR(K68-K67,K68-LOOKUP(9999999,$J$5:K67)))</f>
        <v>0</v>
      </c>
      <c r="M68" s="9"/>
      <c r="N68" s="45"/>
      <c r="O68" s="11"/>
      <c r="P68" s="9"/>
      <c r="Q68" s="9"/>
    </row>
    <row r="69" spans="1:17" x14ac:dyDescent="0.25">
      <c r="A69" s="20">
        <v>44935</v>
      </c>
      <c r="B69" s="8" t="s">
        <v>10</v>
      </c>
      <c r="C69" s="69"/>
      <c r="D69" s="12"/>
      <c r="E69" s="12"/>
      <c r="F69" s="11"/>
      <c r="G69" s="11"/>
      <c r="H69" s="11"/>
      <c r="I69" s="9"/>
      <c r="J69" s="12"/>
      <c r="K69" s="10">
        <f t="shared" si="0"/>
        <v>0</v>
      </c>
      <c r="L69" s="12">
        <f>IF(K69="~","~",IFERROR(K69-K68,K69-LOOKUP(9999999,$J$5:K68)))</f>
        <v>0</v>
      </c>
      <c r="M69" s="9"/>
      <c r="N69" s="45"/>
      <c r="O69" s="11"/>
      <c r="P69" s="9"/>
      <c r="Q69" s="9"/>
    </row>
    <row r="70" spans="1:17" x14ac:dyDescent="0.25">
      <c r="A70" s="20">
        <v>44935</v>
      </c>
      <c r="B70" s="8" t="s">
        <v>11</v>
      </c>
      <c r="C70" s="69"/>
      <c r="D70" s="12"/>
      <c r="E70" s="12"/>
      <c r="F70" s="11"/>
      <c r="G70" s="11"/>
      <c r="H70" s="11"/>
      <c r="I70" s="9"/>
      <c r="J70" s="12"/>
      <c r="K70" s="10">
        <f t="shared" si="0"/>
        <v>0</v>
      </c>
      <c r="L70" s="12">
        <f>IF(K70="~","~",IFERROR(K70-K69,K70-LOOKUP(9999999,$J$5:K69)))</f>
        <v>0</v>
      </c>
      <c r="M70" s="9"/>
      <c r="N70" s="45"/>
      <c r="O70" s="11"/>
      <c r="P70" s="9"/>
      <c r="Q70" s="9"/>
    </row>
    <row r="71" spans="1:17" x14ac:dyDescent="0.25">
      <c r="A71" s="20">
        <v>44935</v>
      </c>
      <c r="B71" s="8" t="s">
        <v>12</v>
      </c>
      <c r="C71" s="69"/>
      <c r="D71" s="12"/>
      <c r="E71" s="12"/>
      <c r="F71" s="11"/>
      <c r="G71" s="11"/>
      <c r="H71" s="11"/>
      <c r="I71" s="9"/>
      <c r="J71" s="12"/>
      <c r="K71" s="10">
        <f t="shared" ref="K71:K134" si="1">IF(AND(J71="~",J70&lt;&gt;"~"),J70,IF(AND(J71="~",J70="~"),K70,J71))</f>
        <v>0</v>
      </c>
      <c r="L71" s="12">
        <f>IF(K71="~","~",IFERROR(K71-K70,K71-LOOKUP(9999999,$J$5:K70)))</f>
        <v>0</v>
      </c>
      <c r="M71" s="9"/>
      <c r="N71" s="45"/>
      <c r="O71" s="11"/>
      <c r="P71" s="9"/>
      <c r="Q71" s="9"/>
    </row>
    <row r="72" spans="1:17" x14ac:dyDescent="0.25">
      <c r="A72" s="20">
        <v>44935</v>
      </c>
      <c r="B72" s="8" t="s">
        <v>13</v>
      </c>
      <c r="C72" s="69"/>
      <c r="D72" s="12"/>
      <c r="E72" s="12"/>
      <c r="F72" s="11"/>
      <c r="G72" s="11"/>
      <c r="H72" s="11"/>
      <c r="I72" s="9"/>
      <c r="J72" s="12"/>
      <c r="K72" s="10">
        <f t="shared" si="1"/>
        <v>0</v>
      </c>
      <c r="L72" s="12">
        <f>IF(K72="~","~",IFERROR(K72-K71,K72-LOOKUP(9999999,$J$5:K71)))</f>
        <v>0</v>
      </c>
      <c r="M72" s="9"/>
      <c r="N72" s="45"/>
      <c r="O72" s="11"/>
      <c r="P72" s="9"/>
      <c r="Q72" s="9"/>
    </row>
    <row r="73" spans="1:17" x14ac:dyDescent="0.25">
      <c r="A73" s="20">
        <v>44935</v>
      </c>
      <c r="B73" s="8" t="s">
        <v>14</v>
      </c>
      <c r="C73" s="69"/>
      <c r="D73" s="12"/>
      <c r="E73" s="12"/>
      <c r="F73" s="11"/>
      <c r="G73" s="11"/>
      <c r="H73" s="11"/>
      <c r="I73" s="9"/>
      <c r="J73" s="12"/>
      <c r="K73" s="10">
        <f t="shared" si="1"/>
        <v>0</v>
      </c>
      <c r="L73" s="12">
        <f>IF(K73="~","~",IFERROR(K73-K72,K73-LOOKUP(9999999,$J$5:K72)))</f>
        <v>0</v>
      </c>
      <c r="M73" s="9"/>
      <c r="N73" s="45"/>
      <c r="O73" s="11"/>
      <c r="P73" s="9"/>
      <c r="Q73" s="9"/>
    </row>
    <row r="74" spans="1:17" x14ac:dyDescent="0.25">
      <c r="A74" s="20">
        <v>44935</v>
      </c>
      <c r="B74" s="8" t="s">
        <v>15</v>
      </c>
      <c r="C74" s="69"/>
      <c r="D74" s="12"/>
      <c r="E74" s="12"/>
      <c r="F74" s="11"/>
      <c r="G74" s="11"/>
      <c r="H74" s="11"/>
      <c r="I74" s="9"/>
      <c r="J74" s="12"/>
      <c r="K74" s="10">
        <f t="shared" si="1"/>
        <v>0</v>
      </c>
      <c r="L74" s="12">
        <f>IF(K74="~","~",IFERROR(K74-K73,K74-LOOKUP(9999999,$J$5:K73)))</f>
        <v>0</v>
      </c>
      <c r="M74" s="9"/>
      <c r="N74" s="45"/>
      <c r="O74" s="11"/>
      <c r="P74" s="9"/>
      <c r="Q74" s="9"/>
    </row>
    <row r="75" spans="1:17" x14ac:dyDescent="0.25">
      <c r="A75" s="20">
        <v>44935</v>
      </c>
      <c r="B75" s="8" t="s">
        <v>16</v>
      </c>
      <c r="C75" s="69"/>
      <c r="D75" s="12"/>
      <c r="E75" s="12"/>
      <c r="F75" s="11"/>
      <c r="G75" s="11"/>
      <c r="H75" s="11"/>
      <c r="I75" s="9"/>
      <c r="J75" s="12"/>
      <c r="K75" s="10">
        <f t="shared" si="1"/>
        <v>0</v>
      </c>
      <c r="L75" s="12">
        <f>IF(K75="~","~",IFERROR(K75-K74,K75-LOOKUP(9999999,$J$5:K74)))</f>
        <v>0</v>
      </c>
      <c r="M75" s="9"/>
      <c r="N75" s="45"/>
      <c r="O75" s="11"/>
      <c r="P75" s="9"/>
      <c r="Q75" s="9"/>
    </row>
    <row r="76" spans="1:17" x14ac:dyDescent="0.25">
      <c r="A76" s="20">
        <v>44935</v>
      </c>
      <c r="B76" s="8" t="s">
        <v>17</v>
      </c>
      <c r="C76" s="69"/>
      <c r="D76" s="12"/>
      <c r="E76" s="12"/>
      <c r="F76" s="11"/>
      <c r="G76" s="11"/>
      <c r="H76" s="11"/>
      <c r="I76" s="9"/>
      <c r="J76" s="12"/>
      <c r="K76" s="10">
        <f t="shared" si="1"/>
        <v>0</v>
      </c>
      <c r="L76" s="12">
        <f>IF(K76="~","~",IFERROR(K76-K75,K76-LOOKUP(9999999,$J$5:K75)))</f>
        <v>0</v>
      </c>
      <c r="M76" s="9"/>
      <c r="N76" s="45"/>
      <c r="O76" s="11"/>
      <c r="P76" s="9"/>
      <c r="Q76" s="9"/>
    </row>
    <row r="77" spans="1:17" x14ac:dyDescent="0.25">
      <c r="A77" s="21">
        <v>44936</v>
      </c>
      <c r="B77" s="8" t="s">
        <v>10</v>
      </c>
      <c r="C77" s="69"/>
      <c r="D77" s="12"/>
      <c r="E77" s="12"/>
      <c r="F77" s="11"/>
      <c r="G77" s="11"/>
      <c r="H77" s="11"/>
      <c r="I77" s="9"/>
      <c r="J77" s="12"/>
      <c r="K77" s="10">
        <f t="shared" si="1"/>
        <v>0</v>
      </c>
      <c r="L77" s="12">
        <f>IF(K77="~","~",IFERROR(K77-K76,K77-LOOKUP(9999999,$J$5:K76)))</f>
        <v>0</v>
      </c>
      <c r="M77" s="9"/>
      <c r="N77" s="45"/>
      <c r="O77" s="11"/>
      <c r="P77" s="9"/>
      <c r="Q77" s="9"/>
    </row>
    <row r="78" spans="1:17" x14ac:dyDescent="0.25">
      <c r="A78" s="21">
        <v>44936</v>
      </c>
      <c r="B78" s="8" t="s">
        <v>11</v>
      </c>
      <c r="C78" s="69"/>
      <c r="D78" s="12"/>
      <c r="E78" s="12"/>
      <c r="F78" s="11"/>
      <c r="G78" s="11"/>
      <c r="H78" s="11"/>
      <c r="I78" s="9"/>
      <c r="J78" s="12"/>
      <c r="K78" s="10">
        <f t="shared" si="1"/>
        <v>0</v>
      </c>
      <c r="L78" s="12">
        <f>IF(K78="~","~",IFERROR(K78-K77,K78-LOOKUP(9999999,$J$5:K77)))</f>
        <v>0</v>
      </c>
      <c r="M78" s="9"/>
      <c r="N78" s="45"/>
      <c r="O78" s="11"/>
      <c r="P78" s="9"/>
      <c r="Q78" s="9"/>
    </row>
    <row r="79" spans="1:17" x14ac:dyDescent="0.25">
      <c r="A79" s="21">
        <v>44936</v>
      </c>
      <c r="B79" s="8" t="s">
        <v>12</v>
      </c>
      <c r="C79" s="69"/>
      <c r="D79" s="70"/>
      <c r="E79" s="71"/>
      <c r="F79" s="11"/>
      <c r="G79" s="11"/>
      <c r="H79" s="11"/>
      <c r="I79" s="9"/>
      <c r="J79" s="12"/>
      <c r="K79" s="10">
        <f t="shared" si="1"/>
        <v>0</v>
      </c>
      <c r="L79" s="12">
        <f>IF(K79="~","~",IFERROR(K79-K78,K79-LOOKUP(9999999,$J$5:K78)))</f>
        <v>0</v>
      </c>
      <c r="M79" s="9"/>
      <c r="N79" s="45"/>
      <c r="O79" s="11"/>
      <c r="P79" s="9"/>
      <c r="Q79" s="9"/>
    </row>
    <row r="80" spans="1:17" x14ac:dyDescent="0.25">
      <c r="A80" s="21">
        <v>44936</v>
      </c>
      <c r="B80" s="8" t="s">
        <v>13</v>
      </c>
      <c r="C80" s="69"/>
      <c r="D80" s="12"/>
      <c r="E80" s="12"/>
      <c r="F80" s="11"/>
      <c r="G80" s="11"/>
      <c r="H80" s="11"/>
      <c r="I80" s="9"/>
      <c r="J80" s="12"/>
      <c r="K80" s="10">
        <f t="shared" si="1"/>
        <v>0</v>
      </c>
      <c r="L80" s="12">
        <f>IF(K80="~","~",IFERROR(K80-K79,K80-LOOKUP(9999999,$J$5:K79)))</f>
        <v>0</v>
      </c>
      <c r="M80" s="9"/>
      <c r="N80" s="45"/>
      <c r="O80" s="11"/>
      <c r="P80" s="9"/>
      <c r="Q80" s="9"/>
    </row>
    <row r="81" spans="1:17" x14ac:dyDescent="0.25">
      <c r="A81" s="21">
        <v>44936</v>
      </c>
      <c r="B81" s="8" t="s">
        <v>14</v>
      </c>
      <c r="C81" s="69"/>
      <c r="D81" s="12"/>
      <c r="E81" s="12"/>
      <c r="F81" s="11"/>
      <c r="G81" s="11"/>
      <c r="H81" s="11"/>
      <c r="I81" s="9"/>
      <c r="J81" s="12"/>
      <c r="K81" s="10">
        <f t="shared" si="1"/>
        <v>0</v>
      </c>
      <c r="L81" s="12">
        <f>IF(K81="~","~",IFERROR(K81-K80,K81-LOOKUP(9999999,$J$5:K80)))</f>
        <v>0</v>
      </c>
      <c r="M81" s="9"/>
      <c r="N81" s="45"/>
      <c r="O81" s="11"/>
      <c r="P81" s="9"/>
      <c r="Q81" s="9"/>
    </row>
    <row r="82" spans="1:17" x14ac:dyDescent="0.25">
      <c r="A82" s="21">
        <v>44936</v>
      </c>
      <c r="B82" s="8" t="s">
        <v>15</v>
      </c>
      <c r="C82" s="69"/>
      <c r="D82" s="12"/>
      <c r="E82" s="12"/>
      <c r="F82" s="11"/>
      <c r="G82" s="11"/>
      <c r="H82" s="11"/>
      <c r="I82" s="9"/>
      <c r="J82" s="12"/>
      <c r="K82" s="10">
        <f t="shared" si="1"/>
        <v>0</v>
      </c>
      <c r="L82" s="12">
        <f>IF(K82="~","~",IFERROR(K82-K81,K82-LOOKUP(9999999,$J$5:K81)))</f>
        <v>0</v>
      </c>
      <c r="M82" s="9"/>
      <c r="N82" s="45"/>
      <c r="O82" s="11"/>
      <c r="P82" s="9"/>
      <c r="Q82" s="9"/>
    </row>
    <row r="83" spans="1:17" x14ac:dyDescent="0.25">
      <c r="A83" s="21">
        <v>44936</v>
      </c>
      <c r="B83" s="8" t="s">
        <v>16</v>
      </c>
      <c r="C83" s="69"/>
      <c r="D83" s="12"/>
      <c r="E83" s="12"/>
      <c r="F83" s="11"/>
      <c r="G83" s="11"/>
      <c r="H83" s="11"/>
      <c r="I83" s="9"/>
      <c r="J83" s="12"/>
      <c r="K83" s="10">
        <f t="shared" si="1"/>
        <v>0</v>
      </c>
      <c r="L83" s="12">
        <f>IF(K83="~","~",IFERROR(K83-K82,K83-LOOKUP(9999999,$J$5:K82)))</f>
        <v>0</v>
      </c>
      <c r="M83" s="9"/>
      <c r="N83" s="45"/>
      <c r="O83" s="11"/>
      <c r="P83" s="9"/>
      <c r="Q83" s="9"/>
    </row>
    <row r="84" spans="1:17" x14ac:dyDescent="0.25">
      <c r="A84" s="21">
        <v>44936</v>
      </c>
      <c r="B84" s="8" t="s">
        <v>17</v>
      </c>
      <c r="C84" s="69"/>
      <c r="D84" s="12"/>
      <c r="E84" s="12"/>
      <c r="F84" s="11"/>
      <c r="G84" s="11"/>
      <c r="H84" s="11"/>
      <c r="I84" s="9"/>
      <c r="J84" s="12"/>
      <c r="K84" s="10">
        <f t="shared" si="1"/>
        <v>0</v>
      </c>
      <c r="L84" s="12">
        <f>IF(K84="~","~",IFERROR(K84-K83,K84-LOOKUP(9999999,$J$5:K83)))</f>
        <v>0</v>
      </c>
      <c r="M84" s="9"/>
      <c r="N84" s="45"/>
      <c r="O84" s="11"/>
      <c r="P84" s="9"/>
      <c r="Q84" s="9"/>
    </row>
    <row r="85" spans="1:17" x14ac:dyDescent="0.25">
      <c r="A85" s="22">
        <v>44937</v>
      </c>
      <c r="B85" s="8" t="s">
        <v>10</v>
      </c>
      <c r="C85" s="69"/>
      <c r="D85" s="12"/>
      <c r="E85" s="12"/>
      <c r="F85" s="11"/>
      <c r="G85" s="11"/>
      <c r="H85" s="11"/>
      <c r="I85" s="9"/>
      <c r="J85" s="12"/>
      <c r="K85" s="10">
        <f t="shared" si="1"/>
        <v>0</v>
      </c>
      <c r="L85" s="12">
        <f>IF(K85="~","~",IFERROR(K85-K84,K85-LOOKUP(9999999,$J$5:K84)))</f>
        <v>0</v>
      </c>
      <c r="M85" s="9"/>
      <c r="N85" s="45"/>
      <c r="O85" s="11"/>
      <c r="P85" s="9"/>
      <c r="Q85" s="9"/>
    </row>
    <row r="86" spans="1:17" x14ac:dyDescent="0.25">
      <c r="A86" s="22">
        <v>44937</v>
      </c>
      <c r="B86" s="8" t="s">
        <v>11</v>
      </c>
      <c r="C86" s="69"/>
      <c r="D86" s="12"/>
      <c r="E86" s="12"/>
      <c r="F86" s="11"/>
      <c r="G86" s="11"/>
      <c r="H86" s="11"/>
      <c r="I86" s="9"/>
      <c r="J86" s="12"/>
      <c r="K86" s="10">
        <f t="shared" si="1"/>
        <v>0</v>
      </c>
      <c r="L86" s="12">
        <f>IF(K86="~","~",IFERROR(K86-K85,K86-LOOKUP(9999999,$J$5:K85)))</f>
        <v>0</v>
      </c>
      <c r="M86" s="9"/>
      <c r="N86" s="45"/>
      <c r="O86" s="11"/>
      <c r="P86" s="9"/>
      <c r="Q86" s="9"/>
    </row>
    <row r="87" spans="1:17" x14ac:dyDescent="0.25">
      <c r="A87" s="22">
        <v>44937</v>
      </c>
      <c r="B87" s="8" t="s">
        <v>12</v>
      </c>
      <c r="C87" s="69"/>
      <c r="D87" s="12"/>
      <c r="E87" s="12"/>
      <c r="F87" s="11"/>
      <c r="G87" s="11"/>
      <c r="H87" s="11"/>
      <c r="I87" s="9"/>
      <c r="J87" s="12"/>
      <c r="K87" s="10">
        <f t="shared" si="1"/>
        <v>0</v>
      </c>
      <c r="L87" s="12">
        <f>IF(K87="~","~",IFERROR(K87-K86,K87-LOOKUP(9999999,$J$5:K86)))</f>
        <v>0</v>
      </c>
      <c r="M87" s="9"/>
      <c r="N87" s="45"/>
      <c r="O87" s="11"/>
      <c r="P87" s="9"/>
      <c r="Q87" s="9"/>
    </row>
    <row r="88" spans="1:17" x14ac:dyDescent="0.25">
      <c r="A88" s="22">
        <v>44937</v>
      </c>
      <c r="B88" s="8" t="s">
        <v>13</v>
      </c>
      <c r="C88" s="69"/>
      <c r="D88" s="12"/>
      <c r="E88" s="12"/>
      <c r="F88" s="11"/>
      <c r="G88" s="11"/>
      <c r="H88" s="11"/>
      <c r="I88" s="9"/>
      <c r="J88" s="12"/>
      <c r="K88" s="10">
        <f t="shared" si="1"/>
        <v>0</v>
      </c>
      <c r="L88" s="12">
        <f>IF(K88="~","~",IFERROR(K88-K87,K88-LOOKUP(9999999,$J$5:K87)))</f>
        <v>0</v>
      </c>
      <c r="M88" s="9"/>
      <c r="N88" s="45"/>
      <c r="O88" s="11"/>
      <c r="P88" s="9"/>
      <c r="Q88" s="9"/>
    </row>
    <row r="89" spans="1:17" x14ac:dyDescent="0.25">
      <c r="A89" s="22">
        <v>44937</v>
      </c>
      <c r="B89" s="8" t="s">
        <v>14</v>
      </c>
      <c r="C89" s="69"/>
      <c r="D89" s="12"/>
      <c r="E89" s="12"/>
      <c r="F89" s="11"/>
      <c r="G89" s="11"/>
      <c r="H89" s="11"/>
      <c r="I89" s="9"/>
      <c r="J89" s="12"/>
      <c r="K89" s="10">
        <f t="shared" si="1"/>
        <v>0</v>
      </c>
      <c r="L89" s="12">
        <f>IF(K89="~","~",IFERROR(K89-K88,K89-LOOKUP(9999999,$J$5:K88)))</f>
        <v>0</v>
      </c>
      <c r="M89" s="9"/>
      <c r="N89" s="45"/>
      <c r="O89" s="11"/>
      <c r="P89" s="9"/>
      <c r="Q89" s="9"/>
    </row>
    <row r="90" spans="1:17" x14ac:dyDescent="0.25">
      <c r="A90" s="22">
        <v>44937</v>
      </c>
      <c r="B90" s="8" t="s">
        <v>15</v>
      </c>
      <c r="C90" s="69"/>
      <c r="D90" s="12"/>
      <c r="E90" s="12"/>
      <c r="F90" s="11"/>
      <c r="G90" s="11"/>
      <c r="H90" s="11"/>
      <c r="I90" s="9"/>
      <c r="J90" s="12"/>
      <c r="K90" s="10">
        <f t="shared" si="1"/>
        <v>0</v>
      </c>
      <c r="L90" s="12">
        <f>IF(K90="~","~",IFERROR(K90-K89,K90-LOOKUP(9999999,$J$5:K89)))</f>
        <v>0</v>
      </c>
      <c r="M90" s="9"/>
      <c r="N90" s="45"/>
      <c r="O90" s="11"/>
      <c r="P90" s="9"/>
      <c r="Q90" s="9"/>
    </row>
    <row r="91" spans="1:17" x14ac:dyDescent="0.25">
      <c r="A91" s="22">
        <v>44937</v>
      </c>
      <c r="B91" s="8" t="s">
        <v>16</v>
      </c>
      <c r="C91" s="69"/>
      <c r="D91" s="12"/>
      <c r="E91" s="12"/>
      <c r="F91" s="11"/>
      <c r="G91" s="11"/>
      <c r="H91" s="11"/>
      <c r="I91" s="9"/>
      <c r="J91" s="12"/>
      <c r="K91" s="10">
        <f t="shared" si="1"/>
        <v>0</v>
      </c>
      <c r="L91" s="12">
        <f>IF(K91="~","~",IFERROR(K91-K90,K91-LOOKUP(9999999,$J$5:K90)))</f>
        <v>0</v>
      </c>
      <c r="M91" s="9"/>
      <c r="N91" s="45"/>
      <c r="O91" s="11"/>
      <c r="P91" s="9"/>
      <c r="Q91" s="9"/>
    </row>
    <row r="92" spans="1:17" x14ac:dyDescent="0.25">
      <c r="A92" s="22">
        <v>44937</v>
      </c>
      <c r="B92" s="8" t="s">
        <v>17</v>
      </c>
      <c r="C92" s="69"/>
      <c r="D92" s="12"/>
      <c r="E92" s="12"/>
      <c r="F92" s="11"/>
      <c r="G92" s="11"/>
      <c r="H92" s="11"/>
      <c r="I92" s="9"/>
      <c r="J92" s="12"/>
      <c r="K92" s="10">
        <f t="shared" si="1"/>
        <v>0</v>
      </c>
      <c r="L92" s="12">
        <f>IF(K92="~","~",IFERROR(K92-K91,K92-LOOKUP(9999999,$J$5:K91)))</f>
        <v>0</v>
      </c>
      <c r="M92" s="9"/>
      <c r="N92" s="45"/>
      <c r="O92" s="11"/>
      <c r="P92" s="9"/>
      <c r="Q92" s="9"/>
    </row>
    <row r="93" spans="1:17" x14ac:dyDescent="0.25">
      <c r="A93" s="15">
        <v>44938</v>
      </c>
      <c r="B93" s="8" t="s">
        <v>10</v>
      </c>
      <c r="C93" s="69"/>
      <c r="D93" s="12"/>
      <c r="E93" s="12"/>
      <c r="F93" s="11"/>
      <c r="G93" s="11"/>
      <c r="H93" s="11"/>
      <c r="I93" s="9"/>
      <c r="J93" s="12"/>
      <c r="K93" s="10">
        <f t="shared" si="1"/>
        <v>0</v>
      </c>
      <c r="L93" s="12">
        <f>IF(K93="~","~",IFERROR(K93-K92,K93-LOOKUP(9999999,$J$5:K92)))</f>
        <v>0</v>
      </c>
      <c r="M93" s="9"/>
      <c r="N93" s="45"/>
      <c r="O93" s="11"/>
      <c r="P93" s="9"/>
      <c r="Q93" s="9"/>
    </row>
    <row r="94" spans="1:17" x14ac:dyDescent="0.25">
      <c r="A94" s="15">
        <v>44938</v>
      </c>
      <c r="B94" s="8" t="s">
        <v>11</v>
      </c>
      <c r="C94" s="69"/>
      <c r="D94" s="12"/>
      <c r="E94" s="12"/>
      <c r="F94" s="11"/>
      <c r="G94" s="11"/>
      <c r="H94" s="11"/>
      <c r="I94" s="9"/>
      <c r="J94" s="12"/>
      <c r="K94" s="10">
        <f t="shared" si="1"/>
        <v>0</v>
      </c>
      <c r="L94" s="12">
        <f>IF(K94="~","~",IFERROR(K94-K93,K94-LOOKUP(9999999,$J$5:K93)))</f>
        <v>0</v>
      </c>
      <c r="M94" s="9"/>
      <c r="N94" s="45"/>
      <c r="O94" s="11"/>
      <c r="P94" s="9"/>
      <c r="Q94" s="9"/>
    </row>
    <row r="95" spans="1:17" x14ac:dyDescent="0.25">
      <c r="A95" s="15">
        <v>44938</v>
      </c>
      <c r="B95" s="8" t="s">
        <v>12</v>
      </c>
      <c r="C95" s="69"/>
      <c r="D95" s="12"/>
      <c r="E95" s="12"/>
      <c r="F95" s="11"/>
      <c r="G95" s="11"/>
      <c r="H95" s="11"/>
      <c r="I95" s="9"/>
      <c r="J95" s="12"/>
      <c r="K95" s="10">
        <f t="shared" si="1"/>
        <v>0</v>
      </c>
      <c r="L95" s="12">
        <f>IF(K95="~","~",IFERROR(K95-K94,K95-LOOKUP(9999999,$J$5:K94)))</f>
        <v>0</v>
      </c>
      <c r="M95" s="9"/>
      <c r="N95" s="45"/>
      <c r="O95" s="11"/>
      <c r="P95" s="9"/>
      <c r="Q95" s="9"/>
    </row>
    <row r="96" spans="1:17" x14ac:dyDescent="0.25">
      <c r="A96" s="15">
        <v>44938</v>
      </c>
      <c r="B96" s="8" t="s">
        <v>13</v>
      </c>
      <c r="C96" s="69"/>
      <c r="D96" s="12"/>
      <c r="E96" s="12"/>
      <c r="F96" s="11"/>
      <c r="G96" s="11"/>
      <c r="H96" s="11"/>
      <c r="I96" s="9"/>
      <c r="J96" s="12"/>
      <c r="K96" s="10">
        <f t="shared" si="1"/>
        <v>0</v>
      </c>
      <c r="L96" s="12">
        <f>IF(K96="~","~",IFERROR(K96-K95,K96-LOOKUP(9999999,$J$5:K95)))</f>
        <v>0</v>
      </c>
      <c r="M96" s="9"/>
      <c r="N96" s="45"/>
      <c r="O96" s="11"/>
      <c r="P96" s="9"/>
      <c r="Q96" s="9"/>
    </row>
    <row r="97" spans="1:17" x14ac:dyDescent="0.25">
      <c r="A97" s="15">
        <v>44938</v>
      </c>
      <c r="B97" s="8" t="s">
        <v>14</v>
      </c>
      <c r="C97" s="69"/>
      <c r="D97" s="12"/>
      <c r="E97" s="12"/>
      <c r="F97" s="11"/>
      <c r="G97" s="11"/>
      <c r="H97" s="11"/>
      <c r="I97" s="9"/>
      <c r="J97" s="12"/>
      <c r="K97" s="10">
        <f t="shared" si="1"/>
        <v>0</v>
      </c>
      <c r="L97" s="12">
        <f>IF(K97="~","~",IFERROR(K97-K96,K97-LOOKUP(9999999,$J$5:K96)))</f>
        <v>0</v>
      </c>
      <c r="M97" s="9"/>
      <c r="N97" s="45"/>
      <c r="O97" s="11"/>
      <c r="P97" s="9"/>
      <c r="Q97" s="9"/>
    </row>
    <row r="98" spans="1:17" x14ac:dyDescent="0.25">
      <c r="A98" s="15">
        <v>44938</v>
      </c>
      <c r="B98" s="8" t="s">
        <v>15</v>
      </c>
      <c r="C98" s="69"/>
      <c r="D98" s="12"/>
      <c r="E98" s="12"/>
      <c r="F98" s="11"/>
      <c r="G98" s="11"/>
      <c r="H98" s="11"/>
      <c r="I98" s="9"/>
      <c r="J98" s="12"/>
      <c r="K98" s="10">
        <f t="shared" si="1"/>
        <v>0</v>
      </c>
      <c r="L98" s="12">
        <f>IF(K98="~","~",IFERROR(K98-K97,K98-LOOKUP(9999999,$J$5:K97)))</f>
        <v>0</v>
      </c>
      <c r="M98" s="9"/>
      <c r="N98" s="45"/>
      <c r="O98" s="11"/>
      <c r="P98" s="9"/>
      <c r="Q98" s="9"/>
    </row>
    <row r="99" spans="1:17" x14ac:dyDescent="0.25">
      <c r="A99" s="15">
        <v>44938</v>
      </c>
      <c r="B99" s="8" t="s">
        <v>16</v>
      </c>
      <c r="C99" s="69"/>
      <c r="D99" s="12"/>
      <c r="E99" s="12"/>
      <c r="F99" s="11"/>
      <c r="G99" s="11"/>
      <c r="H99" s="11"/>
      <c r="I99" s="9"/>
      <c r="J99" s="12"/>
      <c r="K99" s="10">
        <f t="shared" si="1"/>
        <v>0</v>
      </c>
      <c r="L99" s="12">
        <f>IF(K99="~","~",IFERROR(K99-K98,K99-LOOKUP(9999999,$J$5:K98)))</f>
        <v>0</v>
      </c>
      <c r="M99" s="9"/>
      <c r="N99" s="45"/>
      <c r="O99" s="11"/>
      <c r="P99" s="9"/>
      <c r="Q99" s="9"/>
    </row>
    <row r="100" spans="1:17" x14ac:dyDescent="0.25">
      <c r="A100" s="15">
        <v>44938</v>
      </c>
      <c r="B100" s="8" t="s">
        <v>17</v>
      </c>
      <c r="C100" s="69"/>
      <c r="D100" s="12"/>
      <c r="E100" s="12"/>
      <c r="F100" s="11"/>
      <c r="G100" s="11"/>
      <c r="H100" s="11"/>
      <c r="I100" s="9"/>
      <c r="J100" s="12"/>
      <c r="K100" s="10">
        <f t="shared" si="1"/>
        <v>0</v>
      </c>
      <c r="L100" s="12">
        <f>IF(K100="~","~",IFERROR(K100-K99,K100-LOOKUP(9999999,$J$5:K99)))</f>
        <v>0</v>
      </c>
      <c r="M100" s="9"/>
      <c r="N100" s="45"/>
      <c r="O100" s="11"/>
      <c r="P100" s="9"/>
      <c r="Q100" s="9"/>
    </row>
    <row r="101" spans="1:17" x14ac:dyDescent="0.25">
      <c r="A101" s="13">
        <v>44939</v>
      </c>
      <c r="B101" s="8" t="s">
        <v>10</v>
      </c>
      <c r="C101" s="69"/>
      <c r="D101" s="12"/>
      <c r="E101" s="12"/>
      <c r="F101" s="11"/>
      <c r="G101" s="11"/>
      <c r="H101" s="11"/>
      <c r="I101" s="9"/>
      <c r="J101" s="12"/>
      <c r="K101" s="10">
        <f t="shared" si="1"/>
        <v>0</v>
      </c>
      <c r="L101" s="12">
        <f>IF(K101="~","~",IFERROR(K101-K100,K101-LOOKUP(9999999,$J$5:K100)))</f>
        <v>0</v>
      </c>
      <c r="M101" s="9"/>
      <c r="N101" s="45"/>
      <c r="O101" s="11"/>
      <c r="P101" s="9"/>
      <c r="Q101" s="9"/>
    </row>
    <row r="102" spans="1:17" x14ac:dyDescent="0.25">
      <c r="A102" s="13">
        <v>44939</v>
      </c>
      <c r="B102" s="8" t="s">
        <v>11</v>
      </c>
      <c r="C102" s="69"/>
      <c r="D102" s="12"/>
      <c r="E102" s="12"/>
      <c r="F102" s="11"/>
      <c r="G102" s="11"/>
      <c r="H102" s="11"/>
      <c r="I102" s="9"/>
      <c r="J102" s="12"/>
      <c r="K102" s="10">
        <f t="shared" si="1"/>
        <v>0</v>
      </c>
      <c r="L102" s="12">
        <f>IF(K102="~","~",IFERROR(K102-K101,K102-LOOKUP(9999999,$J$5:K101)))</f>
        <v>0</v>
      </c>
      <c r="M102" s="9"/>
      <c r="N102" s="45"/>
      <c r="O102" s="11"/>
      <c r="P102" s="9"/>
      <c r="Q102" s="9"/>
    </row>
    <row r="103" spans="1:17" x14ac:dyDescent="0.25">
      <c r="A103" s="13">
        <v>44939</v>
      </c>
      <c r="B103" s="8" t="s">
        <v>12</v>
      </c>
      <c r="C103" s="69"/>
      <c r="D103" s="12"/>
      <c r="E103" s="12"/>
      <c r="F103" s="11"/>
      <c r="G103" s="11"/>
      <c r="H103" s="11"/>
      <c r="I103" s="9"/>
      <c r="J103" s="12"/>
      <c r="K103" s="10">
        <f t="shared" si="1"/>
        <v>0</v>
      </c>
      <c r="L103" s="12">
        <f>IF(K103="~","~",IFERROR(K103-K102,K103-LOOKUP(9999999,$J$5:K102)))</f>
        <v>0</v>
      </c>
      <c r="M103" s="9"/>
      <c r="N103" s="45"/>
      <c r="O103" s="11"/>
      <c r="P103" s="9"/>
      <c r="Q103" s="9"/>
    </row>
    <row r="104" spans="1:17" x14ac:dyDescent="0.25">
      <c r="A104" s="13">
        <v>44939</v>
      </c>
      <c r="B104" s="8" t="s">
        <v>13</v>
      </c>
      <c r="C104" s="69"/>
      <c r="D104" s="12"/>
      <c r="E104" s="12"/>
      <c r="F104" s="11"/>
      <c r="G104" s="11"/>
      <c r="H104" s="11"/>
      <c r="I104" s="9"/>
      <c r="J104" s="12"/>
      <c r="K104" s="10">
        <f t="shared" si="1"/>
        <v>0</v>
      </c>
      <c r="L104" s="12">
        <f>IF(K104="~","~",IFERROR(K104-K103,K104-LOOKUP(9999999,$J$5:K103)))</f>
        <v>0</v>
      </c>
      <c r="M104" s="9"/>
      <c r="N104" s="45"/>
      <c r="O104" s="11"/>
      <c r="P104" s="9"/>
      <c r="Q104" s="9"/>
    </row>
    <row r="105" spans="1:17" x14ac:dyDescent="0.25">
      <c r="A105" s="13">
        <v>44939</v>
      </c>
      <c r="B105" s="8" t="s">
        <v>14</v>
      </c>
      <c r="C105" s="69"/>
      <c r="D105" s="12"/>
      <c r="E105" s="12"/>
      <c r="F105" s="11"/>
      <c r="G105" s="11"/>
      <c r="H105" s="11"/>
      <c r="I105" s="9"/>
      <c r="J105" s="12"/>
      <c r="K105" s="10">
        <f t="shared" si="1"/>
        <v>0</v>
      </c>
      <c r="L105" s="12">
        <f>IF(K105="~","~",IFERROR(K105-K104,K105-LOOKUP(9999999,$J$5:K104)))</f>
        <v>0</v>
      </c>
      <c r="M105" s="9"/>
      <c r="N105" s="45"/>
      <c r="O105" s="11"/>
      <c r="P105" s="9"/>
      <c r="Q105" s="9"/>
    </row>
    <row r="106" spans="1:17" x14ac:dyDescent="0.25">
      <c r="A106" s="13">
        <v>44939</v>
      </c>
      <c r="B106" s="8" t="s">
        <v>15</v>
      </c>
      <c r="C106" s="69"/>
      <c r="D106" s="12"/>
      <c r="E106" s="12"/>
      <c r="F106" s="11"/>
      <c r="G106" s="11"/>
      <c r="H106" s="11"/>
      <c r="I106" s="9"/>
      <c r="J106" s="12"/>
      <c r="K106" s="10">
        <f t="shared" si="1"/>
        <v>0</v>
      </c>
      <c r="L106" s="12">
        <f>IF(K106="~","~",IFERROR(K106-K105,K106-LOOKUP(9999999,$J$5:K105)))</f>
        <v>0</v>
      </c>
      <c r="M106" s="9"/>
      <c r="N106" s="45"/>
      <c r="O106" s="11"/>
      <c r="P106" s="9"/>
      <c r="Q106" s="9"/>
    </row>
    <row r="107" spans="1:17" x14ac:dyDescent="0.25">
      <c r="A107" s="13">
        <v>44939</v>
      </c>
      <c r="B107" s="8" t="s">
        <v>16</v>
      </c>
      <c r="C107" s="69"/>
      <c r="D107" s="12"/>
      <c r="E107" s="12"/>
      <c r="F107" s="11"/>
      <c r="G107" s="11"/>
      <c r="H107" s="11"/>
      <c r="I107" s="9"/>
      <c r="J107" s="12"/>
      <c r="K107" s="10">
        <f t="shared" si="1"/>
        <v>0</v>
      </c>
      <c r="L107" s="12">
        <f>IF(K107="~","~",IFERROR(K107-K106,K107-LOOKUP(9999999,$J$5:K106)))</f>
        <v>0</v>
      </c>
      <c r="M107" s="9"/>
      <c r="N107" s="45"/>
      <c r="O107" s="11"/>
      <c r="P107" s="9"/>
      <c r="Q107" s="9"/>
    </row>
    <row r="108" spans="1:17" x14ac:dyDescent="0.25">
      <c r="A108" s="13">
        <v>44939</v>
      </c>
      <c r="B108" s="8" t="s">
        <v>17</v>
      </c>
      <c r="C108" s="69"/>
      <c r="D108" s="12"/>
      <c r="E108" s="12"/>
      <c r="F108" s="11"/>
      <c r="G108" s="11"/>
      <c r="H108" s="11"/>
      <c r="I108" s="9"/>
      <c r="J108" s="12"/>
      <c r="K108" s="10">
        <f t="shared" si="1"/>
        <v>0</v>
      </c>
      <c r="L108" s="12">
        <f>IF(K108="~","~",IFERROR(K108-K107,K108-LOOKUP(9999999,$J$5:K107)))</f>
        <v>0</v>
      </c>
      <c r="M108" s="9"/>
      <c r="N108" s="45"/>
      <c r="O108" s="11"/>
      <c r="P108" s="9"/>
      <c r="Q108" s="9"/>
    </row>
    <row r="109" spans="1:17" x14ac:dyDescent="0.25">
      <c r="A109" s="23">
        <v>44940</v>
      </c>
      <c r="B109" s="8" t="s">
        <v>10</v>
      </c>
      <c r="C109" s="69"/>
      <c r="D109" s="12"/>
      <c r="E109" s="12"/>
      <c r="F109" s="11"/>
      <c r="G109" s="11"/>
      <c r="H109" s="11"/>
      <c r="I109" s="9"/>
      <c r="J109" s="12"/>
      <c r="K109" s="10">
        <f t="shared" si="1"/>
        <v>0</v>
      </c>
      <c r="L109" s="12">
        <f>IF(K109="~","~",IFERROR(K109-K108,K109-LOOKUP(9999999,$J$5:K108)))</f>
        <v>0</v>
      </c>
      <c r="M109" s="9"/>
      <c r="N109" s="45"/>
      <c r="O109" s="11"/>
      <c r="P109" s="9"/>
      <c r="Q109" s="9"/>
    </row>
    <row r="110" spans="1:17" x14ac:dyDescent="0.25">
      <c r="A110" s="23">
        <v>44940</v>
      </c>
      <c r="B110" s="8" t="s">
        <v>11</v>
      </c>
      <c r="C110" s="69"/>
      <c r="D110" s="12"/>
      <c r="E110" s="12"/>
      <c r="F110" s="11"/>
      <c r="G110" s="11"/>
      <c r="H110" s="11"/>
      <c r="I110" s="9"/>
      <c r="J110" s="12"/>
      <c r="K110" s="10">
        <f t="shared" si="1"/>
        <v>0</v>
      </c>
      <c r="L110" s="12">
        <f>IF(K110="~","~",IFERROR(K110-K109,K110-LOOKUP(9999999,$J$5:K109)))</f>
        <v>0</v>
      </c>
      <c r="M110" s="9"/>
      <c r="N110" s="45"/>
      <c r="O110" s="11"/>
      <c r="P110" s="9"/>
      <c r="Q110" s="9"/>
    </row>
    <row r="111" spans="1:17" x14ac:dyDescent="0.25">
      <c r="A111" s="23">
        <v>44940</v>
      </c>
      <c r="B111" s="8" t="s">
        <v>12</v>
      </c>
      <c r="C111" s="69"/>
      <c r="D111" s="12"/>
      <c r="E111" s="12"/>
      <c r="F111" s="11"/>
      <c r="G111" s="11"/>
      <c r="H111" s="11"/>
      <c r="I111" s="9"/>
      <c r="J111" s="12"/>
      <c r="K111" s="10">
        <f t="shared" si="1"/>
        <v>0</v>
      </c>
      <c r="L111" s="12">
        <f>IF(K111="~","~",IFERROR(K111-K110,K111-LOOKUP(9999999,$J$5:K110)))</f>
        <v>0</v>
      </c>
      <c r="M111" s="9"/>
      <c r="N111" s="45"/>
      <c r="O111" s="11"/>
      <c r="P111" s="9"/>
      <c r="Q111" s="9"/>
    </row>
    <row r="112" spans="1:17" x14ac:dyDescent="0.25">
      <c r="A112" s="23">
        <v>44940</v>
      </c>
      <c r="B112" s="8" t="s">
        <v>13</v>
      </c>
      <c r="C112" s="69"/>
      <c r="D112" s="12"/>
      <c r="E112" s="12"/>
      <c r="F112" s="11"/>
      <c r="G112" s="11"/>
      <c r="H112" s="11"/>
      <c r="I112" s="9"/>
      <c r="J112" s="12"/>
      <c r="K112" s="10">
        <f t="shared" si="1"/>
        <v>0</v>
      </c>
      <c r="L112" s="12">
        <f>IF(K112="~","~",IFERROR(K112-K111,K112-LOOKUP(9999999,$J$5:K111)))</f>
        <v>0</v>
      </c>
      <c r="M112" s="9"/>
      <c r="N112" s="45"/>
      <c r="O112" s="11"/>
      <c r="P112" s="9"/>
      <c r="Q112" s="9"/>
    </row>
    <row r="113" spans="1:17" x14ac:dyDescent="0.25">
      <c r="A113" s="23">
        <v>44940</v>
      </c>
      <c r="B113" s="8" t="s">
        <v>14</v>
      </c>
      <c r="C113" s="69"/>
      <c r="D113" s="12"/>
      <c r="E113" s="12"/>
      <c r="F113" s="11"/>
      <c r="G113" s="11"/>
      <c r="H113" s="11"/>
      <c r="I113" s="9"/>
      <c r="J113" s="12"/>
      <c r="K113" s="10">
        <f t="shared" si="1"/>
        <v>0</v>
      </c>
      <c r="L113" s="12">
        <f>IF(K113="~","~",IFERROR(K113-K112,K113-LOOKUP(9999999,$J$5:K112)))</f>
        <v>0</v>
      </c>
      <c r="M113" s="9"/>
      <c r="N113" s="45"/>
      <c r="O113" s="11"/>
      <c r="P113" s="9"/>
      <c r="Q113" s="9"/>
    </row>
    <row r="114" spans="1:17" x14ac:dyDescent="0.25">
      <c r="A114" s="23">
        <v>44940</v>
      </c>
      <c r="B114" s="8" t="s">
        <v>15</v>
      </c>
      <c r="C114" s="69"/>
      <c r="D114" s="12"/>
      <c r="E114" s="12"/>
      <c r="F114" s="11"/>
      <c r="G114" s="11"/>
      <c r="H114" s="11"/>
      <c r="I114" s="9"/>
      <c r="J114" s="12"/>
      <c r="K114" s="10">
        <f t="shared" si="1"/>
        <v>0</v>
      </c>
      <c r="L114" s="12">
        <f>IF(K114="~","~",IFERROR(K114-K113,K114-LOOKUP(9999999,$J$5:K113)))</f>
        <v>0</v>
      </c>
      <c r="M114" s="9"/>
      <c r="N114" s="45"/>
      <c r="O114" s="11"/>
      <c r="P114" s="9"/>
      <c r="Q114" s="9"/>
    </row>
    <row r="115" spans="1:17" x14ac:dyDescent="0.25">
      <c r="A115" s="23">
        <v>44940</v>
      </c>
      <c r="B115" s="8" t="s">
        <v>16</v>
      </c>
      <c r="C115" s="69"/>
      <c r="D115" s="12"/>
      <c r="E115" s="12"/>
      <c r="F115" s="11"/>
      <c r="G115" s="11"/>
      <c r="H115" s="11"/>
      <c r="I115" s="9"/>
      <c r="J115" s="12"/>
      <c r="K115" s="10">
        <f t="shared" si="1"/>
        <v>0</v>
      </c>
      <c r="L115" s="12">
        <f>IF(K115="~","~",IFERROR(K115-K114,K115-LOOKUP(9999999,$J$5:K114)))</f>
        <v>0</v>
      </c>
      <c r="M115" s="9"/>
      <c r="N115" s="45"/>
      <c r="O115" s="11"/>
      <c r="P115" s="9"/>
      <c r="Q115" s="9"/>
    </row>
    <row r="116" spans="1:17" x14ac:dyDescent="0.25">
      <c r="A116" s="23">
        <v>44940</v>
      </c>
      <c r="B116" s="8" t="s">
        <v>17</v>
      </c>
      <c r="C116" s="69"/>
      <c r="D116" s="12"/>
      <c r="E116" s="12"/>
      <c r="F116" s="11"/>
      <c r="G116" s="11"/>
      <c r="H116" s="11"/>
      <c r="I116" s="9"/>
      <c r="J116" s="12"/>
      <c r="K116" s="10">
        <f t="shared" si="1"/>
        <v>0</v>
      </c>
      <c r="L116" s="12">
        <f>IF(K116="~","~",IFERROR(K116-K115,K116-LOOKUP(9999999,$J$5:K115)))</f>
        <v>0</v>
      </c>
      <c r="M116" s="9"/>
      <c r="N116" s="45"/>
      <c r="O116" s="11"/>
      <c r="P116" s="9"/>
      <c r="Q116" s="9"/>
    </row>
    <row r="117" spans="1:17" x14ac:dyDescent="0.25">
      <c r="A117" s="24">
        <v>44941</v>
      </c>
      <c r="B117" s="8" t="s">
        <v>10</v>
      </c>
      <c r="C117" s="69"/>
      <c r="D117" s="12"/>
      <c r="E117" s="12"/>
      <c r="F117" s="11"/>
      <c r="G117" s="11"/>
      <c r="H117" s="11"/>
      <c r="I117" s="9"/>
      <c r="J117" s="12"/>
      <c r="K117" s="10">
        <f t="shared" si="1"/>
        <v>0</v>
      </c>
      <c r="L117" s="12">
        <f>IF(K117="~","~",IFERROR(K117-K116,K117-LOOKUP(9999999,$J$5:K116)))</f>
        <v>0</v>
      </c>
      <c r="M117" s="9"/>
      <c r="N117" s="45"/>
      <c r="O117" s="11"/>
      <c r="P117" s="9"/>
      <c r="Q117" s="9"/>
    </row>
    <row r="118" spans="1:17" x14ac:dyDescent="0.25">
      <c r="A118" s="24">
        <v>44941</v>
      </c>
      <c r="B118" s="8" t="s">
        <v>11</v>
      </c>
      <c r="C118" s="69"/>
      <c r="D118" s="12"/>
      <c r="E118" s="12"/>
      <c r="F118" s="11"/>
      <c r="G118" s="11"/>
      <c r="H118" s="11"/>
      <c r="I118" s="9"/>
      <c r="J118" s="12"/>
      <c r="K118" s="10">
        <f t="shared" si="1"/>
        <v>0</v>
      </c>
      <c r="L118" s="12">
        <f>IF(K118="~","~",IFERROR(K118-K117,K118-LOOKUP(9999999,$J$5:K117)))</f>
        <v>0</v>
      </c>
      <c r="M118" s="9"/>
      <c r="N118" s="45"/>
      <c r="O118" s="11"/>
      <c r="P118" s="9"/>
      <c r="Q118" s="9"/>
    </row>
    <row r="119" spans="1:17" x14ac:dyDescent="0.25">
      <c r="A119" s="24">
        <v>44941</v>
      </c>
      <c r="B119" s="8" t="s">
        <v>12</v>
      </c>
      <c r="C119" s="69"/>
      <c r="D119" s="12"/>
      <c r="E119" s="12"/>
      <c r="F119" s="11"/>
      <c r="G119" s="11"/>
      <c r="H119" s="11"/>
      <c r="I119" s="9"/>
      <c r="J119" s="12"/>
      <c r="K119" s="10">
        <f t="shared" si="1"/>
        <v>0</v>
      </c>
      <c r="L119" s="12">
        <f>IF(K119="~","~",IFERROR(K119-K118,K119-LOOKUP(9999999,$J$5:K118)))</f>
        <v>0</v>
      </c>
      <c r="M119" s="9"/>
      <c r="N119" s="45"/>
      <c r="O119" s="11"/>
      <c r="P119" s="9"/>
      <c r="Q119" s="9"/>
    </row>
    <row r="120" spans="1:17" x14ac:dyDescent="0.25">
      <c r="A120" s="24">
        <v>44941</v>
      </c>
      <c r="B120" s="8" t="s">
        <v>13</v>
      </c>
      <c r="C120" s="69"/>
      <c r="D120" s="12"/>
      <c r="E120" s="12"/>
      <c r="F120" s="11"/>
      <c r="G120" s="11"/>
      <c r="H120" s="11"/>
      <c r="I120" s="9"/>
      <c r="J120" s="12"/>
      <c r="K120" s="10">
        <f t="shared" si="1"/>
        <v>0</v>
      </c>
      <c r="L120" s="12">
        <f>IF(K120="~","~",IFERROR(K120-K119,K120-LOOKUP(9999999,$J$5:K119)))</f>
        <v>0</v>
      </c>
      <c r="M120" s="9"/>
      <c r="N120" s="45"/>
      <c r="O120" s="11"/>
      <c r="P120" s="9"/>
      <c r="Q120" s="9"/>
    </row>
    <row r="121" spans="1:17" x14ac:dyDescent="0.25">
      <c r="A121" s="24">
        <v>44941</v>
      </c>
      <c r="B121" s="8" t="s">
        <v>14</v>
      </c>
      <c r="C121" s="69"/>
      <c r="D121" s="12"/>
      <c r="E121" s="12"/>
      <c r="F121" s="11"/>
      <c r="G121" s="11"/>
      <c r="H121" s="11"/>
      <c r="I121" s="9"/>
      <c r="J121" s="12"/>
      <c r="K121" s="10">
        <f t="shared" si="1"/>
        <v>0</v>
      </c>
      <c r="L121" s="12">
        <f>IF(K121="~","~",IFERROR(K121-K120,K121-LOOKUP(9999999,$J$5:K120)))</f>
        <v>0</v>
      </c>
      <c r="M121" s="9"/>
      <c r="N121" s="45"/>
      <c r="O121" s="11"/>
      <c r="P121" s="9"/>
      <c r="Q121" s="9"/>
    </row>
    <row r="122" spans="1:17" x14ac:dyDescent="0.25">
      <c r="A122" s="24">
        <v>44941</v>
      </c>
      <c r="B122" s="8" t="s">
        <v>15</v>
      </c>
      <c r="C122" s="69"/>
      <c r="D122" s="12"/>
      <c r="E122" s="12"/>
      <c r="F122" s="11"/>
      <c r="G122" s="11"/>
      <c r="H122" s="11"/>
      <c r="I122" s="9"/>
      <c r="J122" s="12"/>
      <c r="K122" s="10">
        <f t="shared" si="1"/>
        <v>0</v>
      </c>
      <c r="L122" s="12">
        <f>IF(K122="~","~",IFERROR(K122-K121,K122-LOOKUP(9999999,$J$5:K121)))</f>
        <v>0</v>
      </c>
      <c r="M122" s="9"/>
      <c r="N122" s="45"/>
      <c r="O122" s="11"/>
      <c r="P122" s="9"/>
      <c r="Q122" s="9"/>
    </row>
    <row r="123" spans="1:17" x14ac:dyDescent="0.25">
      <c r="A123" s="24">
        <v>44941</v>
      </c>
      <c r="B123" s="8" t="s">
        <v>16</v>
      </c>
      <c r="C123" s="69"/>
      <c r="D123" s="12"/>
      <c r="E123" s="12"/>
      <c r="F123" s="11"/>
      <c r="G123" s="11"/>
      <c r="H123" s="11"/>
      <c r="I123" s="9"/>
      <c r="J123" s="12"/>
      <c r="K123" s="10">
        <f t="shared" si="1"/>
        <v>0</v>
      </c>
      <c r="L123" s="12">
        <f>IF(K123="~","~",IFERROR(K123-K122,K123-LOOKUP(9999999,$J$5:K122)))</f>
        <v>0</v>
      </c>
      <c r="M123" s="9"/>
      <c r="N123" s="45"/>
      <c r="O123" s="11"/>
      <c r="P123" s="9"/>
      <c r="Q123" s="9"/>
    </row>
    <row r="124" spans="1:17" x14ac:dyDescent="0.25">
      <c r="A124" s="24">
        <v>44941</v>
      </c>
      <c r="B124" s="8" t="s">
        <v>17</v>
      </c>
      <c r="C124" s="69"/>
      <c r="D124" s="12"/>
      <c r="E124" s="12"/>
      <c r="F124" s="11"/>
      <c r="G124" s="11"/>
      <c r="H124" s="11"/>
      <c r="I124" s="9"/>
      <c r="J124" s="12"/>
      <c r="K124" s="10">
        <f t="shared" si="1"/>
        <v>0</v>
      </c>
      <c r="L124" s="12">
        <f>IF(K124="~","~",IFERROR(K124-K123,K124-LOOKUP(9999999,$J$5:K123)))</f>
        <v>0</v>
      </c>
      <c r="M124" s="9"/>
      <c r="N124" s="45"/>
      <c r="O124" s="11"/>
      <c r="P124" s="9"/>
      <c r="Q124" s="9"/>
    </row>
    <row r="125" spans="1:17" x14ac:dyDescent="0.25">
      <c r="A125" s="25">
        <v>44942</v>
      </c>
      <c r="B125" s="8" t="s">
        <v>10</v>
      </c>
      <c r="C125" s="69"/>
      <c r="D125" s="12"/>
      <c r="E125" s="12"/>
      <c r="F125" s="11"/>
      <c r="G125" s="11"/>
      <c r="H125" s="11"/>
      <c r="I125" s="9"/>
      <c r="J125" s="12"/>
      <c r="K125" s="10">
        <f t="shared" si="1"/>
        <v>0</v>
      </c>
      <c r="L125" s="12">
        <f>IF(K125="~","~",IFERROR(K125-K124,K125-LOOKUP(9999999,$J$5:K124)))</f>
        <v>0</v>
      </c>
      <c r="M125" s="9"/>
      <c r="N125" s="45"/>
      <c r="O125" s="11"/>
      <c r="P125" s="9"/>
      <c r="Q125" s="9"/>
    </row>
    <row r="126" spans="1:17" x14ac:dyDescent="0.25">
      <c r="A126" s="25">
        <v>44942</v>
      </c>
      <c r="B126" s="8" t="s">
        <v>11</v>
      </c>
      <c r="C126" s="69"/>
      <c r="D126" s="12"/>
      <c r="E126" s="12"/>
      <c r="F126" s="11"/>
      <c r="G126" s="11"/>
      <c r="H126" s="11"/>
      <c r="I126" s="9"/>
      <c r="J126" s="12"/>
      <c r="K126" s="10">
        <f t="shared" si="1"/>
        <v>0</v>
      </c>
      <c r="L126" s="12">
        <f>IF(K126="~","~",IFERROR(K126-K125,K126-LOOKUP(9999999,$J$5:K125)))</f>
        <v>0</v>
      </c>
      <c r="M126" s="9"/>
      <c r="N126" s="45"/>
      <c r="O126" s="11"/>
      <c r="P126" s="9"/>
      <c r="Q126" s="9"/>
    </row>
    <row r="127" spans="1:17" x14ac:dyDescent="0.25">
      <c r="A127" s="25">
        <v>44942</v>
      </c>
      <c r="B127" s="8" t="s">
        <v>12</v>
      </c>
      <c r="C127" s="69"/>
      <c r="D127" s="12"/>
      <c r="E127" s="12"/>
      <c r="F127" s="11"/>
      <c r="G127" s="11"/>
      <c r="H127" s="11"/>
      <c r="I127" s="9"/>
      <c r="J127" s="12"/>
      <c r="K127" s="10">
        <f t="shared" si="1"/>
        <v>0</v>
      </c>
      <c r="L127" s="12">
        <f>IF(K127="~","~",IFERROR(K127-K126,K127-LOOKUP(9999999,$J$5:K126)))</f>
        <v>0</v>
      </c>
      <c r="M127" s="9"/>
      <c r="N127" s="45"/>
      <c r="O127" s="11"/>
      <c r="P127" s="9"/>
      <c r="Q127" s="9"/>
    </row>
    <row r="128" spans="1:17" x14ac:dyDescent="0.25">
      <c r="A128" s="25">
        <v>44942</v>
      </c>
      <c r="B128" s="8" t="s">
        <v>13</v>
      </c>
      <c r="C128" s="69"/>
      <c r="D128" s="12"/>
      <c r="E128" s="12"/>
      <c r="F128" s="11"/>
      <c r="G128" s="11"/>
      <c r="H128" s="11"/>
      <c r="I128" s="9"/>
      <c r="J128" s="12"/>
      <c r="K128" s="10">
        <f t="shared" si="1"/>
        <v>0</v>
      </c>
      <c r="L128" s="12">
        <f>IF(K128="~","~",IFERROR(K128-K127,K128-LOOKUP(9999999,$J$5:K127)))</f>
        <v>0</v>
      </c>
      <c r="M128" s="9"/>
      <c r="N128" s="45"/>
      <c r="O128" s="11"/>
      <c r="P128" s="9"/>
      <c r="Q128" s="9"/>
    </row>
    <row r="129" spans="1:17" x14ac:dyDescent="0.25">
      <c r="A129" s="25">
        <v>44942</v>
      </c>
      <c r="B129" s="8" t="s">
        <v>14</v>
      </c>
      <c r="C129" s="69"/>
      <c r="D129" s="12"/>
      <c r="E129" s="12"/>
      <c r="F129" s="11"/>
      <c r="G129" s="11"/>
      <c r="H129" s="11"/>
      <c r="I129" s="9"/>
      <c r="J129" s="12"/>
      <c r="K129" s="10">
        <f t="shared" si="1"/>
        <v>0</v>
      </c>
      <c r="L129" s="12">
        <f>IF(K129="~","~",IFERROR(K129-K128,K129-LOOKUP(9999999,$J$5:K128)))</f>
        <v>0</v>
      </c>
      <c r="M129" s="9"/>
      <c r="N129" s="45"/>
      <c r="O129" s="11"/>
      <c r="P129" s="9"/>
      <c r="Q129" s="9"/>
    </row>
    <row r="130" spans="1:17" x14ac:dyDescent="0.25">
      <c r="A130" s="25">
        <v>44942</v>
      </c>
      <c r="B130" s="8" t="s">
        <v>15</v>
      </c>
      <c r="C130" s="69"/>
      <c r="D130" s="12"/>
      <c r="E130" s="12"/>
      <c r="F130" s="11"/>
      <c r="G130" s="11"/>
      <c r="H130" s="11"/>
      <c r="I130" s="9"/>
      <c r="J130" s="12"/>
      <c r="K130" s="10">
        <f t="shared" si="1"/>
        <v>0</v>
      </c>
      <c r="L130" s="12">
        <f>IF(K130="~","~",IFERROR(K130-K129,K130-LOOKUP(9999999,$J$5:K129)))</f>
        <v>0</v>
      </c>
      <c r="M130" s="9"/>
      <c r="N130" s="45"/>
      <c r="O130" s="11"/>
      <c r="P130" s="9"/>
      <c r="Q130" s="9"/>
    </row>
    <row r="131" spans="1:17" x14ac:dyDescent="0.25">
      <c r="A131" s="25">
        <v>44942</v>
      </c>
      <c r="B131" s="8" t="s">
        <v>16</v>
      </c>
      <c r="C131" s="69"/>
      <c r="D131" s="12"/>
      <c r="E131" s="12"/>
      <c r="F131" s="11"/>
      <c r="G131" s="11"/>
      <c r="H131" s="11"/>
      <c r="I131" s="9"/>
      <c r="J131" s="12"/>
      <c r="K131" s="10">
        <f t="shared" si="1"/>
        <v>0</v>
      </c>
      <c r="L131" s="12">
        <f>IF(K131="~","~",IFERROR(K131-K130,K131-LOOKUP(9999999,$J$5:K130)))</f>
        <v>0</v>
      </c>
      <c r="M131" s="9"/>
      <c r="N131" s="45"/>
      <c r="O131" s="11"/>
      <c r="P131" s="9"/>
      <c r="Q131" s="9"/>
    </row>
    <row r="132" spans="1:17" x14ac:dyDescent="0.25">
      <c r="A132" s="25">
        <v>44942</v>
      </c>
      <c r="B132" s="8" t="s">
        <v>17</v>
      </c>
      <c r="C132" s="69"/>
      <c r="D132" s="12"/>
      <c r="E132" s="12"/>
      <c r="F132" s="11"/>
      <c r="G132" s="11"/>
      <c r="H132" s="11"/>
      <c r="I132" s="9"/>
      <c r="J132" s="12"/>
      <c r="K132" s="10">
        <f t="shared" si="1"/>
        <v>0</v>
      </c>
      <c r="L132" s="12">
        <f>IF(K132="~","~",IFERROR(K132-K131,K132-LOOKUP(9999999,$J$5:K131)))</f>
        <v>0</v>
      </c>
      <c r="M132" s="9"/>
      <c r="N132" s="45"/>
      <c r="O132" s="11"/>
      <c r="P132" s="9"/>
      <c r="Q132" s="9"/>
    </row>
    <row r="133" spans="1:17" x14ac:dyDescent="0.25">
      <c r="A133" s="22">
        <v>44943</v>
      </c>
      <c r="B133" s="8" t="s">
        <v>10</v>
      </c>
      <c r="C133" s="69"/>
      <c r="D133" s="12"/>
      <c r="E133" s="12"/>
      <c r="F133" s="11"/>
      <c r="G133" s="11"/>
      <c r="H133" s="11"/>
      <c r="I133" s="9"/>
      <c r="J133" s="12"/>
      <c r="K133" s="10">
        <f t="shared" si="1"/>
        <v>0</v>
      </c>
      <c r="L133" s="12">
        <f>IF(K133="~","~",IFERROR(K133-K132,K133-LOOKUP(9999999,$J$5:K132)))</f>
        <v>0</v>
      </c>
      <c r="M133" s="9"/>
      <c r="N133" s="45"/>
      <c r="O133" s="11"/>
      <c r="P133" s="9"/>
      <c r="Q133" s="9"/>
    </row>
    <row r="134" spans="1:17" x14ac:dyDescent="0.25">
      <c r="A134" s="22">
        <v>44943</v>
      </c>
      <c r="B134" s="8" t="s">
        <v>11</v>
      </c>
      <c r="C134" s="69"/>
      <c r="D134" s="12"/>
      <c r="E134" s="12"/>
      <c r="F134" s="11"/>
      <c r="G134" s="11"/>
      <c r="H134" s="11"/>
      <c r="I134" s="9"/>
      <c r="J134" s="12"/>
      <c r="K134" s="10">
        <f t="shared" si="1"/>
        <v>0</v>
      </c>
      <c r="L134" s="12">
        <f>IF(K134="~","~",IFERROR(K134-K133,K134-LOOKUP(9999999,$J$5:K133)))</f>
        <v>0</v>
      </c>
      <c r="M134" s="9"/>
      <c r="N134" s="45"/>
      <c r="O134" s="11"/>
      <c r="P134" s="9"/>
      <c r="Q134" s="9"/>
    </row>
    <row r="135" spans="1:17" x14ac:dyDescent="0.25">
      <c r="A135" s="22">
        <v>44943</v>
      </c>
      <c r="B135" s="8" t="s">
        <v>12</v>
      </c>
      <c r="C135" s="69"/>
      <c r="D135" s="12"/>
      <c r="E135" s="12"/>
      <c r="F135" s="11"/>
      <c r="G135" s="11"/>
      <c r="H135" s="11"/>
      <c r="I135" s="9"/>
      <c r="J135" s="12"/>
      <c r="K135" s="10">
        <f t="shared" ref="K135:K198" si="2">IF(AND(J135="~",J134&lt;&gt;"~"),J134,IF(AND(J135="~",J134="~"),K134,J135))</f>
        <v>0</v>
      </c>
      <c r="L135" s="12">
        <f>IF(K135="~","~",IFERROR(K135-K134,K135-LOOKUP(9999999,$J$5:K134)))</f>
        <v>0</v>
      </c>
      <c r="M135" s="9"/>
      <c r="N135" s="45"/>
      <c r="O135" s="11"/>
      <c r="P135" s="9"/>
      <c r="Q135" s="9"/>
    </row>
    <row r="136" spans="1:17" x14ac:dyDescent="0.25">
      <c r="A136" s="22">
        <v>44943</v>
      </c>
      <c r="B136" s="8" t="s">
        <v>13</v>
      </c>
      <c r="C136" s="69"/>
      <c r="D136" s="12"/>
      <c r="E136" s="12"/>
      <c r="F136" s="11"/>
      <c r="G136" s="11"/>
      <c r="H136" s="11"/>
      <c r="I136" s="9"/>
      <c r="J136" s="12"/>
      <c r="K136" s="10">
        <f t="shared" si="2"/>
        <v>0</v>
      </c>
      <c r="L136" s="12">
        <f>IF(K136="~","~",IFERROR(K136-K135,K136-LOOKUP(9999999,$J$5:K135)))</f>
        <v>0</v>
      </c>
      <c r="M136" s="9"/>
      <c r="N136" s="45"/>
      <c r="O136" s="11"/>
      <c r="P136" s="9"/>
      <c r="Q136" s="9"/>
    </row>
    <row r="137" spans="1:17" x14ac:dyDescent="0.25">
      <c r="A137" s="22">
        <v>44943</v>
      </c>
      <c r="B137" s="8" t="s">
        <v>14</v>
      </c>
      <c r="C137" s="69"/>
      <c r="D137" s="12"/>
      <c r="E137" s="12"/>
      <c r="F137" s="11"/>
      <c r="G137" s="11"/>
      <c r="H137" s="11"/>
      <c r="I137" s="9"/>
      <c r="J137" s="12"/>
      <c r="K137" s="10">
        <f t="shared" si="2"/>
        <v>0</v>
      </c>
      <c r="L137" s="12">
        <f>IF(K137="~","~",IFERROR(K137-K136,K137-LOOKUP(9999999,$J$5:K136)))</f>
        <v>0</v>
      </c>
      <c r="M137" s="9"/>
      <c r="N137" s="45"/>
      <c r="O137" s="11"/>
      <c r="P137" s="9"/>
      <c r="Q137" s="9"/>
    </row>
    <row r="138" spans="1:17" x14ac:dyDescent="0.25">
      <c r="A138" s="22">
        <v>44943</v>
      </c>
      <c r="B138" s="8" t="s">
        <v>15</v>
      </c>
      <c r="C138" s="69"/>
      <c r="D138" s="12"/>
      <c r="E138" s="12"/>
      <c r="F138" s="11"/>
      <c r="G138" s="11"/>
      <c r="H138" s="11"/>
      <c r="I138" s="9"/>
      <c r="J138" s="12"/>
      <c r="K138" s="10">
        <f t="shared" si="2"/>
        <v>0</v>
      </c>
      <c r="L138" s="12">
        <f>IF(K138="~","~",IFERROR(K138-K137,K138-LOOKUP(9999999,$J$5:K137)))</f>
        <v>0</v>
      </c>
      <c r="M138" s="9"/>
      <c r="N138" s="45"/>
      <c r="O138" s="11"/>
      <c r="P138" s="9"/>
      <c r="Q138" s="9"/>
    </row>
    <row r="139" spans="1:17" x14ac:dyDescent="0.25">
      <c r="A139" s="22">
        <v>44943</v>
      </c>
      <c r="B139" s="8" t="s">
        <v>16</v>
      </c>
      <c r="C139" s="69"/>
      <c r="D139" s="12"/>
      <c r="E139" s="12"/>
      <c r="F139" s="11"/>
      <c r="G139" s="11"/>
      <c r="H139" s="11"/>
      <c r="I139" s="9"/>
      <c r="J139" s="12"/>
      <c r="K139" s="10">
        <f t="shared" si="2"/>
        <v>0</v>
      </c>
      <c r="L139" s="12">
        <f>IF(K139="~","~",IFERROR(K139-K138,K139-LOOKUP(9999999,$J$5:K138)))</f>
        <v>0</v>
      </c>
      <c r="M139" s="9"/>
      <c r="N139" s="45"/>
      <c r="O139" s="11"/>
      <c r="P139" s="9"/>
      <c r="Q139" s="9"/>
    </row>
    <row r="140" spans="1:17" x14ac:dyDescent="0.25">
      <c r="A140" s="22">
        <v>44943</v>
      </c>
      <c r="B140" s="8" t="s">
        <v>17</v>
      </c>
      <c r="C140" s="69"/>
      <c r="D140" s="12"/>
      <c r="E140" s="12"/>
      <c r="F140" s="11"/>
      <c r="G140" s="11"/>
      <c r="H140" s="11"/>
      <c r="I140" s="9"/>
      <c r="J140" s="12"/>
      <c r="K140" s="10">
        <f t="shared" si="2"/>
        <v>0</v>
      </c>
      <c r="L140" s="12">
        <f>IF(K140="~","~",IFERROR(K140-K139,K140-LOOKUP(9999999,$J$5:K139)))</f>
        <v>0</v>
      </c>
      <c r="M140" s="9"/>
      <c r="N140" s="45"/>
      <c r="O140" s="11"/>
      <c r="P140" s="9"/>
      <c r="Q140" s="9"/>
    </row>
    <row r="141" spans="1:17" x14ac:dyDescent="0.25">
      <c r="A141" s="26">
        <v>44944</v>
      </c>
      <c r="B141" s="8" t="s">
        <v>10</v>
      </c>
      <c r="C141" s="69"/>
      <c r="D141" s="12"/>
      <c r="E141" s="12"/>
      <c r="F141" s="11"/>
      <c r="G141" s="11"/>
      <c r="H141" s="11"/>
      <c r="I141" s="9"/>
      <c r="J141" s="12"/>
      <c r="K141" s="10">
        <f t="shared" si="2"/>
        <v>0</v>
      </c>
      <c r="L141" s="12">
        <f>IF(K141="~","~",IFERROR(K141-K140,K141-LOOKUP(9999999,$J$5:K140)))</f>
        <v>0</v>
      </c>
      <c r="M141" s="9"/>
      <c r="N141" s="45"/>
      <c r="O141" s="11"/>
      <c r="P141" s="9"/>
      <c r="Q141" s="9"/>
    </row>
    <row r="142" spans="1:17" x14ac:dyDescent="0.25">
      <c r="A142" s="26">
        <v>44944</v>
      </c>
      <c r="B142" s="8" t="s">
        <v>11</v>
      </c>
      <c r="C142" s="69"/>
      <c r="D142" s="12"/>
      <c r="E142" s="12"/>
      <c r="F142" s="11"/>
      <c r="G142" s="11"/>
      <c r="H142" s="11"/>
      <c r="I142" s="9"/>
      <c r="J142" s="12"/>
      <c r="K142" s="10">
        <f t="shared" si="2"/>
        <v>0</v>
      </c>
      <c r="L142" s="12">
        <f>IF(K142="~","~",IFERROR(K142-K141,K142-LOOKUP(9999999,$J$5:K141)))</f>
        <v>0</v>
      </c>
      <c r="M142" s="9"/>
      <c r="N142" s="45"/>
      <c r="O142" s="11"/>
      <c r="P142" s="9"/>
      <c r="Q142" s="9"/>
    </row>
    <row r="143" spans="1:17" x14ac:dyDescent="0.25">
      <c r="A143" s="26">
        <v>44944</v>
      </c>
      <c r="B143" s="8" t="s">
        <v>12</v>
      </c>
      <c r="C143" s="69"/>
      <c r="D143" s="12"/>
      <c r="E143" s="12"/>
      <c r="F143" s="11"/>
      <c r="G143" s="11"/>
      <c r="H143" s="11"/>
      <c r="I143" s="9"/>
      <c r="J143" s="12"/>
      <c r="K143" s="10">
        <f t="shared" si="2"/>
        <v>0</v>
      </c>
      <c r="L143" s="12">
        <f>IF(K143="~","~",IFERROR(K143-K142,K143-LOOKUP(9999999,$J$5:K142)))</f>
        <v>0</v>
      </c>
      <c r="M143" s="9"/>
      <c r="N143" s="45"/>
      <c r="O143" s="11"/>
      <c r="P143" s="9"/>
      <c r="Q143" s="9"/>
    </row>
    <row r="144" spans="1:17" x14ac:dyDescent="0.25">
      <c r="A144" s="26">
        <v>44944</v>
      </c>
      <c r="B144" s="8" t="s">
        <v>13</v>
      </c>
      <c r="C144" s="69"/>
      <c r="D144" s="12"/>
      <c r="E144" s="12"/>
      <c r="F144" s="11"/>
      <c r="G144" s="11"/>
      <c r="H144" s="11"/>
      <c r="I144" s="9"/>
      <c r="J144" s="12"/>
      <c r="K144" s="10">
        <f t="shared" si="2"/>
        <v>0</v>
      </c>
      <c r="L144" s="12">
        <f>IF(K144="~","~",IFERROR(K144-K143,K144-LOOKUP(9999999,$J$5:K143)))</f>
        <v>0</v>
      </c>
      <c r="M144" s="9"/>
      <c r="N144" s="45"/>
      <c r="O144" s="11"/>
      <c r="P144" s="9"/>
      <c r="Q144" s="9"/>
    </row>
    <row r="145" spans="1:17" x14ac:dyDescent="0.25">
      <c r="A145" s="26">
        <v>44944</v>
      </c>
      <c r="B145" s="8" t="s">
        <v>14</v>
      </c>
      <c r="C145" s="69"/>
      <c r="D145" s="12"/>
      <c r="E145" s="12"/>
      <c r="F145" s="11"/>
      <c r="G145" s="11"/>
      <c r="H145" s="11"/>
      <c r="I145" s="9"/>
      <c r="J145" s="12"/>
      <c r="K145" s="10">
        <f t="shared" si="2"/>
        <v>0</v>
      </c>
      <c r="L145" s="12">
        <f>IF(K145="~","~",IFERROR(K145-K144,K145-LOOKUP(9999999,$J$5:K144)))</f>
        <v>0</v>
      </c>
      <c r="M145" s="9"/>
      <c r="N145" s="45"/>
      <c r="O145" s="11"/>
      <c r="P145" s="9"/>
      <c r="Q145" s="9"/>
    </row>
    <row r="146" spans="1:17" x14ac:dyDescent="0.25">
      <c r="A146" s="26">
        <v>44944</v>
      </c>
      <c r="B146" s="8" t="s">
        <v>15</v>
      </c>
      <c r="C146" s="69"/>
      <c r="D146" s="12"/>
      <c r="E146" s="12"/>
      <c r="F146" s="11"/>
      <c r="G146" s="11"/>
      <c r="H146" s="11"/>
      <c r="I146" s="9"/>
      <c r="J146" s="12"/>
      <c r="K146" s="10">
        <f t="shared" si="2"/>
        <v>0</v>
      </c>
      <c r="L146" s="12">
        <f>IF(K146="~","~",IFERROR(K146-K145,K146-LOOKUP(9999999,$J$5:K145)))</f>
        <v>0</v>
      </c>
      <c r="M146" s="9"/>
      <c r="N146" s="45"/>
      <c r="O146" s="11"/>
      <c r="P146" s="9"/>
      <c r="Q146" s="9"/>
    </row>
    <row r="147" spans="1:17" x14ac:dyDescent="0.25">
      <c r="A147" s="26">
        <v>44944</v>
      </c>
      <c r="B147" s="8" t="s">
        <v>16</v>
      </c>
      <c r="C147" s="69"/>
      <c r="D147" s="12"/>
      <c r="E147" s="12"/>
      <c r="F147" s="11"/>
      <c r="G147" s="11"/>
      <c r="H147" s="11"/>
      <c r="I147" s="9"/>
      <c r="J147" s="12"/>
      <c r="K147" s="10">
        <f t="shared" si="2"/>
        <v>0</v>
      </c>
      <c r="L147" s="12">
        <f>IF(K147="~","~",IFERROR(K147-K146,K147-LOOKUP(9999999,$J$5:K146)))</f>
        <v>0</v>
      </c>
      <c r="M147" s="9"/>
      <c r="N147" s="45"/>
      <c r="O147" s="11"/>
      <c r="P147" s="9"/>
      <c r="Q147" s="9"/>
    </row>
    <row r="148" spans="1:17" x14ac:dyDescent="0.25">
      <c r="A148" s="26">
        <v>44944</v>
      </c>
      <c r="B148" s="8" t="s">
        <v>17</v>
      </c>
      <c r="C148" s="69"/>
      <c r="D148" s="12"/>
      <c r="E148" s="12"/>
      <c r="F148" s="11"/>
      <c r="G148" s="11"/>
      <c r="H148" s="11"/>
      <c r="I148" s="9"/>
      <c r="J148" s="12"/>
      <c r="K148" s="10">
        <f t="shared" si="2"/>
        <v>0</v>
      </c>
      <c r="L148" s="12">
        <f>IF(K148="~","~",IFERROR(K148-K147,K148-LOOKUP(9999999,$J$5:K147)))</f>
        <v>0</v>
      </c>
      <c r="M148" s="9"/>
      <c r="N148" s="45"/>
      <c r="O148" s="11"/>
      <c r="P148" s="9"/>
      <c r="Q148" s="9"/>
    </row>
    <row r="149" spans="1:17" x14ac:dyDescent="0.25">
      <c r="A149" s="27">
        <v>44945</v>
      </c>
      <c r="B149" s="8" t="s">
        <v>10</v>
      </c>
      <c r="C149" s="69"/>
      <c r="D149" s="12"/>
      <c r="E149" s="12"/>
      <c r="F149" s="11"/>
      <c r="G149" s="11"/>
      <c r="H149" s="11"/>
      <c r="I149" s="9"/>
      <c r="J149" s="12"/>
      <c r="K149" s="10">
        <f t="shared" si="2"/>
        <v>0</v>
      </c>
      <c r="L149" s="12">
        <f>IF(K149="~","~",IFERROR(K149-K148,K149-LOOKUP(9999999,$J$5:K148)))</f>
        <v>0</v>
      </c>
      <c r="M149" s="9"/>
      <c r="N149" s="45"/>
      <c r="O149" s="11"/>
      <c r="P149" s="9"/>
      <c r="Q149" s="9"/>
    </row>
    <row r="150" spans="1:17" x14ac:dyDescent="0.25">
      <c r="A150" s="27">
        <v>44945</v>
      </c>
      <c r="B150" s="8" t="s">
        <v>11</v>
      </c>
      <c r="C150" s="69"/>
      <c r="D150" s="12"/>
      <c r="E150" s="12"/>
      <c r="F150" s="11"/>
      <c r="G150" s="11"/>
      <c r="H150" s="11"/>
      <c r="I150" s="9"/>
      <c r="J150" s="12"/>
      <c r="K150" s="10">
        <f t="shared" si="2"/>
        <v>0</v>
      </c>
      <c r="L150" s="12">
        <f>IF(K150="~","~",IFERROR(K150-K149,K150-LOOKUP(9999999,$J$5:K149)))</f>
        <v>0</v>
      </c>
      <c r="M150" s="9"/>
      <c r="N150" s="45"/>
      <c r="O150" s="11"/>
      <c r="P150" s="9"/>
      <c r="Q150" s="9"/>
    </row>
    <row r="151" spans="1:17" x14ac:dyDescent="0.25">
      <c r="A151" s="27">
        <v>44945</v>
      </c>
      <c r="B151" s="8" t="s">
        <v>12</v>
      </c>
      <c r="C151" s="69"/>
      <c r="D151" s="12"/>
      <c r="E151" s="12"/>
      <c r="F151" s="11"/>
      <c r="G151" s="11"/>
      <c r="H151" s="11"/>
      <c r="I151" s="9"/>
      <c r="J151" s="12"/>
      <c r="K151" s="10">
        <f t="shared" si="2"/>
        <v>0</v>
      </c>
      <c r="L151" s="12">
        <f>IF(K151="~","~",IFERROR(K151-K150,K151-LOOKUP(9999999,$J$5:K150)))</f>
        <v>0</v>
      </c>
      <c r="M151" s="9"/>
      <c r="N151" s="45"/>
      <c r="O151" s="11"/>
      <c r="P151" s="9"/>
      <c r="Q151" s="9"/>
    </row>
    <row r="152" spans="1:17" x14ac:dyDescent="0.25">
      <c r="A152" s="27">
        <v>44945</v>
      </c>
      <c r="B152" s="8" t="s">
        <v>13</v>
      </c>
      <c r="C152" s="69"/>
      <c r="D152" s="12"/>
      <c r="E152" s="12"/>
      <c r="F152" s="11"/>
      <c r="G152" s="11"/>
      <c r="H152" s="11"/>
      <c r="I152" s="9"/>
      <c r="J152" s="12"/>
      <c r="K152" s="10">
        <f t="shared" si="2"/>
        <v>0</v>
      </c>
      <c r="L152" s="12">
        <f>IF(K152="~","~",IFERROR(K152-K151,K152-LOOKUP(9999999,$J$5:K151)))</f>
        <v>0</v>
      </c>
      <c r="M152" s="9"/>
      <c r="N152" s="45"/>
      <c r="O152" s="11"/>
      <c r="P152" s="9"/>
      <c r="Q152" s="9"/>
    </row>
    <row r="153" spans="1:17" x14ac:dyDescent="0.25">
      <c r="A153" s="27">
        <v>44945</v>
      </c>
      <c r="B153" s="8" t="s">
        <v>14</v>
      </c>
      <c r="C153" s="69"/>
      <c r="D153" s="12"/>
      <c r="E153" s="12"/>
      <c r="F153" s="11"/>
      <c r="G153" s="11"/>
      <c r="H153" s="11"/>
      <c r="I153" s="9"/>
      <c r="J153" s="12"/>
      <c r="K153" s="10">
        <f t="shared" si="2"/>
        <v>0</v>
      </c>
      <c r="L153" s="12">
        <f>IF(K153="~","~",IFERROR(K153-K152,K153-LOOKUP(9999999,$J$5:K152)))</f>
        <v>0</v>
      </c>
      <c r="M153" s="9"/>
      <c r="N153" s="45"/>
      <c r="O153" s="9"/>
      <c r="P153" s="9"/>
      <c r="Q153" s="9"/>
    </row>
    <row r="154" spans="1:17" x14ac:dyDescent="0.25">
      <c r="A154" s="27">
        <v>44945</v>
      </c>
      <c r="B154" s="8" t="s">
        <v>15</v>
      </c>
      <c r="C154" s="69"/>
      <c r="D154" s="12"/>
      <c r="E154" s="12"/>
      <c r="F154" s="11"/>
      <c r="G154" s="11"/>
      <c r="H154" s="11"/>
      <c r="I154" s="9"/>
      <c r="J154" s="12"/>
      <c r="K154" s="10">
        <f t="shared" si="2"/>
        <v>0</v>
      </c>
      <c r="L154" s="12">
        <f>IF(K154="~","~",IFERROR(K154-K153,K154-LOOKUP(9999999,$J$5:K153)))</f>
        <v>0</v>
      </c>
      <c r="M154" s="9"/>
      <c r="N154" s="45"/>
      <c r="O154" s="11"/>
      <c r="P154" s="9"/>
      <c r="Q154" s="9"/>
    </row>
    <row r="155" spans="1:17" x14ac:dyDescent="0.25">
      <c r="A155" s="27">
        <v>44945</v>
      </c>
      <c r="B155" s="8" t="s">
        <v>16</v>
      </c>
      <c r="C155" s="69"/>
      <c r="D155" s="12"/>
      <c r="E155" s="12"/>
      <c r="F155" s="11"/>
      <c r="G155" s="11"/>
      <c r="H155" s="11"/>
      <c r="I155" s="9"/>
      <c r="J155" s="12"/>
      <c r="K155" s="10">
        <f t="shared" si="2"/>
        <v>0</v>
      </c>
      <c r="L155" s="12">
        <f>IF(K155="~","~",IFERROR(K155-K154,K155-LOOKUP(9999999,$J$5:K154)))</f>
        <v>0</v>
      </c>
      <c r="M155" s="9"/>
      <c r="N155" s="45"/>
      <c r="O155" s="11"/>
      <c r="P155" s="9"/>
      <c r="Q155" s="9"/>
    </row>
    <row r="156" spans="1:17" x14ac:dyDescent="0.25">
      <c r="A156" s="27">
        <v>44945</v>
      </c>
      <c r="B156" s="8" t="s">
        <v>17</v>
      </c>
      <c r="C156" s="69"/>
      <c r="D156" s="12"/>
      <c r="E156" s="12"/>
      <c r="F156" s="11"/>
      <c r="G156" s="11"/>
      <c r="H156" s="11"/>
      <c r="I156" s="9"/>
      <c r="J156" s="12"/>
      <c r="K156" s="10">
        <f t="shared" si="2"/>
        <v>0</v>
      </c>
      <c r="L156" s="12">
        <f>IF(K156="~","~",IFERROR(K156-K155,K156-LOOKUP(9999999,$J$5:K155)))</f>
        <v>0</v>
      </c>
      <c r="M156" s="9"/>
      <c r="N156" s="45"/>
      <c r="O156" s="11"/>
      <c r="P156" s="9"/>
      <c r="Q156" s="9"/>
    </row>
    <row r="157" spans="1:17" x14ac:dyDescent="0.25">
      <c r="A157" s="28">
        <v>44946</v>
      </c>
      <c r="B157" s="8" t="s">
        <v>10</v>
      </c>
      <c r="C157" s="69"/>
      <c r="D157" s="12"/>
      <c r="E157" s="12"/>
      <c r="F157" s="11"/>
      <c r="G157" s="11"/>
      <c r="H157" s="11"/>
      <c r="I157" s="9"/>
      <c r="J157" s="12"/>
      <c r="K157" s="10">
        <f t="shared" si="2"/>
        <v>0</v>
      </c>
      <c r="L157" s="12">
        <f>IF(K157="~","~",IFERROR(K157-K156,K157-LOOKUP(9999999,$J$5:K156)))</f>
        <v>0</v>
      </c>
      <c r="M157" s="9"/>
      <c r="N157" s="45"/>
      <c r="O157" s="11"/>
      <c r="P157" s="9"/>
      <c r="Q157" s="9"/>
    </row>
    <row r="158" spans="1:17" x14ac:dyDescent="0.25">
      <c r="A158" s="28">
        <v>44946</v>
      </c>
      <c r="B158" s="8" t="s">
        <v>11</v>
      </c>
      <c r="C158" s="69"/>
      <c r="D158" s="12"/>
      <c r="E158" s="12"/>
      <c r="F158" s="11"/>
      <c r="G158" s="11"/>
      <c r="H158" s="11"/>
      <c r="I158" s="9"/>
      <c r="J158" s="12"/>
      <c r="K158" s="10">
        <f t="shared" si="2"/>
        <v>0</v>
      </c>
      <c r="L158" s="12">
        <f>IF(K158="~","~",IFERROR(K158-K157,K158-LOOKUP(9999999,$J$5:K157)))</f>
        <v>0</v>
      </c>
      <c r="M158" s="9"/>
      <c r="N158" s="45"/>
      <c r="O158" s="11"/>
      <c r="P158" s="9"/>
      <c r="Q158" s="9"/>
    </row>
    <row r="159" spans="1:17" x14ac:dyDescent="0.25">
      <c r="A159" s="28">
        <v>44946</v>
      </c>
      <c r="B159" s="8" t="s">
        <v>12</v>
      </c>
      <c r="C159" s="69"/>
      <c r="D159" s="12"/>
      <c r="E159" s="12"/>
      <c r="F159" s="11"/>
      <c r="G159" s="11"/>
      <c r="H159" s="11"/>
      <c r="I159" s="9"/>
      <c r="J159" s="12"/>
      <c r="K159" s="10">
        <f t="shared" si="2"/>
        <v>0</v>
      </c>
      <c r="L159" s="12">
        <f>IF(K159="~","~",IFERROR(K159-K158,K159-LOOKUP(9999999,$J$5:K158)))</f>
        <v>0</v>
      </c>
      <c r="M159" s="9"/>
      <c r="N159" s="45"/>
      <c r="O159" s="11"/>
      <c r="P159" s="9"/>
      <c r="Q159" s="9"/>
    </row>
    <row r="160" spans="1:17" x14ac:dyDescent="0.25">
      <c r="A160" s="28">
        <v>44946</v>
      </c>
      <c r="B160" s="8" t="s">
        <v>13</v>
      </c>
      <c r="C160" s="69"/>
      <c r="D160" s="12"/>
      <c r="E160" s="12"/>
      <c r="F160" s="11"/>
      <c r="G160" s="11"/>
      <c r="H160" s="11"/>
      <c r="I160" s="9"/>
      <c r="J160" s="12"/>
      <c r="K160" s="10">
        <f t="shared" si="2"/>
        <v>0</v>
      </c>
      <c r="L160" s="12">
        <f>IF(K160="~","~",IFERROR(K160-K159,K160-LOOKUP(9999999,$J$5:K159)))</f>
        <v>0</v>
      </c>
      <c r="M160" s="9"/>
      <c r="N160" s="45"/>
      <c r="O160" s="11"/>
      <c r="P160" s="9"/>
      <c r="Q160" s="9"/>
    </row>
    <row r="161" spans="1:17" x14ac:dyDescent="0.25">
      <c r="A161" s="28">
        <v>44946</v>
      </c>
      <c r="B161" s="8" t="s">
        <v>14</v>
      </c>
      <c r="C161" s="69"/>
      <c r="D161" s="12"/>
      <c r="E161" s="12"/>
      <c r="F161" s="11"/>
      <c r="G161" s="11"/>
      <c r="H161" s="11"/>
      <c r="I161" s="9"/>
      <c r="J161" s="12"/>
      <c r="K161" s="10">
        <f t="shared" si="2"/>
        <v>0</v>
      </c>
      <c r="L161" s="12">
        <f>IF(K161="~","~",IFERROR(K161-K160,K161-LOOKUP(9999999,$J$5:K160)))</f>
        <v>0</v>
      </c>
      <c r="M161" s="9"/>
      <c r="N161" s="45"/>
      <c r="O161" s="11"/>
      <c r="P161" s="9"/>
      <c r="Q161" s="9"/>
    </row>
    <row r="162" spans="1:17" x14ac:dyDescent="0.25">
      <c r="A162" s="28">
        <v>44946</v>
      </c>
      <c r="B162" s="8" t="s">
        <v>15</v>
      </c>
      <c r="C162" s="69"/>
      <c r="D162" s="12"/>
      <c r="E162" s="12"/>
      <c r="F162" s="11"/>
      <c r="G162" s="11"/>
      <c r="H162" s="11"/>
      <c r="I162" s="9"/>
      <c r="J162" s="12"/>
      <c r="K162" s="10">
        <f t="shared" si="2"/>
        <v>0</v>
      </c>
      <c r="L162" s="12">
        <f>IF(K162="~","~",IFERROR(K162-K161,K162-LOOKUP(9999999,$J$5:K161)))</f>
        <v>0</v>
      </c>
      <c r="M162" s="9"/>
      <c r="N162" s="45"/>
      <c r="O162" s="11"/>
      <c r="P162" s="9"/>
      <c r="Q162" s="9"/>
    </row>
    <row r="163" spans="1:17" x14ac:dyDescent="0.25">
      <c r="A163" s="28">
        <v>44946</v>
      </c>
      <c r="B163" s="8" t="s">
        <v>16</v>
      </c>
      <c r="C163" s="69"/>
      <c r="D163" s="12"/>
      <c r="E163" s="12"/>
      <c r="F163" s="11"/>
      <c r="G163" s="11"/>
      <c r="H163" s="11"/>
      <c r="I163" s="9"/>
      <c r="J163" s="12"/>
      <c r="K163" s="10">
        <f t="shared" si="2"/>
        <v>0</v>
      </c>
      <c r="L163" s="12">
        <f>IF(K163="~","~",IFERROR(K163-K162,K163-LOOKUP(9999999,$J$5:K162)))</f>
        <v>0</v>
      </c>
      <c r="M163" s="9"/>
      <c r="N163" s="45"/>
      <c r="O163" s="11"/>
      <c r="P163" s="9"/>
      <c r="Q163" s="9"/>
    </row>
    <row r="164" spans="1:17" x14ac:dyDescent="0.25">
      <c r="A164" s="28">
        <v>44946</v>
      </c>
      <c r="B164" s="8" t="s">
        <v>17</v>
      </c>
      <c r="C164" s="69"/>
      <c r="D164" s="12"/>
      <c r="E164" s="12"/>
      <c r="F164" s="11"/>
      <c r="G164" s="11"/>
      <c r="H164" s="11"/>
      <c r="I164" s="9"/>
      <c r="J164" s="12"/>
      <c r="K164" s="10">
        <f t="shared" si="2"/>
        <v>0</v>
      </c>
      <c r="L164" s="12">
        <f>IF(K164="~","~",IFERROR(K164-K163,K164-LOOKUP(9999999,$J$5:K163)))</f>
        <v>0</v>
      </c>
      <c r="M164" s="9"/>
      <c r="N164" s="45"/>
      <c r="O164" s="11"/>
      <c r="P164" s="9"/>
      <c r="Q164" s="9"/>
    </row>
    <row r="165" spans="1:17" x14ac:dyDescent="0.25">
      <c r="A165" s="17">
        <v>44947</v>
      </c>
      <c r="B165" s="8" t="s">
        <v>10</v>
      </c>
      <c r="C165" s="69"/>
      <c r="D165" s="12"/>
      <c r="E165" s="12"/>
      <c r="F165" s="11"/>
      <c r="G165" s="11"/>
      <c r="H165" s="11"/>
      <c r="I165" s="9"/>
      <c r="J165" s="12"/>
      <c r="K165" s="10">
        <f t="shared" si="2"/>
        <v>0</v>
      </c>
      <c r="L165" s="12">
        <f>IF(K165="~","~",IFERROR(K165-K164,K165-LOOKUP(9999999,$J$5:K164)))</f>
        <v>0</v>
      </c>
      <c r="M165" s="9"/>
      <c r="N165" s="45"/>
      <c r="O165" s="11"/>
      <c r="P165" s="9"/>
      <c r="Q165" s="9"/>
    </row>
    <row r="166" spans="1:17" x14ac:dyDescent="0.25">
      <c r="A166" s="17">
        <v>44947</v>
      </c>
      <c r="B166" s="8" t="s">
        <v>11</v>
      </c>
      <c r="C166" s="69"/>
      <c r="D166" s="12"/>
      <c r="E166" s="12"/>
      <c r="F166" s="11"/>
      <c r="G166" s="11"/>
      <c r="H166" s="11"/>
      <c r="I166" s="9"/>
      <c r="J166" s="12"/>
      <c r="K166" s="10">
        <f t="shared" si="2"/>
        <v>0</v>
      </c>
      <c r="L166" s="12">
        <f>IF(K166="~","~",IFERROR(K166-K165,K166-LOOKUP(9999999,$J$5:K165)))</f>
        <v>0</v>
      </c>
      <c r="M166" s="9"/>
      <c r="N166" s="45"/>
      <c r="O166" s="11"/>
      <c r="P166" s="9"/>
      <c r="Q166" s="9"/>
    </row>
    <row r="167" spans="1:17" x14ac:dyDescent="0.25">
      <c r="A167" s="17">
        <v>44947</v>
      </c>
      <c r="B167" s="8" t="s">
        <v>12</v>
      </c>
      <c r="C167" s="69"/>
      <c r="D167" s="12"/>
      <c r="E167" s="12"/>
      <c r="F167" s="11"/>
      <c r="G167" s="11"/>
      <c r="H167" s="11"/>
      <c r="I167" s="9"/>
      <c r="J167" s="12"/>
      <c r="K167" s="10">
        <f t="shared" si="2"/>
        <v>0</v>
      </c>
      <c r="L167" s="12">
        <f>IF(K167="~","~",IFERROR(K167-K166,K167-LOOKUP(9999999,$J$5:K166)))</f>
        <v>0</v>
      </c>
      <c r="M167" s="9"/>
      <c r="N167" s="45"/>
      <c r="O167" s="11"/>
      <c r="P167" s="9"/>
      <c r="Q167" s="9"/>
    </row>
    <row r="168" spans="1:17" x14ac:dyDescent="0.25">
      <c r="A168" s="17">
        <v>44947</v>
      </c>
      <c r="B168" s="8" t="s">
        <v>13</v>
      </c>
      <c r="C168" s="69"/>
      <c r="D168" s="12"/>
      <c r="E168" s="12"/>
      <c r="F168" s="11"/>
      <c r="G168" s="11"/>
      <c r="H168" s="11"/>
      <c r="I168" s="9"/>
      <c r="J168" s="12"/>
      <c r="K168" s="10">
        <f t="shared" si="2"/>
        <v>0</v>
      </c>
      <c r="L168" s="12">
        <f>IF(K168="~","~",IFERROR(K168-K167,K168-LOOKUP(9999999,$J$5:K167)))</f>
        <v>0</v>
      </c>
      <c r="M168" s="9"/>
      <c r="N168" s="45"/>
      <c r="O168" s="11"/>
      <c r="P168" s="9"/>
      <c r="Q168" s="9"/>
    </row>
    <row r="169" spans="1:17" x14ac:dyDescent="0.25">
      <c r="A169" s="17">
        <v>44947</v>
      </c>
      <c r="B169" s="8" t="s">
        <v>14</v>
      </c>
      <c r="C169" s="69"/>
      <c r="D169" s="12"/>
      <c r="E169" s="12"/>
      <c r="F169" s="11"/>
      <c r="G169" s="11"/>
      <c r="H169" s="11"/>
      <c r="I169" s="9"/>
      <c r="J169" s="12"/>
      <c r="K169" s="10">
        <f t="shared" si="2"/>
        <v>0</v>
      </c>
      <c r="L169" s="12">
        <f>IF(K169="~","~",IFERROR(K169-K168,K169-LOOKUP(9999999,$J$5:K168)))</f>
        <v>0</v>
      </c>
      <c r="M169" s="9"/>
      <c r="N169" s="45"/>
      <c r="O169" s="11"/>
      <c r="P169" s="9"/>
      <c r="Q169" s="9"/>
    </row>
    <row r="170" spans="1:17" x14ac:dyDescent="0.25">
      <c r="A170" s="17">
        <v>44947</v>
      </c>
      <c r="B170" s="8" t="s">
        <v>15</v>
      </c>
      <c r="C170" s="69"/>
      <c r="D170" s="12"/>
      <c r="E170" s="12"/>
      <c r="F170" s="11"/>
      <c r="G170" s="11"/>
      <c r="H170" s="11"/>
      <c r="I170" s="9"/>
      <c r="J170" s="12"/>
      <c r="K170" s="10">
        <f t="shared" si="2"/>
        <v>0</v>
      </c>
      <c r="L170" s="12">
        <f>IF(K170="~","~",IFERROR(K170-K169,K170-LOOKUP(9999999,$J$5:K169)))</f>
        <v>0</v>
      </c>
      <c r="M170" s="9"/>
      <c r="N170" s="45"/>
      <c r="O170" s="11"/>
      <c r="P170" s="9"/>
      <c r="Q170" s="9"/>
    </row>
    <row r="171" spans="1:17" x14ac:dyDescent="0.25">
      <c r="A171" s="17">
        <v>44947</v>
      </c>
      <c r="B171" s="8" t="s">
        <v>16</v>
      </c>
      <c r="C171" s="69"/>
      <c r="D171" s="12"/>
      <c r="E171" s="12"/>
      <c r="F171" s="11"/>
      <c r="G171" s="11"/>
      <c r="H171" s="11"/>
      <c r="I171" s="9"/>
      <c r="J171" s="12"/>
      <c r="K171" s="10">
        <f t="shared" si="2"/>
        <v>0</v>
      </c>
      <c r="L171" s="12">
        <f>IF(K171="~","~",IFERROR(K171-K170,K171-LOOKUP(9999999,$J$5:K170)))</f>
        <v>0</v>
      </c>
      <c r="M171" s="9"/>
      <c r="N171" s="45"/>
      <c r="O171" s="11"/>
      <c r="P171" s="9"/>
      <c r="Q171" s="9"/>
    </row>
    <row r="172" spans="1:17" x14ac:dyDescent="0.25">
      <c r="A172" s="17">
        <v>44947</v>
      </c>
      <c r="B172" s="8" t="s">
        <v>17</v>
      </c>
      <c r="C172" s="69"/>
      <c r="D172" s="12"/>
      <c r="E172" s="12"/>
      <c r="F172" s="11"/>
      <c r="G172" s="11"/>
      <c r="H172" s="11"/>
      <c r="I172" s="9"/>
      <c r="J172" s="12"/>
      <c r="K172" s="10">
        <f t="shared" si="2"/>
        <v>0</v>
      </c>
      <c r="L172" s="12">
        <f>IF(K172="~","~",IFERROR(K172-K171,K172-LOOKUP(9999999,$J$5:K171)))</f>
        <v>0</v>
      </c>
      <c r="M172" s="9"/>
      <c r="N172" s="45"/>
      <c r="O172" s="11"/>
      <c r="P172" s="9"/>
      <c r="Q172" s="9"/>
    </row>
    <row r="173" spans="1:17" x14ac:dyDescent="0.25">
      <c r="A173" s="20">
        <v>44948</v>
      </c>
      <c r="B173" s="8" t="s">
        <v>10</v>
      </c>
      <c r="C173" s="69"/>
      <c r="D173" s="12"/>
      <c r="E173" s="12"/>
      <c r="F173" s="11"/>
      <c r="G173" s="11"/>
      <c r="H173" s="11"/>
      <c r="I173" s="9"/>
      <c r="J173" s="12"/>
      <c r="K173" s="10">
        <f t="shared" si="2"/>
        <v>0</v>
      </c>
      <c r="L173" s="12">
        <f>IF(K173="~","~",IFERROR(K173-K172,K173-LOOKUP(9999999,$J$5:K172)))</f>
        <v>0</v>
      </c>
      <c r="M173" s="9"/>
      <c r="N173" s="45"/>
      <c r="O173" s="11"/>
      <c r="P173" s="9"/>
      <c r="Q173" s="9"/>
    </row>
    <row r="174" spans="1:17" x14ac:dyDescent="0.25">
      <c r="A174" s="20">
        <v>44948</v>
      </c>
      <c r="B174" s="8" t="s">
        <v>11</v>
      </c>
      <c r="C174" s="69"/>
      <c r="D174" s="12"/>
      <c r="E174" s="12"/>
      <c r="F174" s="11"/>
      <c r="G174" s="11"/>
      <c r="H174" s="11"/>
      <c r="I174" s="9"/>
      <c r="J174" s="12"/>
      <c r="K174" s="10">
        <f t="shared" si="2"/>
        <v>0</v>
      </c>
      <c r="L174" s="12">
        <f>IF(K174="~","~",IFERROR(K174-K173,K174-LOOKUP(9999999,$J$5:K173)))</f>
        <v>0</v>
      </c>
      <c r="M174" s="9"/>
      <c r="N174" s="45"/>
      <c r="O174" s="11"/>
      <c r="P174" s="9"/>
      <c r="Q174" s="9"/>
    </row>
    <row r="175" spans="1:17" x14ac:dyDescent="0.25">
      <c r="A175" s="20">
        <v>44948</v>
      </c>
      <c r="B175" s="8" t="s">
        <v>12</v>
      </c>
      <c r="C175" s="69"/>
      <c r="D175" s="12"/>
      <c r="E175" s="12"/>
      <c r="F175" s="11"/>
      <c r="G175" s="11"/>
      <c r="H175" s="11"/>
      <c r="I175" s="9"/>
      <c r="J175" s="12"/>
      <c r="K175" s="10">
        <f t="shared" si="2"/>
        <v>0</v>
      </c>
      <c r="L175" s="12">
        <f>IF(K175="~","~",IFERROR(K175-K174,K175-LOOKUP(9999999,$J$5:K174)))</f>
        <v>0</v>
      </c>
      <c r="M175" s="9"/>
      <c r="N175" s="45"/>
      <c r="O175" s="11"/>
      <c r="P175" s="9"/>
      <c r="Q175" s="9"/>
    </row>
    <row r="176" spans="1:17" x14ac:dyDescent="0.25">
      <c r="A176" s="20">
        <v>44948</v>
      </c>
      <c r="B176" s="8" t="s">
        <v>13</v>
      </c>
      <c r="C176" s="69"/>
      <c r="D176" s="12"/>
      <c r="E176" s="12"/>
      <c r="F176" s="11"/>
      <c r="G176" s="11"/>
      <c r="H176" s="11"/>
      <c r="I176" s="9"/>
      <c r="J176" s="12"/>
      <c r="K176" s="10">
        <f t="shared" si="2"/>
        <v>0</v>
      </c>
      <c r="L176" s="12">
        <f>IF(K176="~","~",IFERROR(K176-K175,K176-LOOKUP(9999999,$J$5:K175)))</f>
        <v>0</v>
      </c>
      <c r="M176" s="9"/>
      <c r="N176" s="45"/>
      <c r="O176" s="11"/>
      <c r="P176" s="9"/>
      <c r="Q176" s="9"/>
    </row>
    <row r="177" spans="1:17" x14ac:dyDescent="0.25">
      <c r="A177" s="20">
        <v>44948</v>
      </c>
      <c r="B177" s="8" t="s">
        <v>14</v>
      </c>
      <c r="C177" s="69"/>
      <c r="D177" s="12"/>
      <c r="E177" s="12"/>
      <c r="F177" s="11"/>
      <c r="G177" s="11"/>
      <c r="H177" s="11"/>
      <c r="I177" s="9"/>
      <c r="J177" s="12"/>
      <c r="K177" s="10">
        <f t="shared" si="2"/>
        <v>0</v>
      </c>
      <c r="L177" s="12">
        <f>IF(K177="~","~",IFERROR(K177-K176,K177-LOOKUP(9999999,$J$5:K176)))</f>
        <v>0</v>
      </c>
      <c r="M177" s="9"/>
      <c r="N177" s="45"/>
      <c r="O177" s="11"/>
      <c r="P177" s="9"/>
      <c r="Q177" s="9"/>
    </row>
    <row r="178" spans="1:17" x14ac:dyDescent="0.25">
      <c r="A178" s="20">
        <v>44948</v>
      </c>
      <c r="B178" s="8" t="s">
        <v>15</v>
      </c>
      <c r="C178" s="69"/>
      <c r="D178" s="12"/>
      <c r="E178" s="12"/>
      <c r="F178" s="11"/>
      <c r="G178" s="11"/>
      <c r="H178" s="11"/>
      <c r="I178" s="9"/>
      <c r="J178" s="12"/>
      <c r="K178" s="10">
        <f t="shared" si="2"/>
        <v>0</v>
      </c>
      <c r="L178" s="12">
        <f>IF(K178="~","~",IFERROR(K178-K177,K178-LOOKUP(9999999,$J$5:K177)))</f>
        <v>0</v>
      </c>
      <c r="M178" s="9"/>
      <c r="N178" s="45"/>
      <c r="O178" s="11"/>
      <c r="P178" s="9"/>
      <c r="Q178" s="9"/>
    </row>
    <row r="179" spans="1:17" x14ac:dyDescent="0.25">
      <c r="A179" s="20">
        <v>44948</v>
      </c>
      <c r="B179" s="8" t="s">
        <v>16</v>
      </c>
      <c r="C179" s="69"/>
      <c r="D179" s="12"/>
      <c r="E179" s="12"/>
      <c r="F179" s="11"/>
      <c r="G179" s="11"/>
      <c r="H179" s="11"/>
      <c r="I179" s="9"/>
      <c r="J179" s="12"/>
      <c r="K179" s="10">
        <f t="shared" si="2"/>
        <v>0</v>
      </c>
      <c r="L179" s="12">
        <f>IF(K179="~","~",IFERROR(K179-K178,K179-LOOKUP(9999999,$J$5:K178)))</f>
        <v>0</v>
      </c>
      <c r="M179" s="9"/>
      <c r="N179" s="45"/>
      <c r="O179" s="11"/>
      <c r="P179" s="9"/>
      <c r="Q179" s="9"/>
    </row>
    <row r="180" spans="1:17" x14ac:dyDescent="0.25">
      <c r="A180" s="20">
        <v>44948</v>
      </c>
      <c r="B180" s="8" t="s">
        <v>17</v>
      </c>
      <c r="C180" s="69"/>
      <c r="D180" s="72"/>
      <c r="E180" s="72"/>
      <c r="F180" s="11"/>
      <c r="G180" s="11"/>
      <c r="H180" s="11"/>
      <c r="I180" s="9"/>
      <c r="J180" s="12"/>
      <c r="K180" s="10">
        <f t="shared" si="2"/>
        <v>0</v>
      </c>
      <c r="L180" s="12">
        <f>IF(K180="~","~",IFERROR(K180-K179,K180-LOOKUP(9999999,$J$5:K179)))</f>
        <v>0</v>
      </c>
      <c r="M180" s="9"/>
      <c r="N180" s="45"/>
      <c r="O180" s="11"/>
      <c r="P180" s="9"/>
      <c r="Q180" s="9"/>
    </row>
    <row r="181" spans="1:17" x14ac:dyDescent="0.25">
      <c r="A181" s="23">
        <v>44949</v>
      </c>
      <c r="B181" s="8" t="s">
        <v>10</v>
      </c>
      <c r="C181" s="73"/>
      <c r="D181" s="72"/>
      <c r="E181" s="72"/>
      <c r="F181" s="11"/>
      <c r="G181" s="11"/>
      <c r="H181" s="11"/>
      <c r="I181" s="9"/>
      <c r="J181" s="12"/>
      <c r="K181" s="10">
        <f t="shared" si="2"/>
        <v>0</v>
      </c>
      <c r="L181" s="12">
        <f>IF(K181="~","~",IFERROR(K181-K180,K181-LOOKUP(9999999,$J$5:K180)))</f>
        <v>0</v>
      </c>
      <c r="M181" s="9"/>
      <c r="N181" s="45"/>
      <c r="O181" s="11"/>
      <c r="P181" s="9"/>
      <c r="Q181" s="9"/>
    </row>
    <row r="182" spans="1:17" x14ac:dyDescent="0.25">
      <c r="A182" s="23">
        <v>44949</v>
      </c>
      <c r="B182" s="8" t="s">
        <v>11</v>
      </c>
      <c r="C182" s="73"/>
      <c r="D182" s="72"/>
      <c r="E182" s="72"/>
      <c r="F182" s="11"/>
      <c r="G182" s="11"/>
      <c r="H182" s="11"/>
      <c r="I182" s="9"/>
      <c r="J182" s="12"/>
      <c r="K182" s="10">
        <f t="shared" si="2"/>
        <v>0</v>
      </c>
      <c r="L182" s="12">
        <f>IF(K182="~","~",IFERROR(K182-K181,K182-LOOKUP(9999999,$J$5:K181)))</f>
        <v>0</v>
      </c>
      <c r="M182" s="9"/>
      <c r="N182" s="45"/>
      <c r="O182" s="11"/>
      <c r="P182" s="9"/>
      <c r="Q182" s="9"/>
    </row>
    <row r="183" spans="1:17" x14ac:dyDescent="0.25">
      <c r="A183" s="23">
        <v>44949</v>
      </c>
      <c r="B183" s="8" t="s">
        <v>12</v>
      </c>
      <c r="C183" s="73"/>
      <c r="D183" s="72"/>
      <c r="E183" s="72"/>
      <c r="F183" s="11"/>
      <c r="G183" s="11"/>
      <c r="H183" s="11"/>
      <c r="I183" s="9"/>
      <c r="J183" s="12"/>
      <c r="K183" s="10">
        <f t="shared" si="2"/>
        <v>0</v>
      </c>
      <c r="L183" s="12">
        <f>IF(K183="~","~",IFERROR(K183-K182,K183-LOOKUP(9999999,$J$5:K182)))</f>
        <v>0</v>
      </c>
      <c r="M183" s="9"/>
      <c r="N183" s="45"/>
      <c r="O183" s="11"/>
      <c r="P183" s="9"/>
      <c r="Q183" s="9"/>
    </row>
    <row r="184" spans="1:17" x14ac:dyDescent="0.25">
      <c r="A184" s="23">
        <v>44949</v>
      </c>
      <c r="B184" s="8" t="s">
        <v>13</v>
      </c>
      <c r="C184" s="73"/>
      <c r="D184" s="72"/>
      <c r="E184" s="72"/>
      <c r="F184" s="11"/>
      <c r="G184" s="11"/>
      <c r="H184" s="11"/>
      <c r="I184" s="9"/>
      <c r="J184" s="12"/>
      <c r="K184" s="10">
        <f t="shared" si="2"/>
        <v>0</v>
      </c>
      <c r="L184" s="12">
        <f>IF(K184="~","~",IFERROR(K184-K183,K184-LOOKUP(9999999,$J$5:K183)))</f>
        <v>0</v>
      </c>
      <c r="M184" s="9"/>
      <c r="N184" s="45"/>
      <c r="O184" s="11"/>
      <c r="P184" s="9"/>
      <c r="Q184" s="9"/>
    </row>
    <row r="185" spans="1:17" x14ac:dyDescent="0.25">
      <c r="A185" s="23">
        <v>44949</v>
      </c>
      <c r="B185" s="8" t="s">
        <v>14</v>
      </c>
      <c r="C185" s="73"/>
      <c r="D185" s="72"/>
      <c r="E185" s="72"/>
      <c r="F185" s="11"/>
      <c r="G185" s="11"/>
      <c r="H185" s="11"/>
      <c r="I185" s="9"/>
      <c r="J185" s="12"/>
      <c r="K185" s="10">
        <f t="shared" si="2"/>
        <v>0</v>
      </c>
      <c r="L185" s="12">
        <f>IF(K185="~","~",IFERROR(K185-K184,K185-LOOKUP(9999999,$J$5:K184)))</f>
        <v>0</v>
      </c>
      <c r="M185" s="9"/>
      <c r="N185" s="45"/>
      <c r="O185" s="11"/>
      <c r="P185" s="29"/>
      <c r="Q185" s="9"/>
    </row>
    <row r="186" spans="1:17" x14ac:dyDescent="0.25">
      <c r="A186" s="23">
        <v>44949</v>
      </c>
      <c r="B186" s="8" t="s">
        <v>15</v>
      </c>
      <c r="C186" s="73"/>
      <c r="D186" s="72"/>
      <c r="E186" s="72"/>
      <c r="F186" s="11"/>
      <c r="G186" s="11"/>
      <c r="H186" s="11"/>
      <c r="I186" s="9"/>
      <c r="J186" s="12"/>
      <c r="K186" s="10">
        <f t="shared" si="2"/>
        <v>0</v>
      </c>
      <c r="L186" s="12">
        <f>IF(K186="~","~",IFERROR(K186-K185,K186-LOOKUP(9999999,$J$5:K185)))</f>
        <v>0</v>
      </c>
      <c r="M186" s="9"/>
      <c r="N186" s="45"/>
      <c r="O186" s="11"/>
      <c r="P186" s="29"/>
      <c r="Q186" s="9"/>
    </row>
    <row r="187" spans="1:17" x14ac:dyDescent="0.25">
      <c r="A187" s="23">
        <v>44949</v>
      </c>
      <c r="B187" s="8" t="s">
        <v>16</v>
      </c>
      <c r="C187" s="73"/>
      <c r="D187" s="72"/>
      <c r="E187" s="72"/>
      <c r="F187" s="11"/>
      <c r="G187" s="11"/>
      <c r="H187" s="11"/>
      <c r="I187" s="9"/>
      <c r="J187" s="12"/>
      <c r="K187" s="10">
        <f t="shared" si="2"/>
        <v>0</v>
      </c>
      <c r="L187" s="12">
        <f>IF(K187="~","~",IFERROR(K187-K186,K187-LOOKUP(9999999,$J$5:K186)))</f>
        <v>0</v>
      </c>
      <c r="M187" s="9"/>
      <c r="N187" s="45"/>
      <c r="O187" s="11"/>
      <c r="P187" s="29"/>
      <c r="Q187" s="9"/>
    </row>
    <row r="188" spans="1:17" x14ac:dyDescent="0.25">
      <c r="A188" s="23">
        <v>44949</v>
      </c>
      <c r="B188" s="8" t="s">
        <v>17</v>
      </c>
      <c r="C188" s="69"/>
      <c r="D188" s="72"/>
      <c r="E188" s="72"/>
      <c r="F188" s="11"/>
      <c r="G188" s="11"/>
      <c r="H188" s="11"/>
      <c r="I188" s="9"/>
      <c r="J188" s="12"/>
      <c r="K188" s="10">
        <f t="shared" si="2"/>
        <v>0</v>
      </c>
      <c r="L188" s="12">
        <f>IF(K188="~","~",IFERROR(K188-K187,K188-LOOKUP(9999999,$J$5:K187)))</f>
        <v>0</v>
      </c>
      <c r="M188" s="9"/>
      <c r="N188" s="45"/>
      <c r="O188" s="11"/>
      <c r="P188" s="29"/>
      <c r="Q188" s="9"/>
    </row>
    <row r="189" spans="1:17" x14ac:dyDescent="0.25">
      <c r="A189" s="30">
        <v>44950</v>
      </c>
      <c r="B189" s="8" t="s">
        <v>10</v>
      </c>
      <c r="C189" s="73"/>
      <c r="D189" s="72"/>
      <c r="E189" s="72"/>
      <c r="F189" s="11"/>
      <c r="G189" s="11"/>
      <c r="H189" s="11"/>
      <c r="I189" s="9"/>
      <c r="J189" s="12"/>
      <c r="K189" s="10">
        <f t="shared" si="2"/>
        <v>0</v>
      </c>
      <c r="L189" s="12">
        <f>IF(K189="~","~",IFERROR(K189-K188,K189-LOOKUP(9999999,$J$5:K188)))</f>
        <v>0</v>
      </c>
      <c r="M189" s="9"/>
      <c r="N189" s="45"/>
      <c r="O189" s="11"/>
      <c r="P189" s="29"/>
      <c r="Q189" s="9"/>
    </row>
    <row r="190" spans="1:17" x14ac:dyDescent="0.25">
      <c r="A190" s="30">
        <v>44950</v>
      </c>
      <c r="B190" s="8" t="s">
        <v>11</v>
      </c>
      <c r="C190" s="73"/>
      <c r="D190" s="72"/>
      <c r="E190" s="72"/>
      <c r="F190" s="11"/>
      <c r="G190" s="11"/>
      <c r="H190" s="11"/>
      <c r="I190" s="9"/>
      <c r="J190" s="12"/>
      <c r="K190" s="10">
        <f t="shared" si="2"/>
        <v>0</v>
      </c>
      <c r="L190" s="12">
        <f>IF(K190="~","~",IFERROR(K190-K189,K190-LOOKUP(9999999,$J$5:K189)))</f>
        <v>0</v>
      </c>
      <c r="M190" s="9"/>
      <c r="N190" s="45"/>
      <c r="O190" s="11"/>
      <c r="P190" s="29"/>
      <c r="Q190" s="9"/>
    </row>
    <row r="191" spans="1:17" x14ac:dyDescent="0.25">
      <c r="A191" s="30">
        <v>44950</v>
      </c>
      <c r="B191" s="8" t="s">
        <v>12</v>
      </c>
      <c r="C191" s="73"/>
      <c r="D191" s="72"/>
      <c r="E191" s="72"/>
      <c r="F191" s="11"/>
      <c r="G191" s="11"/>
      <c r="H191" s="11"/>
      <c r="I191" s="9"/>
      <c r="J191" s="12"/>
      <c r="K191" s="10">
        <f t="shared" si="2"/>
        <v>0</v>
      </c>
      <c r="L191" s="12">
        <f>IF(K191="~","~",IFERROR(K191-K190,K191-LOOKUP(9999999,$J$5:K190)))</f>
        <v>0</v>
      </c>
      <c r="M191" s="9"/>
      <c r="N191" s="45"/>
      <c r="O191" s="11"/>
      <c r="P191" s="29"/>
      <c r="Q191" s="9"/>
    </row>
    <row r="192" spans="1:17" x14ac:dyDescent="0.25">
      <c r="A192" s="30">
        <v>44950</v>
      </c>
      <c r="B192" s="8" t="s">
        <v>13</v>
      </c>
      <c r="C192" s="73"/>
      <c r="D192" s="72"/>
      <c r="E192" s="72"/>
      <c r="F192" s="11"/>
      <c r="G192" s="11"/>
      <c r="H192" s="11"/>
      <c r="I192" s="9"/>
      <c r="J192" s="12"/>
      <c r="K192" s="10">
        <f t="shared" si="2"/>
        <v>0</v>
      </c>
      <c r="L192" s="12">
        <f>IF(K192="~","~",IFERROR(K192-K191,K192-LOOKUP(9999999,$J$5:K191)))</f>
        <v>0</v>
      </c>
      <c r="M192" s="9"/>
      <c r="N192" s="45"/>
      <c r="O192" s="11"/>
      <c r="P192" s="29"/>
      <c r="Q192" s="9"/>
    </row>
    <row r="193" spans="1:17" x14ac:dyDescent="0.25">
      <c r="A193" s="30">
        <v>44950</v>
      </c>
      <c r="B193" s="8" t="s">
        <v>14</v>
      </c>
      <c r="C193" s="69"/>
      <c r="D193" s="12"/>
      <c r="E193" s="12"/>
      <c r="F193" s="11"/>
      <c r="G193" s="11"/>
      <c r="H193" s="11"/>
      <c r="I193" s="29"/>
      <c r="J193" s="12"/>
      <c r="K193" s="10">
        <f t="shared" si="2"/>
        <v>0</v>
      </c>
      <c r="L193" s="12">
        <f>IF(K193="~","~",IFERROR(K193-K192,K193-LOOKUP(9999999,$J$5:K192)))</f>
        <v>0</v>
      </c>
      <c r="M193" s="9"/>
      <c r="N193" s="45"/>
      <c r="O193" s="11"/>
      <c r="P193" s="29"/>
      <c r="Q193" s="9"/>
    </row>
    <row r="194" spans="1:17" x14ac:dyDescent="0.25">
      <c r="A194" s="30">
        <v>44950</v>
      </c>
      <c r="B194" s="8" t="s">
        <v>15</v>
      </c>
      <c r="C194" s="69"/>
      <c r="D194" s="12"/>
      <c r="E194" s="12"/>
      <c r="F194" s="11"/>
      <c r="G194" s="11"/>
      <c r="H194" s="11"/>
      <c r="I194" s="29"/>
      <c r="J194" s="12"/>
      <c r="K194" s="10">
        <f t="shared" si="2"/>
        <v>0</v>
      </c>
      <c r="L194" s="12">
        <f>IF(K194="~","~",IFERROR(K194-K193,K194-LOOKUP(9999999,$J$5:K193)))</f>
        <v>0</v>
      </c>
      <c r="M194" s="9"/>
      <c r="N194" s="45"/>
      <c r="O194" s="11"/>
      <c r="P194" s="29"/>
      <c r="Q194" s="9"/>
    </row>
    <row r="195" spans="1:17" x14ac:dyDescent="0.25">
      <c r="A195" s="30">
        <v>44950</v>
      </c>
      <c r="B195" s="8" t="s">
        <v>16</v>
      </c>
      <c r="C195" s="69"/>
      <c r="D195" s="12"/>
      <c r="E195" s="12"/>
      <c r="F195" s="11"/>
      <c r="G195" s="11"/>
      <c r="H195" s="11"/>
      <c r="I195" s="29"/>
      <c r="J195" s="12"/>
      <c r="K195" s="10">
        <f t="shared" si="2"/>
        <v>0</v>
      </c>
      <c r="L195" s="12">
        <f>IF(K195="~","~",IFERROR(K195-K194,K195-LOOKUP(9999999,$J$5:K194)))</f>
        <v>0</v>
      </c>
      <c r="M195" s="9"/>
      <c r="N195" s="45"/>
      <c r="O195" s="11"/>
      <c r="P195" s="29"/>
      <c r="Q195" s="9"/>
    </row>
    <row r="196" spans="1:17" x14ac:dyDescent="0.25">
      <c r="A196" s="30">
        <v>44950</v>
      </c>
      <c r="B196" s="8" t="s">
        <v>17</v>
      </c>
      <c r="C196" s="69"/>
      <c r="D196" s="12"/>
      <c r="E196" s="12"/>
      <c r="F196" s="11"/>
      <c r="G196" s="11"/>
      <c r="H196" s="11"/>
      <c r="I196" s="29"/>
      <c r="J196" s="12"/>
      <c r="K196" s="10">
        <f t="shared" si="2"/>
        <v>0</v>
      </c>
      <c r="L196" s="12">
        <f>IF(K196="~","~",IFERROR(K196-K195,K196-LOOKUP(9999999,$J$5:K195)))</f>
        <v>0</v>
      </c>
      <c r="M196" s="9"/>
      <c r="N196" s="45"/>
      <c r="O196" s="11"/>
      <c r="P196" s="29"/>
      <c r="Q196" s="9"/>
    </row>
    <row r="197" spans="1:17" x14ac:dyDescent="0.25">
      <c r="A197" s="16">
        <v>44951</v>
      </c>
      <c r="B197" s="8" t="s">
        <v>10</v>
      </c>
      <c r="C197" s="69"/>
      <c r="D197" s="12"/>
      <c r="E197" s="12"/>
      <c r="F197" s="11"/>
      <c r="G197" s="11"/>
      <c r="H197" s="11"/>
      <c r="I197" s="29"/>
      <c r="J197" s="12"/>
      <c r="K197" s="10">
        <f t="shared" si="2"/>
        <v>0</v>
      </c>
      <c r="L197" s="12">
        <f>IF(K197="~","~",IFERROR(K197-K196,K197-LOOKUP(9999999,$J$5:K196)))</f>
        <v>0</v>
      </c>
      <c r="M197" s="9"/>
      <c r="N197" s="45"/>
      <c r="O197" s="11"/>
      <c r="P197" s="29"/>
      <c r="Q197" s="9"/>
    </row>
    <row r="198" spans="1:17" x14ac:dyDescent="0.25">
      <c r="A198" s="16">
        <v>44951</v>
      </c>
      <c r="B198" s="8" t="s">
        <v>11</v>
      </c>
      <c r="C198" s="69"/>
      <c r="D198" s="12"/>
      <c r="E198" s="12"/>
      <c r="F198" s="11"/>
      <c r="G198" s="11"/>
      <c r="H198" s="11"/>
      <c r="I198" s="9"/>
      <c r="J198" s="12"/>
      <c r="K198" s="10">
        <f t="shared" si="2"/>
        <v>0</v>
      </c>
      <c r="L198" s="12">
        <f>IF(K198="~","~",IFERROR(K198-K197,K198-LOOKUP(9999999,$J$5:K197)))</f>
        <v>0</v>
      </c>
      <c r="M198" s="9"/>
      <c r="N198" s="45"/>
      <c r="O198" s="11"/>
      <c r="P198" s="29"/>
      <c r="Q198" s="9"/>
    </row>
    <row r="199" spans="1:17" x14ac:dyDescent="0.25">
      <c r="A199" s="16">
        <v>44951</v>
      </c>
      <c r="B199" s="8" t="s">
        <v>12</v>
      </c>
      <c r="C199" s="69"/>
      <c r="D199" s="12"/>
      <c r="E199" s="12"/>
      <c r="F199" s="11"/>
      <c r="G199" s="11"/>
      <c r="H199" s="11"/>
      <c r="I199" s="29"/>
      <c r="J199" s="12"/>
      <c r="K199" s="10">
        <f t="shared" ref="K199:K244" si="3">IF(AND(J199="~",J198&lt;&gt;"~"),J198,IF(AND(J199="~",J198="~"),K198,J199))</f>
        <v>0</v>
      </c>
      <c r="L199" s="12">
        <f>IF(K199="~","~",IFERROR(K199-K198,K199-LOOKUP(9999999,$J$5:K198)))</f>
        <v>0</v>
      </c>
      <c r="M199" s="9"/>
      <c r="N199" s="45"/>
      <c r="O199" s="11"/>
      <c r="P199" s="29"/>
      <c r="Q199" s="9"/>
    </row>
    <row r="200" spans="1:17" x14ac:dyDescent="0.25">
      <c r="A200" s="16">
        <v>44951</v>
      </c>
      <c r="B200" s="8" t="s">
        <v>13</v>
      </c>
      <c r="C200" s="69"/>
      <c r="D200" s="12"/>
      <c r="E200" s="12"/>
      <c r="F200" s="11"/>
      <c r="G200" s="11"/>
      <c r="H200" s="11"/>
      <c r="I200" s="29"/>
      <c r="J200" s="12"/>
      <c r="K200" s="10">
        <f t="shared" si="3"/>
        <v>0</v>
      </c>
      <c r="L200" s="12">
        <f>IF(K200="~","~",IFERROR(K200-K199,K200-LOOKUP(9999999,$J$5:K199)))</f>
        <v>0</v>
      </c>
      <c r="M200" s="9"/>
      <c r="N200" s="45"/>
      <c r="O200" s="11"/>
      <c r="P200" s="29"/>
      <c r="Q200" s="9"/>
    </row>
    <row r="201" spans="1:17" x14ac:dyDescent="0.25">
      <c r="A201" s="16">
        <v>44951</v>
      </c>
      <c r="B201" s="8" t="s">
        <v>14</v>
      </c>
      <c r="C201" s="69"/>
      <c r="D201" s="12"/>
      <c r="E201" s="12"/>
      <c r="F201" s="11"/>
      <c r="G201" s="11"/>
      <c r="H201" s="11"/>
      <c r="I201" s="29"/>
      <c r="J201" s="12"/>
      <c r="K201" s="10">
        <f t="shared" si="3"/>
        <v>0</v>
      </c>
      <c r="L201" s="12">
        <f>IF(K201="~","~",IFERROR(K201-K200,K201-LOOKUP(9999999,$J$5:K200)))</f>
        <v>0</v>
      </c>
      <c r="M201" s="9"/>
      <c r="N201" s="45"/>
      <c r="O201" s="11"/>
      <c r="P201" s="29"/>
      <c r="Q201" s="9"/>
    </row>
    <row r="202" spans="1:17" x14ac:dyDescent="0.25">
      <c r="A202" s="16">
        <v>44951</v>
      </c>
      <c r="B202" s="8" t="s">
        <v>15</v>
      </c>
      <c r="C202" s="69"/>
      <c r="D202" s="12"/>
      <c r="E202" s="12"/>
      <c r="F202" s="11"/>
      <c r="G202" s="11"/>
      <c r="H202" s="11"/>
      <c r="I202" s="29"/>
      <c r="J202" s="12"/>
      <c r="K202" s="10">
        <f t="shared" si="3"/>
        <v>0</v>
      </c>
      <c r="L202" s="12">
        <f>IF(K202="~","~",IFERROR(K202-K201,K202-LOOKUP(9999999,$J$5:K201)))</f>
        <v>0</v>
      </c>
      <c r="M202" s="9"/>
      <c r="N202" s="45"/>
      <c r="O202" s="11"/>
      <c r="P202" s="29"/>
      <c r="Q202" s="9"/>
    </row>
    <row r="203" spans="1:17" x14ac:dyDescent="0.25">
      <c r="A203" s="16">
        <v>44951</v>
      </c>
      <c r="B203" s="8" t="s">
        <v>16</v>
      </c>
      <c r="C203" s="69"/>
      <c r="D203" s="12"/>
      <c r="E203" s="12"/>
      <c r="F203" s="11"/>
      <c r="G203" s="11"/>
      <c r="H203" s="11"/>
      <c r="I203" s="29"/>
      <c r="J203" s="12"/>
      <c r="K203" s="10">
        <f t="shared" si="3"/>
        <v>0</v>
      </c>
      <c r="L203" s="12">
        <f>IF(K203="~","~",IFERROR(K203-K202,K203-LOOKUP(9999999,$J$5:K202)))</f>
        <v>0</v>
      </c>
      <c r="M203" s="9"/>
      <c r="N203" s="45"/>
      <c r="O203" s="11"/>
      <c r="P203" s="29"/>
      <c r="Q203" s="9"/>
    </row>
    <row r="204" spans="1:17" x14ac:dyDescent="0.25">
      <c r="A204" s="16">
        <v>44951</v>
      </c>
      <c r="B204" s="8" t="s">
        <v>17</v>
      </c>
      <c r="C204" s="74"/>
      <c r="D204" s="75"/>
      <c r="E204" s="75"/>
      <c r="F204" s="11"/>
      <c r="G204" s="11"/>
      <c r="H204" s="11"/>
      <c r="I204" s="31"/>
      <c r="J204" s="12"/>
      <c r="K204" s="10">
        <f t="shared" si="3"/>
        <v>0</v>
      </c>
      <c r="L204" s="12">
        <f>IF(K204="~","~",IFERROR(K204-K203,K204-LOOKUP(9999999,$J$5:K203)))</f>
        <v>0</v>
      </c>
      <c r="M204" s="9"/>
      <c r="N204" s="45"/>
      <c r="O204" s="11"/>
      <c r="P204" s="31"/>
      <c r="Q204" s="9"/>
    </row>
    <row r="205" spans="1:17" x14ac:dyDescent="0.25">
      <c r="A205" s="18">
        <v>44952</v>
      </c>
      <c r="B205" s="8" t="s">
        <v>10</v>
      </c>
      <c r="C205" s="74"/>
      <c r="D205" s="12"/>
      <c r="E205" s="12"/>
      <c r="F205" s="11"/>
      <c r="G205" s="11"/>
      <c r="H205" s="11"/>
      <c r="I205" s="29"/>
      <c r="J205" s="12"/>
      <c r="K205" s="10">
        <f t="shared" si="3"/>
        <v>0</v>
      </c>
      <c r="L205" s="12">
        <f>IF(K205="~","~",IFERROR(K205-K204,K205-LOOKUP(9999999,$J$5:K204)))</f>
        <v>0</v>
      </c>
      <c r="M205" s="9"/>
      <c r="N205" s="45"/>
      <c r="O205" s="11"/>
      <c r="P205" s="29"/>
      <c r="Q205" s="9"/>
    </row>
    <row r="206" spans="1:17" x14ac:dyDescent="0.25">
      <c r="A206" s="18">
        <v>44952</v>
      </c>
      <c r="B206" s="8" t="s">
        <v>11</v>
      </c>
      <c r="C206" s="69"/>
      <c r="D206" s="12"/>
      <c r="E206" s="12"/>
      <c r="F206" s="11"/>
      <c r="G206" s="11"/>
      <c r="H206" s="11"/>
      <c r="I206" s="29"/>
      <c r="J206" s="75"/>
      <c r="K206" s="10">
        <f t="shared" si="3"/>
        <v>0</v>
      </c>
      <c r="L206" s="12">
        <f>IF(K206="~","~",IFERROR(K206-K205,K206-LOOKUP(9999999,$J$5:K205)))</f>
        <v>0</v>
      </c>
      <c r="M206" s="9"/>
      <c r="N206" s="45"/>
      <c r="O206" s="11"/>
      <c r="P206" s="29"/>
      <c r="Q206" s="9"/>
    </row>
    <row r="207" spans="1:17" x14ac:dyDescent="0.25">
      <c r="A207" s="18">
        <v>44952</v>
      </c>
      <c r="B207" s="8" t="s">
        <v>12</v>
      </c>
      <c r="C207" s="69"/>
      <c r="D207" s="12"/>
      <c r="E207" s="12"/>
      <c r="F207" s="11"/>
      <c r="G207" s="11"/>
      <c r="H207" s="11"/>
      <c r="I207" s="9"/>
      <c r="J207" s="12"/>
      <c r="K207" s="10">
        <f t="shared" si="3"/>
        <v>0</v>
      </c>
      <c r="L207" s="12">
        <f>IF(K207="~","~",IFERROR(K207-K206,K207-LOOKUP(9999999,$J$5:K206)))</f>
        <v>0</v>
      </c>
      <c r="M207" s="9"/>
      <c r="N207" s="45"/>
      <c r="O207" s="11"/>
      <c r="P207" s="29"/>
      <c r="Q207" s="9"/>
    </row>
    <row r="208" spans="1:17" x14ac:dyDescent="0.25">
      <c r="A208" s="18">
        <v>44952</v>
      </c>
      <c r="B208" s="8" t="s">
        <v>13</v>
      </c>
      <c r="C208" s="69"/>
      <c r="D208" s="12"/>
      <c r="E208" s="12"/>
      <c r="F208" s="11"/>
      <c r="G208" s="11"/>
      <c r="H208" s="11"/>
      <c r="I208" s="9"/>
      <c r="J208" s="12"/>
      <c r="K208" s="10">
        <f t="shared" si="3"/>
        <v>0</v>
      </c>
      <c r="L208" s="12">
        <f>IF(K208="~","~",IFERROR(K208-K207,K208-LOOKUP(9999999,$J$5:K207)))</f>
        <v>0</v>
      </c>
      <c r="M208" s="9"/>
      <c r="N208" s="45"/>
      <c r="O208" s="11"/>
      <c r="P208" s="29"/>
      <c r="Q208" s="9"/>
    </row>
    <row r="209" spans="1:17" x14ac:dyDescent="0.25">
      <c r="A209" s="18">
        <v>44952</v>
      </c>
      <c r="B209" s="8" t="s">
        <v>14</v>
      </c>
      <c r="C209" s="69"/>
      <c r="D209" s="12"/>
      <c r="E209" s="12"/>
      <c r="F209" s="11"/>
      <c r="G209" s="11"/>
      <c r="H209" s="11"/>
      <c r="I209" s="9"/>
      <c r="J209" s="12"/>
      <c r="K209" s="10">
        <f t="shared" si="3"/>
        <v>0</v>
      </c>
      <c r="L209" s="12">
        <f>IF(K209="~","~",IFERROR(K209-K208,K209-LOOKUP(9999999,$J$5:K208)))</f>
        <v>0</v>
      </c>
      <c r="M209" s="9"/>
      <c r="N209" s="45"/>
      <c r="O209" s="11"/>
      <c r="P209" s="29"/>
      <c r="Q209" s="9"/>
    </row>
    <row r="210" spans="1:17" x14ac:dyDescent="0.25">
      <c r="A210" s="18">
        <v>44952</v>
      </c>
      <c r="B210" s="8" t="s">
        <v>15</v>
      </c>
      <c r="C210" s="69"/>
      <c r="D210" s="12"/>
      <c r="E210" s="12"/>
      <c r="F210" s="11"/>
      <c r="G210" s="11"/>
      <c r="H210" s="11"/>
      <c r="I210" s="9"/>
      <c r="J210" s="12"/>
      <c r="K210" s="10">
        <f t="shared" si="3"/>
        <v>0</v>
      </c>
      <c r="L210" s="12">
        <f>IF(K210="~","~",IFERROR(K210-K209,K210-LOOKUP(9999999,$J$5:K209)))</f>
        <v>0</v>
      </c>
      <c r="M210" s="9"/>
      <c r="N210" s="45"/>
      <c r="O210" s="11"/>
      <c r="P210" s="29"/>
      <c r="Q210" s="9"/>
    </row>
    <row r="211" spans="1:17" x14ac:dyDescent="0.25">
      <c r="A211" s="18">
        <v>44952</v>
      </c>
      <c r="B211" s="8" t="s">
        <v>16</v>
      </c>
      <c r="C211" s="69"/>
      <c r="D211" s="12"/>
      <c r="E211" s="12"/>
      <c r="F211" s="11"/>
      <c r="G211" s="11"/>
      <c r="H211" s="11"/>
      <c r="I211" s="9"/>
      <c r="J211" s="12"/>
      <c r="K211" s="10">
        <f t="shared" si="3"/>
        <v>0</v>
      </c>
      <c r="L211" s="12">
        <f>IF(K211="~","~",IFERROR(K211-K210,K211-LOOKUP(9999999,$J$5:K210)))</f>
        <v>0</v>
      </c>
      <c r="M211" s="9"/>
      <c r="N211" s="45"/>
      <c r="O211" s="11"/>
      <c r="P211" s="9"/>
      <c r="Q211" s="9"/>
    </row>
    <row r="212" spans="1:17" x14ac:dyDescent="0.25">
      <c r="A212" s="18">
        <v>44952</v>
      </c>
      <c r="B212" s="8" t="s">
        <v>17</v>
      </c>
      <c r="C212" s="69"/>
      <c r="D212" s="12"/>
      <c r="E212" s="12"/>
      <c r="F212" s="11"/>
      <c r="G212" s="11"/>
      <c r="H212" s="11"/>
      <c r="I212" s="29"/>
      <c r="J212" s="12"/>
      <c r="K212" s="10">
        <f t="shared" si="3"/>
        <v>0</v>
      </c>
      <c r="L212" s="12">
        <f>IF(K212="~","~",IFERROR(K212-K211,K212-LOOKUP(9999999,$J$5:K211)))</f>
        <v>0</v>
      </c>
      <c r="M212" s="9"/>
      <c r="N212" s="45"/>
      <c r="O212" s="11"/>
      <c r="P212" s="9"/>
      <c r="Q212" s="9"/>
    </row>
    <row r="213" spans="1:17" x14ac:dyDescent="0.25">
      <c r="A213" s="32">
        <v>44953</v>
      </c>
      <c r="B213" s="8" t="s">
        <v>10</v>
      </c>
      <c r="C213" s="69"/>
      <c r="D213" s="12"/>
      <c r="E213" s="12"/>
      <c r="F213" s="11"/>
      <c r="G213" s="11"/>
      <c r="H213" s="11"/>
      <c r="I213" s="29"/>
      <c r="J213" s="12"/>
      <c r="K213" s="10">
        <f t="shared" si="3"/>
        <v>0</v>
      </c>
      <c r="L213" s="12">
        <f>IF(K213="~","~",IFERROR(K213-K212,K213-LOOKUP(9999999,$J$5:K212)))</f>
        <v>0</v>
      </c>
      <c r="M213" s="9"/>
      <c r="N213" s="45"/>
      <c r="O213" s="11"/>
      <c r="P213" s="9"/>
      <c r="Q213" s="9"/>
    </row>
    <row r="214" spans="1:17" x14ac:dyDescent="0.25">
      <c r="A214" s="32">
        <v>44953</v>
      </c>
      <c r="B214" s="8" t="s">
        <v>11</v>
      </c>
      <c r="C214" s="69"/>
      <c r="D214" s="12"/>
      <c r="E214" s="12"/>
      <c r="F214" s="11"/>
      <c r="G214" s="11"/>
      <c r="H214" s="11"/>
      <c r="I214" s="29"/>
      <c r="J214" s="12"/>
      <c r="K214" s="10">
        <f t="shared" si="3"/>
        <v>0</v>
      </c>
      <c r="L214" s="12">
        <f>IF(K214="~","~",IFERROR(K214-K213,K214-LOOKUP(9999999,$J$5:K213)))</f>
        <v>0</v>
      </c>
      <c r="M214" s="9"/>
      <c r="N214" s="45"/>
      <c r="O214" s="11"/>
      <c r="P214" s="9"/>
      <c r="Q214" s="9"/>
    </row>
    <row r="215" spans="1:17" x14ac:dyDescent="0.25">
      <c r="A215" s="32">
        <v>44953</v>
      </c>
      <c r="B215" s="8" t="s">
        <v>12</v>
      </c>
      <c r="C215" s="69"/>
      <c r="D215" s="12"/>
      <c r="E215" s="12"/>
      <c r="F215" s="11"/>
      <c r="G215" s="11"/>
      <c r="H215" s="11"/>
      <c r="I215" s="29"/>
      <c r="J215" s="12"/>
      <c r="K215" s="10">
        <f t="shared" si="3"/>
        <v>0</v>
      </c>
      <c r="L215" s="12">
        <f>IF(K215="~","~",IFERROR(K215-K214,K215-LOOKUP(9999999,$J$5:K214)))</f>
        <v>0</v>
      </c>
      <c r="M215" s="9"/>
      <c r="N215" s="45"/>
      <c r="O215" s="11"/>
      <c r="P215" s="9"/>
      <c r="Q215" s="9"/>
    </row>
    <row r="216" spans="1:17" x14ac:dyDescent="0.25">
      <c r="A216" s="32">
        <v>44953</v>
      </c>
      <c r="B216" s="8" t="s">
        <v>13</v>
      </c>
      <c r="C216" s="69"/>
      <c r="D216" s="12"/>
      <c r="E216" s="12"/>
      <c r="F216" s="11"/>
      <c r="G216" s="11"/>
      <c r="H216" s="11"/>
      <c r="I216" s="9"/>
      <c r="J216" s="12"/>
      <c r="K216" s="10">
        <f t="shared" si="3"/>
        <v>0</v>
      </c>
      <c r="L216" s="12">
        <f>IF(K216="~","~",IFERROR(K216-K215,K216-LOOKUP(9999999,$J$5:K215)))</f>
        <v>0</v>
      </c>
      <c r="M216" s="9"/>
      <c r="N216" s="45"/>
      <c r="O216" s="11"/>
      <c r="P216" s="9"/>
      <c r="Q216" s="9"/>
    </row>
    <row r="217" spans="1:17" x14ac:dyDescent="0.25">
      <c r="A217" s="32">
        <v>44953</v>
      </c>
      <c r="B217" s="8" t="s">
        <v>14</v>
      </c>
      <c r="C217" s="69"/>
      <c r="D217" s="12"/>
      <c r="E217" s="12"/>
      <c r="F217" s="11"/>
      <c r="G217" s="11"/>
      <c r="H217" s="11"/>
      <c r="I217" s="29"/>
      <c r="J217" s="12"/>
      <c r="K217" s="10">
        <f t="shared" si="3"/>
        <v>0</v>
      </c>
      <c r="L217" s="12">
        <f>IF(K217="~","~",IFERROR(K217-K216,K217-LOOKUP(9999999,$J$5:K216)))</f>
        <v>0</v>
      </c>
      <c r="M217" s="9"/>
      <c r="N217" s="45"/>
      <c r="O217" s="11"/>
      <c r="P217" s="9"/>
      <c r="Q217" s="9"/>
    </row>
    <row r="218" spans="1:17" x14ac:dyDescent="0.25">
      <c r="A218" s="32">
        <v>44953</v>
      </c>
      <c r="B218" s="8" t="s">
        <v>15</v>
      </c>
      <c r="C218" s="69"/>
      <c r="D218" s="12"/>
      <c r="E218" s="12"/>
      <c r="F218" s="11"/>
      <c r="G218" s="11"/>
      <c r="H218" s="11"/>
      <c r="I218" s="29"/>
      <c r="J218" s="12"/>
      <c r="K218" s="10">
        <f t="shared" si="3"/>
        <v>0</v>
      </c>
      <c r="L218" s="12">
        <f>IF(K218="~","~",IFERROR(K218-K217,K218-LOOKUP(9999999,$J$5:K217)))</f>
        <v>0</v>
      </c>
      <c r="M218" s="9"/>
      <c r="N218" s="45"/>
      <c r="O218" s="11"/>
      <c r="P218" s="9"/>
      <c r="Q218" s="9"/>
    </row>
    <row r="219" spans="1:17" x14ac:dyDescent="0.25">
      <c r="A219" s="32">
        <v>44953</v>
      </c>
      <c r="B219" s="8" t="s">
        <v>16</v>
      </c>
      <c r="C219" s="69"/>
      <c r="D219" s="12"/>
      <c r="E219" s="12"/>
      <c r="F219" s="11"/>
      <c r="G219" s="11"/>
      <c r="H219" s="11"/>
      <c r="I219" s="29"/>
      <c r="J219" s="12"/>
      <c r="K219" s="10">
        <f t="shared" si="3"/>
        <v>0</v>
      </c>
      <c r="L219" s="12">
        <f>IF(K219="~","~",IFERROR(K219-K218,K219-LOOKUP(9999999,$J$5:K218)))</f>
        <v>0</v>
      </c>
      <c r="M219" s="9"/>
      <c r="N219" s="45"/>
      <c r="O219" s="11"/>
      <c r="P219" s="9"/>
      <c r="Q219" s="9"/>
    </row>
    <row r="220" spans="1:17" x14ac:dyDescent="0.25">
      <c r="A220" s="32">
        <v>44953</v>
      </c>
      <c r="B220" s="8" t="s">
        <v>17</v>
      </c>
      <c r="C220" s="69"/>
      <c r="D220" s="12"/>
      <c r="E220" s="12"/>
      <c r="F220" s="11"/>
      <c r="G220" s="11"/>
      <c r="H220" s="11"/>
      <c r="I220" s="9"/>
      <c r="J220" s="12"/>
      <c r="K220" s="10">
        <f t="shared" si="3"/>
        <v>0</v>
      </c>
      <c r="L220" s="12">
        <f>IF(K220="~","~",IFERROR(K220-K219,K220-LOOKUP(9999999,$J$5:K219)))</f>
        <v>0</v>
      </c>
      <c r="M220" s="9"/>
      <c r="N220" s="45"/>
      <c r="O220" s="11"/>
      <c r="P220" s="9"/>
      <c r="Q220" s="9"/>
    </row>
    <row r="221" spans="1:17" x14ac:dyDescent="0.25">
      <c r="A221" s="33">
        <v>44954</v>
      </c>
      <c r="B221" s="8" t="s">
        <v>10</v>
      </c>
      <c r="C221" s="69"/>
      <c r="D221" s="12"/>
      <c r="E221" s="12"/>
      <c r="F221" s="11"/>
      <c r="G221" s="11"/>
      <c r="H221" s="11"/>
      <c r="I221" s="9"/>
      <c r="J221" s="12"/>
      <c r="K221" s="10">
        <f t="shared" si="3"/>
        <v>0</v>
      </c>
      <c r="L221" s="12">
        <f>IF(K221="~","~",IFERROR(K221-K220,K221-LOOKUP(9999999,$J$5:K220)))</f>
        <v>0</v>
      </c>
      <c r="M221" s="9"/>
      <c r="N221" s="45"/>
      <c r="O221" s="11"/>
      <c r="P221" s="9"/>
      <c r="Q221" s="9"/>
    </row>
    <row r="222" spans="1:17" x14ac:dyDescent="0.25">
      <c r="A222" s="33">
        <v>44954</v>
      </c>
      <c r="B222" s="8" t="s">
        <v>11</v>
      </c>
      <c r="C222" s="69"/>
      <c r="D222" s="12"/>
      <c r="E222" s="12"/>
      <c r="F222" s="11"/>
      <c r="G222" s="11"/>
      <c r="H222" s="11"/>
      <c r="I222" s="9"/>
      <c r="J222" s="12"/>
      <c r="K222" s="10">
        <f t="shared" si="3"/>
        <v>0</v>
      </c>
      <c r="L222" s="12">
        <f>IF(K222="~","~",IFERROR(K222-K221,K222-LOOKUP(9999999,$J$5:K221)))</f>
        <v>0</v>
      </c>
      <c r="M222" s="9"/>
      <c r="N222" s="45"/>
      <c r="O222" s="11"/>
      <c r="P222" s="9"/>
      <c r="Q222" s="9"/>
    </row>
    <row r="223" spans="1:17" x14ac:dyDescent="0.25">
      <c r="A223" s="33">
        <v>44954</v>
      </c>
      <c r="B223" s="8" t="s">
        <v>12</v>
      </c>
      <c r="C223" s="69"/>
      <c r="D223" s="12"/>
      <c r="E223" s="12"/>
      <c r="F223" s="11"/>
      <c r="G223" s="11"/>
      <c r="H223" s="11"/>
      <c r="I223" s="9"/>
      <c r="J223" s="12"/>
      <c r="K223" s="10">
        <f t="shared" si="3"/>
        <v>0</v>
      </c>
      <c r="L223" s="12">
        <f>IF(K223="~","~",IFERROR(K223-K222,K223-LOOKUP(9999999,$J$5:K222)))</f>
        <v>0</v>
      </c>
      <c r="M223" s="9"/>
      <c r="N223" s="45"/>
      <c r="O223" s="11"/>
      <c r="P223" s="9"/>
      <c r="Q223" s="9"/>
    </row>
    <row r="224" spans="1:17" x14ac:dyDescent="0.25">
      <c r="A224" s="33">
        <v>44954</v>
      </c>
      <c r="B224" s="8" t="s">
        <v>13</v>
      </c>
      <c r="C224" s="69"/>
      <c r="D224" s="12"/>
      <c r="E224" s="12"/>
      <c r="F224" s="11"/>
      <c r="G224" s="11"/>
      <c r="H224" s="11"/>
      <c r="I224" s="29"/>
      <c r="J224" s="12"/>
      <c r="K224" s="10">
        <f t="shared" si="3"/>
        <v>0</v>
      </c>
      <c r="L224" s="12">
        <f>IF(K224="~","~",IFERROR(K224-K223,K224-LOOKUP(9999999,$J$5:K223)))</f>
        <v>0</v>
      </c>
      <c r="M224" s="9"/>
      <c r="N224" s="45"/>
      <c r="O224" s="11"/>
      <c r="P224" s="9"/>
      <c r="Q224" s="9"/>
    </row>
    <row r="225" spans="1:17" x14ac:dyDescent="0.25">
      <c r="A225" s="33">
        <v>44954</v>
      </c>
      <c r="B225" s="8" t="s">
        <v>14</v>
      </c>
      <c r="C225" s="69"/>
      <c r="D225" s="12"/>
      <c r="E225" s="12"/>
      <c r="F225" s="11"/>
      <c r="G225" s="11"/>
      <c r="H225" s="11"/>
      <c r="I225" s="9"/>
      <c r="J225" s="12"/>
      <c r="K225" s="10">
        <f t="shared" si="3"/>
        <v>0</v>
      </c>
      <c r="L225" s="12">
        <f>IF(K225="~","~",IFERROR(K225-K224,K225-LOOKUP(9999999,$J$5:K224)))</f>
        <v>0</v>
      </c>
      <c r="M225" s="9"/>
      <c r="N225" s="45"/>
      <c r="O225" s="11"/>
      <c r="P225" s="9"/>
      <c r="Q225" s="9"/>
    </row>
    <row r="226" spans="1:17" x14ac:dyDescent="0.25">
      <c r="A226" s="33">
        <v>44954</v>
      </c>
      <c r="B226" s="8" t="s">
        <v>15</v>
      </c>
      <c r="C226" s="69"/>
      <c r="D226" s="12"/>
      <c r="E226" s="12"/>
      <c r="F226" s="11"/>
      <c r="G226" s="11"/>
      <c r="H226" s="11"/>
      <c r="I226" s="9"/>
      <c r="J226" s="12"/>
      <c r="K226" s="10">
        <f t="shared" si="3"/>
        <v>0</v>
      </c>
      <c r="L226" s="12">
        <f>IF(K226="~","~",IFERROR(K226-K225,K226-LOOKUP(9999999,$J$5:K225)))</f>
        <v>0</v>
      </c>
      <c r="M226" s="9"/>
      <c r="N226" s="45"/>
      <c r="O226" s="11"/>
      <c r="P226" s="9"/>
      <c r="Q226" s="9"/>
    </row>
    <row r="227" spans="1:17" x14ac:dyDescent="0.25">
      <c r="A227" s="33">
        <v>44954</v>
      </c>
      <c r="B227" s="8" t="s">
        <v>16</v>
      </c>
      <c r="C227" s="69"/>
      <c r="D227" s="12"/>
      <c r="E227" s="12"/>
      <c r="F227" s="11"/>
      <c r="G227" s="11"/>
      <c r="H227" s="11"/>
      <c r="I227" s="9"/>
      <c r="J227" s="12"/>
      <c r="K227" s="10">
        <f t="shared" si="3"/>
        <v>0</v>
      </c>
      <c r="L227" s="12">
        <f>IF(K227="~","~",IFERROR(K227-K226,K227-LOOKUP(9999999,$J$5:K226)))</f>
        <v>0</v>
      </c>
      <c r="M227" s="9"/>
      <c r="N227" s="45"/>
      <c r="O227" s="11"/>
      <c r="P227" s="9"/>
      <c r="Q227" s="9"/>
    </row>
    <row r="228" spans="1:17" x14ac:dyDescent="0.25">
      <c r="A228" s="33">
        <v>44954</v>
      </c>
      <c r="B228" s="8" t="s">
        <v>17</v>
      </c>
      <c r="C228" s="69"/>
      <c r="D228" s="12"/>
      <c r="E228" s="12"/>
      <c r="F228" s="11"/>
      <c r="G228" s="11"/>
      <c r="H228" s="11"/>
      <c r="I228" s="9"/>
      <c r="J228" s="12"/>
      <c r="K228" s="10">
        <f t="shared" si="3"/>
        <v>0</v>
      </c>
      <c r="L228" s="12">
        <f>IF(K228="~","~",IFERROR(K228-K227,K228-LOOKUP(9999999,$J$5:K227)))</f>
        <v>0</v>
      </c>
      <c r="M228" s="9"/>
      <c r="N228" s="45"/>
      <c r="O228" s="11"/>
      <c r="P228" s="9"/>
      <c r="Q228" s="9"/>
    </row>
    <row r="229" spans="1:17" x14ac:dyDescent="0.25">
      <c r="A229" s="34">
        <v>44955</v>
      </c>
      <c r="B229" s="8" t="s">
        <v>10</v>
      </c>
      <c r="C229" s="69"/>
      <c r="D229" s="12"/>
      <c r="E229" s="12"/>
      <c r="F229" s="11"/>
      <c r="G229" s="11"/>
      <c r="H229" s="11"/>
      <c r="I229" s="9"/>
      <c r="J229" s="12"/>
      <c r="K229" s="10">
        <f t="shared" si="3"/>
        <v>0</v>
      </c>
      <c r="L229" s="12">
        <f>IF(K229="~","~",IFERROR(K229-K228,K229-LOOKUP(9999999,$J$5:K228)))</f>
        <v>0</v>
      </c>
      <c r="M229" s="9"/>
      <c r="N229" s="45"/>
      <c r="O229" s="11"/>
      <c r="P229" s="9"/>
      <c r="Q229" s="9"/>
    </row>
    <row r="230" spans="1:17" x14ac:dyDescent="0.25">
      <c r="A230" s="34">
        <v>44955</v>
      </c>
      <c r="B230" s="8" t="s">
        <v>11</v>
      </c>
      <c r="C230" s="69"/>
      <c r="D230" s="12"/>
      <c r="E230" s="12"/>
      <c r="F230" s="11"/>
      <c r="G230" s="11"/>
      <c r="H230" s="11"/>
      <c r="I230" s="9"/>
      <c r="J230" s="12"/>
      <c r="K230" s="10">
        <f t="shared" si="3"/>
        <v>0</v>
      </c>
      <c r="L230" s="12">
        <f>IF(K230="~","~",IFERROR(K230-K229,K230-LOOKUP(9999999,$J$5:K229)))</f>
        <v>0</v>
      </c>
      <c r="M230" s="9"/>
      <c r="N230" s="45"/>
      <c r="O230" s="11"/>
      <c r="P230" s="9"/>
      <c r="Q230" s="9"/>
    </row>
    <row r="231" spans="1:17" x14ac:dyDescent="0.25">
      <c r="A231" s="34">
        <v>44955</v>
      </c>
      <c r="B231" s="8" t="s">
        <v>12</v>
      </c>
      <c r="C231" s="69"/>
      <c r="D231" s="12"/>
      <c r="E231" s="12"/>
      <c r="F231" s="11"/>
      <c r="G231" s="11"/>
      <c r="H231" s="11"/>
      <c r="I231" s="29"/>
      <c r="J231" s="12"/>
      <c r="K231" s="10">
        <f t="shared" si="3"/>
        <v>0</v>
      </c>
      <c r="L231" s="12">
        <f>IF(K231="~","~",IFERROR(K231-K230,K231-LOOKUP(9999999,$J$5:K230)))</f>
        <v>0</v>
      </c>
      <c r="M231" s="9"/>
      <c r="N231" s="45"/>
      <c r="O231" s="11"/>
      <c r="P231" s="9"/>
      <c r="Q231" s="9"/>
    </row>
    <row r="232" spans="1:17" x14ac:dyDescent="0.25">
      <c r="A232" s="34">
        <v>44955</v>
      </c>
      <c r="B232" s="8" t="s">
        <v>13</v>
      </c>
      <c r="C232" s="69"/>
      <c r="D232" s="12"/>
      <c r="E232" s="12"/>
      <c r="F232" s="11"/>
      <c r="G232" s="11"/>
      <c r="H232" s="11"/>
      <c r="I232" s="29"/>
      <c r="J232" s="12"/>
      <c r="K232" s="10">
        <f t="shared" si="3"/>
        <v>0</v>
      </c>
      <c r="L232" s="12">
        <f>IF(K232="~","~",IFERROR(K232-K231,K232-LOOKUP(9999999,$J$5:K231)))</f>
        <v>0</v>
      </c>
      <c r="M232" s="9"/>
      <c r="N232" s="45"/>
      <c r="O232" s="11"/>
      <c r="P232" s="9"/>
      <c r="Q232" s="9"/>
    </row>
    <row r="233" spans="1:17" x14ac:dyDescent="0.25">
      <c r="A233" s="34">
        <v>44955</v>
      </c>
      <c r="B233" s="8" t="s">
        <v>14</v>
      </c>
      <c r="C233" s="69"/>
      <c r="D233" s="12"/>
      <c r="E233" s="12"/>
      <c r="F233" s="11"/>
      <c r="G233" s="11"/>
      <c r="H233" s="11"/>
      <c r="I233" s="9"/>
      <c r="J233" s="12"/>
      <c r="K233" s="10">
        <f t="shared" si="3"/>
        <v>0</v>
      </c>
      <c r="L233" s="12">
        <f>IF(K233="~","~",IFERROR(K233-K232,K233-LOOKUP(9999999,$J$5:K232)))</f>
        <v>0</v>
      </c>
      <c r="M233" s="9"/>
      <c r="N233" s="45"/>
      <c r="O233" s="11"/>
      <c r="P233" s="9"/>
      <c r="Q233" s="9"/>
    </row>
    <row r="234" spans="1:17" x14ac:dyDescent="0.25">
      <c r="A234" s="34">
        <v>44955</v>
      </c>
      <c r="B234" s="8" t="s">
        <v>15</v>
      </c>
      <c r="C234" s="69"/>
      <c r="D234" s="12"/>
      <c r="E234" s="12"/>
      <c r="F234" s="11"/>
      <c r="G234" s="11"/>
      <c r="H234" s="11"/>
      <c r="I234" s="9"/>
      <c r="J234" s="12"/>
      <c r="K234" s="10">
        <f t="shared" si="3"/>
        <v>0</v>
      </c>
      <c r="L234" s="12">
        <f>IF(K234="~","~",IFERROR(K234-K233,K234-LOOKUP(9999999,$J$5:K233)))</f>
        <v>0</v>
      </c>
      <c r="M234" s="9"/>
      <c r="N234" s="45"/>
      <c r="O234" s="11"/>
      <c r="P234" s="9"/>
      <c r="Q234" s="9"/>
    </row>
    <row r="235" spans="1:17" x14ac:dyDescent="0.25">
      <c r="A235" s="34">
        <v>44955</v>
      </c>
      <c r="B235" s="8" t="s">
        <v>16</v>
      </c>
      <c r="C235" s="69"/>
      <c r="D235" s="12"/>
      <c r="E235" s="12"/>
      <c r="F235" s="11"/>
      <c r="G235" s="11"/>
      <c r="H235" s="11"/>
      <c r="I235" s="9"/>
      <c r="J235" s="12"/>
      <c r="K235" s="10">
        <f t="shared" si="3"/>
        <v>0</v>
      </c>
      <c r="L235" s="12">
        <f>IF(K235="~","~",IFERROR(K235-K234,K235-LOOKUP(9999999,$J$5:K234)))</f>
        <v>0</v>
      </c>
      <c r="M235" s="9"/>
      <c r="N235" s="45"/>
      <c r="O235" s="11"/>
      <c r="P235" s="9"/>
      <c r="Q235" s="9"/>
    </row>
    <row r="236" spans="1:17" x14ac:dyDescent="0.25">
      <c r="A236" s="34">
        <v>44955</v>
      </c>
      <c r="B236" s="8" t="s">
        <v>17</v>
      </c>
      <c r="C236" s="69"/>
      <c r="D236" s="12"/>
      <c r="E236" s="12"/>
      <c r="F236" s="11"/>
      <c r="G236" s="11"/>
      <c r="H236" s="11"/>
      <c r="I236" s="9"/>
      <c r="J236" s="12"/>
      <c r="K236" s="10">
        <f t="shared" si="3"/>
        <v>0</v>
      </c>
      <c r="L236" s="12">
        <f>IF(K236="~","~",IFERROR(K236-K235,K236-LOOKUP(9999999,$J$5:K235)))</f>
        <v>0</v>
      </c>
      <c r="M236" s="9"/>
      <c r="N236" s="45"/>
      <c r="O236" s="11"/>
      <c r="P236" s="9"/>
      <c r="Q236" s="9"/>
    </row>
    <row r="237" spans="1:17" x14ac:dyDescent="0.25">
      <c r="A237" s="25">
        <v>44956</v>
      </c>
      <c r="B237" s="8" t="s">
        <v>10</v>
      </c>
      <c r="C237" s="69"/>
      <c r="D237" s="12"/>
      <c r="E237" s="12"/>
      <c r="F237" s="11"/>
      <c r="G237" s="11"/>
      <c r="H237" s="11"/>
      <c r="I237" s="9"/>
      <c r="J237" s="12"/>
      <c r="K237" s="10">
        <f t="shared" si="3"/>
        <v>0</v>
      </c>
      <c r="L237" s="12">
        <f>IF(K237="~","~",IFERROR(K237-K236,K237-LOOKUP(9999999,$J$5:K236)))</f>
        <v>0</v>
      </c>
      <c r="M237" s="9"/>
      <c r="N237" s="45"/>
      <c r="O237" s="11"/>
      <c r="P237" s="9"/>
      <c r="Q237" s="9"/>
    </row>
    <row r="238" spans="1:17" x14ac:dyDescent="0.25">
      <c r="A238" s="25">
        <v>44956</v>
      </c>
      <c r="B238" s="8" t="s">
        <v>11</v>
      </c>
      <c r="C238" s="69"/>
      <c r="D238" s="12"/>
      <c r="E238" s="12"/>
      <c r="F238" s="11"/>
      <c r="G238" s="11"/>
      <c r="H238" s="11"/>
      <c r="I238" s="29"/>
      <c r="J238" s="12"/>
      <c r="K238" s="10">
        <f t="shared" si="3"/>
        <v>0</v>
      </c>
      <c r="L238" s="12">
        <f>IF(K238="~","~",IFERROR(K238-K237,K238-LOOKUP(9999999,$J$5:K237)))</f>
        <v>0</v>
      </c>
      <c r="M238" s="9"/>
      <c r="N238" s="45"/>
      <c r="O238" s="11"/>
      <c r="P238" s="9"/>
      <c r="Q238" s="9"/>
    </row>
    <row r="239" spans="1:17" x14ac:dyDescent="0.25">
      <c r="A239" s="25">
        <v>44956</v>
      </c>
      <c r="B239" s="8" t="s">
        <v>12</v>
      </c>
      <c r="C239" s="69"/>
      <c r="D239" s="12"/>
      <c r="E239" s="12"/>
      <c r="F239" s="11"/>
      <c r="G239" s="11"/>
      <c r="H239" s="11"/>
      <c r="I239" s="9"/>
      <c r="J239" s="12"/>
      <c r="K239" s="10">
        <f t="shared" si="3"/>
        <v>0</v>
      </c>
      <c r="L239" s="12">
        <f>IF(K239="~","~",IFERROR(K239-K238,K239-LOOKUP(9999999,$J$5:K238)))</f>
        <v>0</v>
      </c>
      <c r="M239" s="9"/>
      <c r="N239" s="45"/>
      <c r="O239" s="11"/>
      <c r="P239" s="9"/>
      <c r="Q239" s="9"/>
    </row>
    <row r="240" spans="1:17" x14ac:dyDescent="0.25">
      <c r="A240" s="25">
        <v>44956</v>
      </c>
      <c r="B240" s="8" t="s">
        <v>13</v>
      </c>
      <c r="C240" s="69"/>
      <c r="D240" s="12"/>
      <c r="E240" s="12"/>
      <c r="F240" s="11"/>
      <c r="G240" s="11"/>
      <c r="H240" s="11"/>
      <c r="I240" s="9"/>
      <c r="J240" s="12"/>
      <c r="K240" s="10">
        <f t="shared" si="3"/>
        <v>0</v>
      </c>
      <c r="L240" s="12">
        <f>IF(K240="~","~",IFERROR(K240-K239,K240-LOOKUP(9999999,$J$5:K239)))</f>
        <v>0</v>
      </c>
      <c r="M240" s="9"/>
      <c r="N240" s="45"/>
      <c r="O240" s="11"/>
      <c r="P240" s="9"/>
      <c r="Q240" s="9"/>
    </row>
    <row r="241" spans="1:17" x14ac:dyDescent="0.25">
      <c r="A241" s="25">
        <v>44956</v>
      </c>
      <c r="B241" s="8" t="s">
        <v>14</v>
      </c>
      <c r="C241" s="69"/>
      <c r="D241" s="12"/>
      <c r="E241" s="12"/>
      <c r="F241" s="11"/>
      <c r="G241" s="11"/>
      <c r="H241" s="11"/>
      <c r="I241" s="9"/>
      <c r="J241" s="12"/>
      <c r="K241" s="10">
        <f t="shared" si="3"/>
        <v>0</v>
      </c>
      <c r="L241" s="12">
        <f>IF(K241="~","~",IFERROR(K241-K240,K241-LOOKUP(9999999,$J$5:K240)))</f>
        <v>0</v>
      </c>
      <c r="M241" s="9"/>
      <c r="N241" s="45"/>
      <c r="O241" s="11"/>
      <c r="P241" s="9"/>
      <c r="Q241" s="9"/>
    </row>
    <row r="242" spans="1:17" x14ac:dyDescent="0.25">
      <c r="A242" s="25">
        <v>44956</v>
      </c>
      <c r="B242" s="8" t="s">
        <v>15</v>
      </c>
      <c r="C242" s="69"/>
      <c r="D242" s="12"/>
      <c r="E242" s="12"/>
      <c r="F242" s="11"/>
      <c r="G242" s="11"/>
      <c r="H242" s="11"/>
      <c r="I242" s="9"/>
      <c r="J242" s="12"/>
      <c r="K242" s="10">
        <f t="shared" si="3"/>
        <v>0</v>
      </c>
      <c r="L242" s="12">
        <f>IF(K242="~","~",IFERROR(K242-K241,K242-LOOKUP(9999999,$J$5:K241)))</f>
        <v>0</v>
      </c>
      <c r="M242" s="9"/>
      <c r="N242" s="45"/>
      <c r="O242" s="11"/>
      <c r="P242" s="9"/>
      <c r="Q242" s="9"/>
    </row>
    <row r="243" spans="1:17" x14ac:dyDescent="0.25">
      <c r="A243" s="25">
        <v>44956</v>
      </c>
      <c r="B243" s="8" t="s">
        <v>16</v>
      </c>
      <c r="C243" s="69"/>
      <c r="D243" s="12"/>
      <c r="E243" s="12"/>
      <c r="F243" s="11"/>
      <c r="G243" s="11"/>
      <c r="H243" s="11"/>
      <c r="I243" s="9"/>
      <c r="J243" s="12"/>
      <c r="K243" s="10">
        <f t="shared" si="3"/>
        <v>0</v>
      </c>
      <c r="L243" s="12">
        <f>IF(K243="~","~",IFERROR(K243-K242,K243-LOOKUP(9999999,$J$5:K242)))</f>
        <v>0</v>
      </c>
      <c r="M243" s="9"/>
      <c r="N243" s="45"/>
      <c r="O243" s="11"/>
      <c r="P243" s="9"/>
      <c r="Q243" s="9"/>
    </row>
    <row r="244" spans="1:17" x14ac:dyDescent="0.25">
      <c r="A244" s="25">
        <v>44956</v>
      </c>
      <c r="B244" s="8" t="s">
        <v>17</v>
      </c>
      <c r="C244" s="69"/>
      <c r="D244" s="12"/>
      <c r="E244" s="12"/>
      <c r="F244" s="11"/>
      <c r="G244" s="11"/>
      <c r="H244" s="11"/>
      <c r="I244" s="9"/>
      <c r="J244" s="12"/>
      <c r="K244" s="10">
        <f t="shared" si="3"/>
        <v>0</v>
      </c>
      <c r="L244" s="12">
        <f>IF(K244="~","~",IFERROR(K244-K243,K244-LOOKUP(9999999,$J$5:K243)))</f>
        <v>0</v>
      </c>
      <c r="M244" s="9"/>
      <c r="N244" s="45"/>
      <c r="O244" s="11"/>
      <c r="P244" s="9"/>
      <c r="Q244" s="9"/>
    </row>
    <row r="245" spans="1:17" x14ac:dyDescent="0.25">
      <c r="A245" s="15">
        <v>44957</v>
      </c>
      <c r="B245" s="8" t="s">
        <v>10</v>
      </c>
      <c r="C245" s="69"/>
      <c r="D245" s="76"/>
      <c r="E245" s="76"/>
      <c r="F245" s="11"/>
      <c r="G245" s="11"/>
      <c r="H245" s="11"/>
      <c r="I245" s="35"/>
      <c r="J245" s="12"/>
      <c r="K245" s="10"/>
      <c r="L245" s="12">
        <f>IF(K245="~","~",IFERROR(K245-K244,K245-LOOKUP(9999999,$J$5:K244)))</f>
        <v>0</v>
      </c>
      <c r="M245" s="9"/>
      <c r="N245" s="45"/>
      <c r="O245" s="11"/>
      <c r="P245" s="9"/>
      <c r="Q245" s="35"/>
    </row>
    <row r="246" spans="1:17" x14ac:dyDescent="0.25">
      <c r="A246" s="15">
        <v>44957</v>
      </c>
      <c r="B246" s="8" t="s">
        <v>11</v>
      </c>
      <c r="C246" s="69"/>
      <c r="D246" s="76"/>
      <c r="E246" s="76"/>
      <c r="F246" s="11"/>
      <c r="G246" s="11"/>
      <c r="H246" s="11"/>
      <c r="I246" s="35"/>
      <c r="J246" s="12"/>
      <c r="K246" s="10"/>
      <c r="L246" s="12">
        <f>IF(K246="~","~",IFERROR(K246-K245,K246-LOOKUP(9999999,$J$5:K245)))</f>
        <v>0</v>
      </c>
      <c r="M246" s="9"/>
      <c r="N246" s="45"/>
      <c r="O246" s="11"/>
      <c r="P246" s="9"/>
      <c r="Q246" s="35"/>
    </row>
    <row r="247" spans="1:17" x14ac:dyDescent="0.25">
      <c r="A247" s="15">
        <v>44957</v>
      </c>
      <c r="B247" s="8" t="s">
        <v>12</v>
      </c>
      <c r="C247" s="77"/>
      <c r="D247" s="76"/>
      <c r="E247" s="76"/>
      <c r="F247" s="11"/>
      <c r="G247" s="11"/>
      <c r="H247" s="11"/>
      <c r="I247" s="35"/>
      <c r="J247" s="76"/>
      <c r="K247" s="10"/>
      <c r="L247" s="12">
        <f>IF(K247="~","~",IFERROR(K247-K246,K247-LOOKUP(9999999,$J$5:K246)))</f>
        <v>0</v>
      </c>
      <c r="M247" s="9"/>
      <c r="N247" s="45"/>
      <c r="O247" s="11"/>
      <c r="P247" s="9"/>
      <c r="Q247" s="35"/>
    </row>
    <row r="248" spans="1:17" x14ac:dyDescent="0.25">
      <c r="A248" s="15">
        <v>44957</v>
      </c>
      <c r="B248" s="8" t="s">
        <v>13</v>
      </c>
      <c r="C248" s="77"/>
      <c r="D248" s="76"/>
      <c r="E248" s="76"/>
      <c r="F248" s="11"/>
      <c r="G248" s="11"/>
      <c r="H248" s="11"/>
      <c r="I248" s="35"/>
      <c r="J248" s="76"/>
      <c r="K248" s="10"/>
      <c r="L248" s="12">
        <f>IF(K248="~","~",IFERROR(K248-K247,K248-LOOKUP(9999999,$J$5:K247)))</f>
        <v>0</v>
      </c>
      <c r="M248" s="9"/>
      <c r="N248" s="45"/>
      <c r="O248" s="11"/>
      <c r="P248" s="9"/>
      <c r="Q248" s="35"/>
    </row>
    <row r="249" spans="1:17" x14ac:dyDescent="0.25">
      <c r="A249" s="15">
        <v>44957</v>
      </c>
      <c r="B249" s="8" t="s">
        <v>14</v>
      </c>
      <c r="C249" s="77"/>
      <c r="D249" s="76"/>
      <c r="E249" s="76"/>
      <c r="F249" s="11"/>
      <c r="G249" s="11"/>
      <c r="H249" s="11"/>
      <c r="I249" s="35"/>
      <c r="J249" s="76"/>
      <c r="K249" s="10"/>
      <c r="L249" s="12">
        <f>IF(K249="~","~",IFERROR(K249-K248,K249-LOOKUP(9999999,$J$5:K248)))</f>
        <v>0</v>
      </c>
      <c r="M249" s="9"/>
      <c r="N249" s="45"/>
      <c r="O249" s="11"/>
      <c r="P249" s="9"/>
      <c r="Q249" s="35"/>
    </row>
    <row r="250" spans="1:17" x14ac:dyDescent="0.25">
      <c r="A250" s="15">
        <v>44957</v>
      </c>
      <c r="B250" s="8" t="s">
        <v>15</v>
      </c>
      <c r="C250" s="77"/>
      <c r="D250" s="76"/>
      <c r="E250" s="76"/>
      <c r="F250" s="11"/>
      <c r="G250" s="11"/>
      <c r="H250" s="11"/>
      <c r="I250" s="35"/>
      <c r="J250" s="76"/>
      <c r="K250" s="10"/>
      <c r="L250" s="12">
        <f>IF(K250="~","~",IFERROR(K250-K249,K250-LOOKUP(9999999,$J$5:K249)))</f>
        <v>0</v>
      </c>
      <c r="M250" s="9"/>
      <c r="N250" s="45"/>
      <c r="O250" s="11"/>
      <c r="P250" s="9"/>
      <c r="Q250" s="35"/>
    </row>
    <row r="251" spans="1:17" x14ac:dyDescent="0.25">
      <c r="A251" s="15">
        <v>44957</v>
      </c>
      <c r="B251" s="8" t="s">
        <v>16</v>
      </c>
      <c r="C251" s="77"/>
      <c r="D251" s="77"/>
      <c r="E251" s="77"/>
      <c r="F251" s="11"/>
      <c r="G251" s="11"/>
      <c r="H251" s="11"/>
      <c r="I251" s="35"/>
      <c r="J251" s="76"/>
      <c r="K251" s="10"/>
      <c r="L251" s="12">
        <f>IF(K251="~","~",IFERROR(K251-K250,K251-LOOKUP(9999999,$J$5:K250)))</f>
        <v>0</v>
      </c>
      <c r="M251" s="9"/>
      <c r="N251" s="45"/>
      <c r="O251" s="11"/>
      <c r="P251" s="9"/>
      <c r="Q251" s="35"/>
    </row>
    <row r="252" spans="1:17" x14ac:dyDescent="0.25">
      <c r="A252" s="15">
        <v>44957</v>
      </c>
      <c r="B252" s="8" t="s">
        <v>17</v>
      </c>
      <c r="C252" s="77"/>
      <c r="D252" s="77"/>
      <c r="E252" s="77"/>
      <c r="F252" s="11"/>
      <c r="G252" s="11"/>
      <c r="H252" s="11"/>
      <c r="I252" s="35"/>
      <c r="J252" s="76"/>
      <c r="K252" s="10"/>
      <c r="L252" s="12">
        <f>IF(K252="~","~",IFERROR(K252-K251,K252-LOOKUP(9999999,$J$5:K251)))</f>
        <v>0</v>
      </c>
      <c r="M252" s="9"/>
      <c r="N252" s="45"/>
      <c r="O252" s="11"/>
      <c r="P252" s="9"/>
      <c r="Q252" s="35"/>
    </row>
    <row r="253" spans="1:17" x14ac:dyDescent="0.25">
      <c r="G253" s="67"/>
      <c r="H253" s="67"/>
      <c r="J253" s="66"/>
    </row>
    <row r="254" spans="1:17" x14ac:dyDescent="0.25">
      <c r="G254" s="67"/>
      <c r="H254" s="67"/>
      <c r="J254" s="66"/>
    </row>
  </sheetData>
  <mergeCells count="12">
    <mergeCell ref="I1:I3"/>
    <mergeCell ref="J1:J3"/>
    <mergeCell ref="A1:A3"/>
    <mergeCell ref="B1:B3"/>
    <mergeCell ref="C2:C3"/>
    <mergeCell ref="D2:D3"/>
    <mergeCell ref="E2:E3"/>
    <mergeCell ref="M1:M3"/>
    <mergeCell ref="N1:N3"/>
    <mergeCell ref="O1:O3"/>
    <mergeCell ref="P1:P3"/>
    <mergeCell ref="L1:L3"/>
  </mergeCells>
  <conditionalFormatting sqref="D5:E250">
    <cfRule type="cellIs" dxfId="31" priority="7" operator="greaterThanOrEqual">
      <formula>15</formula>
    </cfRule>
  </conditionalFormatting>
  <conditionalFormatting sqref="F3:H5">
    <cfRule type="cellIs" dxfId="30" priority="3" operator="lessThan">
      <formula>0</formula>
    </cfRule>
  </conditionalFormatting>
  <conditionalFormatting sqref="G1">
    <cfRule type="cellIs" dxfId="29" priority="5" operator="lessThan">
      <formula>0</formula>
    </cfRule>
  </conditionalFormatting>
  <conditionalFormatting sqref="G6:H52 F6:F252 H53:H60 G61:H254 F255:H1048576">
    <cfRule type="cellIs" dxfId="28" priority="12" operator="lessThan">
      <formula>0</formula>
    </cfRule>
  </conditionalFormatting>
  <conditionalFormatting sqref="L5:L252">
    <cfRule type="cellIs" dxfId="27" priority="1" operator="notBetween">
      <formula>30</formula>
      <formula>-30</formula>
    </cfRule>
  </conditionalFormatting>
  <conditionalFormatting sqref="O5:O152 O154:O252">
    <cfRule type="cellIs" dxfId="26" priority="2" operator="less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70AED80-6145-4B76-BE7D-443C441F179F}">
          <x14:formula1>
            <xm:f>'Сводная Круча'!$R$58:$R$73</xm:f>
          </x14:formula1>
          <xm:sqref>C4 C255:C1048576</xm:sqref>
        </x14:dataValidation>
        <x14:dataValidation type="list" allowBlank="1" showInputMessage="1" showErrorMessage="1" xr:uid="{56436B52-16B2-4B7B-B79B-8FB6C3AE2DF4}">
          <x14:formula1>
            <xm:f>'Сводная Круча'!$R$58:$R$74</xm:f>
          </x14:formula1>
          <xm:sqref>C251:C252</xm:sqref>
        </x14:dataValidation>
        <x14:dataValidation type="list" allowBlank="1" showInputMessage="1" showErrorMessage="1" xr:uid="{BFBFB21B-E2E3-463A-A201-00C9D413805A}">
          <x14:formula1>
            <xm:f>'Сводная Круча'!$R$58:$R$75</xm:f>
          </x14:formula1>
          <xm:sqref>C5:C250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80C8-7DCA-4373-8E26-0196D04623C6}">
  <sheetPr codeName="Лист2"/>
  <dimension ref="A1:R253"/>
  <sheetViews>
    <sheetView zoomScale="115" zoomScaleNormal="115" workbookViewId="0">
      <pane xSplit="2" ySplit="4" topLeftCell="C164" activePane="bottomRight" state="frozen"/>
      <selection pane="topRight" activeCell="C1" sqref="C1"/>
      <selection pane="bottomLeft" activeCell="A5" sqref="A5"/>
      <selection pane="bottomRight" activeCell="H194" sqref="H194"/>
    </sheetView>
  </sheetViews>
  <sheetFormatPr defaultRowHeight="15" x14ac:dyDescent="0.25"/>
  <cols>
    <col min="1" max="1" width="9.7109375" style="43" customWidth="1"/>
    <col min="2" max="2" width="11.5703125" customWidth="1"/>
    <col min="3" max="3" width="10.28515625" customWidth="1"/>
    <col min="4" max="5" width="10.28515625" style="3" customWidth="1"/>
    <col min="6" max="6" width="11.5703125" style="2" customWidth="1"/>
    <col min="7" max="8" width="11.140625" style="2" customWidth="1"/>
    <col min="9" max="9" width="10.28515625" customWidth="1"/>
    <col min="10" max="10" width="11.140625" style="141" customWidth="1"/>
    <col min="11" max="11" width="11.140625" customWidth="1"/>
    <col min="12" max="12" width="11.140625" style="2" customWidth="1"/>
    <col min="13" max="13" width="11.140625" customWidth="1"/>
    <col min="14" max="14" width="11.140625" style="2" customWidth="1"/>
    <col min="15" max="15" width="11.140625" style="146" customWidth="1"/>
    <col min="16" max="16" width="14.28515625" customWidth="1"/>
    <col min="17" max="17" width="11.140625" style="81" bestFit="1" customWidth="1"/>
    <col min="18" max="18" width="9.140625" style="3"/>
  </cols>
  <sheetData>
    <row r="1" spans="1:16" s="153" customFormat="1" ht="15" customHeight="1" x14ac:dyDescent="0.25">
      <c r="A1" s="152" t="s">
        <v>153</v>
      </c>
      <c r="B1" s="153" t="s">
        <v>154</v>
      </c>
      <c r="C1" s="154" t="s">
        <v>155</v>
      </c>
      <c r="D1" s="155" t="s">
        <v>156</v>
      </c>
      <c r="E1" s="156" t="s">
        <v>157</v>
      </c>
      <c r="F1" s="153" t="s">
        <v>158</v>
      </c>
      <c r="G1" s="157" t="s">
        <v>159</v>
      </c>
      <c r="H1" s="158" t="s">
        <v>160</v>
      </c>
      <c r="I1" s="159" t="s">
        <v>161</v>
      </c>
      <c r="J1" s="160" t="s">
        <v>162</v>
      </c>
      <c r="K1" s="161" t="s">
        <v>163</v>
      </c>
      <c r="L1" s="211" t="s">
        <v>164</v>
      </c>
      <c r="M1" s="159" t="s">
        <v>165</v>
      </c>
      <c r="N1" s="159" t="s">
        <v>166</v>
      </c>
      <c r="O1" s="159" t="s">
        <v>167</v>
      </c>
      <c r="P1" s="157" t="s">
        <v>168</v>
      </c>
    </row>
    <row r="2" spans="1:16" s="153" customFormat="1" ht="15" customHeight="1" x14ac:dyDescent="0.25">
      <c r="A2" s="152"/>
      <c r="C2" s="154" t="s">
        <v>2</v>
      </c>
      <c r="D2" s="155"/>
      <c r="E2" s="156"/>
      <c r="G2" s="157" t="s">
        <v>51</v>
      </c>
      <c r="H2" s="158"/>
      <c r="I2" s="159" t="s">
        <v>139</v>
      </c>
      <c r="J2" s="160" t="s">
        <v>142</v>
      </c>
      <c r="K2" s="161" t="s">
        <v>144</v>
      </c>
      <c r="L2" s="211" t="s">
        <v>145</v>
      </c>
      <c r="M2" s="159" t="s">
        <v>146</v>
      </c>
      <c r="N2" s="159" t="s">
        <v>149</v>
      </c>
      <c r="O2" s="159" t="s">
        <v>152</v>
      </c>
      <c r="P2" s="157" t="s">
        <v>48</v>
      </c>
    </row>
    <row r="3" spans="1:16" s="153" customFormat="1" x14ac:dyDescent="0.25">
      <c r="A3" s="162" t="s">
        <v>0</v>
      </c>
      <c r="B3" s="162" t="s">
        <v>1</v>
      </c>
      <c r="C3" s="159" t="s">
        <v>137</v>
      </c>
      <c r="D3" s="159" t="s">
        <v>135</v>
      </c>
      <c r="E3" s="203" t="s">
        <v>67</v>
      </c>
      <c r="G3" s="163" t="s">
        <v>54</v>
      </c>
      <c r="H3" s="164"/>
      <c r="I3" s="165" t="s">
        <v>140</v>
      </c>
      <c r="J3" s="166" t="s">
        <v>143</v>
      </c>
      <c r="K3" s="167" t="s">
        <v>143</v>
      </c>
      <c r="L3" s="212" t="s">
        <v>140</v>
      </c>
      <c r="M3" s="167" t="s">
        <v>147</v>
      </c>
      <c r="N3" s="167" t="s">
        <v>150</v>
      </c>
      <c r="O3" s="167" t="s">
        <v>150</v>
      </c>
      <c r="P3" s="179" t="s">
        <v>49</v>
      </c>
    </row>
    <row r="4" spans="1:16" s="153" customFormat="1" ht="12.75" customHeight="1" x14ac:dyDescent="0.25">
      <c r="A4" s="168"/>
      <c r="B4" s="168"/>
      <c r="C4" s="169" t="s">
        <v>138</v>
      </c>
      <c r="D4" s="169" t="s">
        <v>136</v>
      </c>
      <c r="E4" s="169" t="s">
        <v>60</v>
      </c>
      <c r="F4" s="170" t="s">
        <v>66</v>
      </c>
      <c r="G4" s="171" t="s">
        <v>67</v>
      </c>
      <c r="H4" s="170" t="s">
        <v>65</v>
      </c>
      <c r="I4" s="169" t="s">
        <v>141</v>
      </c>
      <c r="J4" s="172"/>
      <c r="K4" s="169"/>
      <c r="L4" s="213"/>
      <c r="M4" s="169" t="s">
        <v>148</v>
      </c>
      <c r="N4" s="169" t="s">
        <v>151</v>
      </c>
      <c r="O4" s="169" t="s">
        <v>151</v>
      </c>
      <c r="P4" s="180" t="s">
        <v>50</v>
      </c>
    </row>
    <row r="5" spans="1:16" x14ac:dyDescent="0.25">
      <c r="A5" s="173"/>
      <c r="B5" s="173"/>
      <c r="C5" s="173" t="s">
        <v>3</v>
      </c>
      <c r="D5" s="173" t="s">
        <v>4</v>
      </c>
      <c r="E5" s="174" t="s">
        <v>4</v>
      </c>
      <c r="F5" s="175" t="s">
        <v>5</v>
      </c>
      <c r="G5" s="175" t="s">
        <v>5</v>
      </c>
      <c r="H5" s="175" t="s">
        <v>5</v>
      </c>
      <c r="I5" s="173"/>
      <c r="J5" s="176" t="s">
        <v>6</v>
      </c>
      <c r="K5" s="173" t="s">
        <v>6</v>
      </c>
      <c r="L5" s="214" t="s">
        <v>7</v>
      </c>
      <c r="M5" s="174" t="s">
        <v>7</v>
      </c>
      <c r="N5" s="177" t="s">
        <v>8</v>
      </c>
      <c r="O5" s="162" t="s">
        <v>9</v>
      </c>
      <c r="P5" s="157"/>
    </row>
    <row r="6" spans="1:16" x14ac:dyDescent="0.25">
      <c r="A6" s="44">
        <v>44986</v>
      </c>
      <c r="B6" s="8" t="s">
        <v>10</v>
      </c>
      <c r="C6" s="1" t="s">
        <v>41</v>
      </c>
      <c r="D6" s="12">
        <v>31</v>
      </c>
      <c r="E6" s="12">
        <v>9</v>
      </c>
      <c r="F6" s="11">
        <v>-14.8</v>
      </c>
      <c r="G6" s="11"/>
      <c r="H6" s="11"/>
      <c r="I6" s="9"/>
      <c r="J6" s="1">
        <v>91</v>
      </c>
      <c r="K6" s="12">
        <v>0</v>
      </c>
      <c r="L6" s="9">
        <v>0</v>
      </c>
      <c r="M6" s="45">
        <f>IF(L6&lt;&gt;"нет",L6,0)</f>
        <v>0</v>
      </c>
      <c r="N6" s="151">
        <v>914.7</v>
      </c>
      <c r="O6" s="142">
        <v>46</v>
      </c>
      <c r="P6" s="181"/>
    </row>
    <row r="7" spans="1:16" x14ac:dyDescent="0.25">
      <c r="A7" s="44">
        <v>44986</v>
      </c>
      <c r="B7" s="12" t="s">
        <v>11</v>
      </c>
      <c r="C7" s="1" t="s">
        <v>41</v>
      </c>
      <c r="D7" s="12">
        <v>32</v>
      </c>
      <c r="E7" s="12">
        <v>12</v>
      </c>
      <c r="F7" s="11">
        <v>-14.1</v>
      </c>
      <c r="G7" s="11"/>
      <c r="H7" s="11"/>
      <c r="I7" s="9" t="s">
        <v>127</v>
      </c>
      <c r="J7" s="1">
        <v>91</v>
      </c>
      <c r="K7" s="12">
        <f>IF(J7="~","~",IFERROR(J7-J6,J7-LOOKUP(9999999,$J$6:J6)))</f>
        <v>0</v>
      </c>
      <c r="L7" s="9">
        <v>10</v>
      </c>
      <c r="M7" s="45">
        <f>IF(OR(L7="нет",L7="~"),M6,M6+L7)</f>
        <v>10</v>
      </c>
      <c r="N7" s="151">
        <v>914.8</v>
      </c>
      <c r="O7" s="142">
        <v>54</v>
      </c>
      <c r="P7" s="181"/>
    </row>
    <row r="8" spans="1:16" x14ac:dyDescent="0.25">
      <c r="A8" s="44">
        <v>44986</v>
      </c>
      <c r="B8" s="12" t="s">
        <v>12</v>
      </c>
      <c r="C8" s="1" t="s">
        <v>29</v>
      </c>
      <c r="D8" s="12">
        <v>33</v>
      </c>
      <c r="E8" s="12">
        <v>9</v>
      </c>
      <c r="F8" s="11">
        <v>-13.5</v>
      </c>
      <c r="G8" s="11"/>
      <c r="H8" s="11"/>
      <c r="I8" s="9" t="s">
        <v>127</v>
      </c>
      <c r="J8" s="1">
        <v>92</v>
      </c>
      <c r="K8" s="12">
        <f>IF(J8="~","~",IFERROR(J8-J7,J8-LOOKUP(9999999,$J$6:J7)))</f>
        <v>1</v>
      </c>
      <c r="L8" s="9">
        <v>0.1</v>
      </c>
      <c r="M8" s="45">
        <f t="shared" ref="M8:M71" si="0">IF(OR(L8="нет",L8="~"),M7,M7+L8)</f>
        <v>10.1</v>
      </c>
      <c r="N8" s="151">
        <v>915.6</v>
      </c>
      <c r="O8" s="142">
        <v>68</v>
      </c>
      <c r="P8" s="181"/>
    </row>
    <row r="9" spans="1:16" x14ac:dyDescent="0.25">
      <c r="A9" s="44">
        <v>44986</v>
      </c>
      <c r="B9" s="12" t="s">
        <v>13</v>
      </c>
      <c r="C9" s="1" t="s">
        <v>29</v>
      </c>
      <c r="D9" s="12">
        <v>34</v>
      </c>
      <c r="E9" s="12">
        <v>10</v>
      </c>
      <c r="F9" s="11">
        <v>-13.9</v>
      </c>
      <c r="G9" s="11"/>
      <c r="H9" s="11"/>
      <c r="I9" s="9" t="s">
        <v>127</v>
      </c>
      <c r="J9" s="1">
        <v>91</v>
      </c>
      <c r="K9" s="12">
        <f>IF(J9="~","~",IFERROR(J9-J8,J9-LOOKUP(9999999,$J$6:J8)))</f>
        <v>-1</v>
      </c>
      <c r="L9" s="9">
        <v>0.2</v>
      </c>
      <c r="M9" s="45">
        <f t="shared" si="0"/>
        <v>10.299999999999999</v>
      </c>
      <c r="N9" s="151">
        <v>916.6</v>
      </c>
      <c r="O9" s="142">
        <v>67</v>
      </c>
      <c r="P9" s="181"/>
    </row>
    <row r="10" spans="1:16" x14ac:dyDescent="0.25">
      <c r="A10" s="44">
        <v>44986</v>
      </c>
      <c r="B10" s="12" t="s">
        <v>14</v>
      </c>
      <c r="C10" s="1" t="s">
        <v>29</v>
      </c>
      <c r="D10" s="12">
        <v>35</v>
      </c>
      <c r="E10" s="12">
        <v>9</v>
      </c>
      <c r="F10" s="11">
        <v>-13.2</v>
      </c>
      <c r="G10" s="11"/>
      <c r="H10" s="11"/>
      <c r="I10" s="9" t="s">
        <v>127</v>
      </c>
      <c r="J10" s="1">
        <v>90</v>
      </c>
      <c r="K10" s="12">
        <f>IF(J10="~","~",IFERROR(J10-J9,J10-LOOKUP(9999999,$J$6:J9)))</f>
        <v>-1</v>
      </c>
      <c r="L10" s="9">
        <v>0.3</v>
      </c>
      <c r="M10" s="45">
        <f t="shared" si="0"/>
        <v>10.6</v>
      </c>
      <c r="N10" s="151">
        <v>917.1</v>
      </c>
      <c r="O10" s="142">
        <v>58</v>
      </c>
      <c r="P10" s="181"/>
    </row>
    <row r="11" spans="1:16" x14ac:dyDescent="0.25">
      <c r="A11" s="44">
        <v>44986</v>
      </c>
      <c r="B11" s="12" t="s">
        <v>15</v>
      </c>
      <c r="C11" s="1" t="s">
        <v>41</v>
      </c>
      <c r="D11" s="12">
        <v>36</v>
      </c>
      <c r="E11" s="12">
        <v>7</v>
      </c>
      <c r="F11" s="11">
        <v>-12.8</v>
      </c>
      <c r="G11" s="11"/>
      <c r="H11" s="11"/>
      <c r="I11" s="9"/>
      <c r="J11" s="1">
        <v>91</v>
      </c>
      <c r="K11" s="12">
        <f>IF(J11="~","~",IFERROR(J11-J10,J11-LOOKUP(9999999,$J$6:J10)))</f>
        <v>1</v>
      </c>
      <c r="L11" s="9">
        <v>0.2</v>
      </c>
      <c r="M11" s="45">
        <f t="shared" si="0"/>
        <v>10.799999999999999</v>
      </c>
      <c r="N11" s="151">
        <v>916.4</v>
      </c>
      <c r="O11" s="142">
        <v>46</v>
      </c>
      <c r="P11" s="181"/>
    </row>
    <row r="12" spans="1:16" x14ac:dyDescent="0.25">
      <c r="A12" s="44">
        <v>44986</v>
      </c>
      <c r="B12" s="12" t="s">
        <v>16</v>
      </c>
      <c r="C12" s="1" t="s">
        <v>41</v>
      </c>
      <c r="D12" s="12">
        <v>37</v>
      </c>
      <c r="E12" s="12">
        <v>2</v>
      </c>
      <c r="F12" s="11">
        <v>-13.3</v>
      </c>
      <c r="G12" s="11"/>
      <c r="H12" s="11"/>
      <c r="I12" s="9"/>
      <c r="J12" s="1">
        <v>91</v>
      </c>
      <c r="K12" s="12">
        <f>IF(J12="~","~",IFERROR(J12-J11,J12-LOOKUP(9999999,$J$6:J11)))</f>
        <v>0</v>
      </c>
      <c r="L12" s="9">
        <v>0.5</v>
      </c>
      <c r="M12" s="45">
        <f t="shared" si="0"/>
        <v>11.299999999999999</v>
      </c>
      <c r="N12" s="151">
        <v>916.5</v>
      </c>
      <c r="O12" s="142">
        <v>49</v>
      </c>
      <c r="P12" s="181"/>
    </row>
    <row r="13" spans="1:16" x14ac:dyDescent="0.25">
      <c r="A13" s="44">
        <v>44986</v>
      </c>
      <c r="B13" s="12" t="s">
        <v>17</v>
      </c>
      <c r="C13" s="69" t="s">
        <v>41</v>
      </c>
      <c r="D13" s="12">
        <v>38</v>
      </c>
      <c r="E13" s="12">
        <v>7</v>
      </c>
      <c r="F13" s="11">
        <v>-13.5</v>
      </c>
      <c r="G13" s="11"/>
      <c r="H13" s="11"/>
      <c r="I13" s="9"/>
      <c r="J13" s="1">
        <v>91</v>
      </c>
      <c r="K13" s="12">
        <f>IF(J13="~","~",IFERROR(J13-J12,J13-LOOKUP(9999999,$J$6:J12)))</f>
        <v>0</v>
      </c>
      <c r="L13" s="9">
        <v>0.6</v>
      </c>
      <c r="M13" s="45">
        <f t="shared" si="0"/>
        <v>11.899999999999999</v>
      </c>
      <c r="N13" s="151">
        <v>916.8</v>
      </c>
      <c r="O13" s="142">
        <v>60</v>
      </c>
      <c r="P13" s="181"/>
    </row>
    <row r="14" spans="1:16" x14ac:dyDescent="0.25">
      <c r="A14" s="46">
        <v>44987</v>
      </c>
      <c r="B14" s="8" t="s">
        <v>10</v>
      </c>
      <c r="C14" s="69" t="s">
        <v>41</v>
      </c>
      <c r="D14" s="12">
        <v>39</v>
      </c>
      <c r="E14" s="12">
        <v>10</v>
      </c>
      <c r="F14" s="11">
        <v>-13.6</v>
      </c>
      <c r="G14" s="11"/>
      <c r="H14" s="11"/>
      <c r="I14" s="9" t="s">
        <v>127</v>
      </c>
      <c r="J14" s="1">
        <v>91</v>
      </c>
      <c r="K14" s="12">
        <f>IF(J14="~","~",IFERROR(J14-J13,J14-LOOKUP(9999999,$J$6:J13)))</f>
        <v>0</v>
      </c>
      <c r="L14" s="9">
        <v>0.1</v>
      </c>
      <c r="M14" s="45">
        <f t="shared" si="0"/>
        <v>11.999999999999998</v>
      </c>
      <c r="N14" s="151">
        <v>917.3</v>
      </c>
      <c r="O14" s="142">
        <v>68</v>
      </c>
      <c r="P14" s="181"/>
    </row>
    <row r="15" spans="1:16" x14ac:dyDescent="0.25">
      <c r="A15" s="46">
        <v>44987</v>
      </c>
      <c r="B15" s="12" t="s">
        <v>11</v>
      </c>
      <c r="C15" s="69" t="s">
        <v>41</v>
      </c>
      <c r="D15" s="12">
        <v>40</v>
      </c>
      <c r="E15" s="12">
        <v>10</v>
      </c>
      <c r="F15" s="11">
        <v>-14.6</v>
      </c>
      <c r="G15" s="11"/>
      <c r="H15" s="11"/>
      <c r="I15" s="9" t="s">
        <v>127</v>
      </c>
      <c r="J15" s="1">
        <v>90</v>
      </c>
      <c r="K15" s="12">
        <f>IF(J15="~","~",IFERROR(J15-J14,J15-LOOKUP(9999999,$J$6:J14)))</f>
        <v>-1</v>
      </c>
      <c r="L15" s="9">
        <v>0.85</v>
      </c>
      <c r="M15" s="45">
        <f t="shared" si="0"/>
        <v>12.849999999999998</v>
      </c>
      <c r="N15" s="151">
        <v>918.2</v>
      </c>
      <c r="O15" s="142">
        <v>66</v>
      </c>
      <c r="P15" s="181"/>
    </row>
    <row r="16" spans="1:16" x14ac:dyDescent="0.25">
      <c r="A16" s="46">
        <v>44987</v>
      </c>
      <c r="B16" s="12" t="s">
        <v>12</v>
      </c>
      <c r="C16" s="69" t="s">
        <v>41</v>
      </c>
      <c r="D16" s="12">
        <v>3</v>
      </c>
      <c r="E16" s="12">
        <v>11</v>
      </c>
      <c r="F16" s="11">
        <v>-15.8</v>
      </c>
      <c r="G16" s="11"/>
      <c r="H16" s="11"/>
      <c r="I16" s="9" t="s">
        <v>127</v>
      </c>
      <c r="J16" s="1">
        <v>90</v>
      </c>
      <c r="K16" s="12">
        <f>IF(J16="~","~",IFERROR(J16-J15,J16-LOOKUP(9999999,$J$6:J15)))</f>
        <v>0</v>
      </c>
      <c r="L16" s="9"/>
      <c r="M16" s="45">
        <f t="shared" si="0"/>
        <v>12.849999999999998</v>
      </c>
      <c r="N16" s="151">
        <v>919.1</v>
      </c>
      <c r="O16" s="142">
        <v>55</v>
      </c>
      <c r="P16" s="181"/>
    </row>
    <row r="17" spans="1:16" x14ac:dyDescent="0.25">
      <c r="A17" s="46">
        <v>44987</v>
      </c>
      <c r="B17" s="12" t="s">
        <v>13</v>
      </c>
      <c r="C17" s="69" t="s">
        <v>41</v>
      </c>
      <c r="D17" s="12">
        <v>10</v>
      </c>
      <c r="E17" s="12">
        <v>13</v>
      </c>
      <c r="F17" s="11">
        <v>-16.7</v>
      </c>
      <c r="G17" s="11"/>
      <c r="H17" s="11"/>
      <c r="I17" s="9" t="s">
        <v>127</v>
      </c>
      <c r="J17" s="1">
        <v>89</v>
      </c>
      <c r="K17" s="12">
        <f>IF(J17="~","~",IFERROR(J17-J16,J17-LOOKUP(9999999,$J$6:J16)))</f>
        <v>-1</v>
      </c>
      <c r="L17" s="9"/>
      <c r="M17" s="45">
        <f t="shared" si="0"/>
        <v>12.849999999999998</v>
      </c>
      <c r="N17" s="151">
        <v>921.6</v>
      </c>
      <c r="O17" s="142">
        <v>54</v>
      </c>
      <c r="P17" s="181"/>
    </row>
    <row r="18" spans="1:16" x14ac:dyDescent="0.25">
      <c r="A18" s="46">
        <v>44987</v>
      </c>
      <c r="B18" s="12" t="s">
        <v>14</v>
      </c>
      <c r="C18" s="69" t="s">
        <v>41</v>
      </c>
      <c r="D18" s="12">
        <v>17</v>
      </c>
      <c r="E18" s="12">
        <v>13</v>
      </c>
      <c r="F18" s="11">
        <v>-15.6</v>
      </c>
      <c r="G18" s="11"/>
      <c r="H18" s="11"/>
      <c r="I18" s="9" t="s">
        <v>127</v>
      </c>
      <c r="J18" s="1">
        <v>90</v>
      </c>
      <c r="K18" s="12">
        <f>IF(J18="~","~",IFERROR(J18-J17,J18-LOOKUP(9999999,$J$6:J17)))</f>
        <v>1</v>
      </c>
      <c r="L18" s="9">
        <v>0.5</v>
      </c>
      <c r="M18" s="45">
        <f t="shared" si="0"/>
        <v>13.349999999999998</v>
      </c>
      <c r="N18" s="151">
        <v>924.5</v>
      </c>
      <c r="O18" s="142">
        <v>53</v>
      </c>
      <c r="P18" s="181"/>
    </row>
    <row r="19" spans="1:16" x14ac:dyDescent="0.25">
      <c r="A19" s="46">
        <v>44987</v>
      </c>
      <c r="B19" s="12" t="s">
        <v>15</v>
      </c>
      <c r="C19" s="69" t="s">
        <v>41</v>
      </c>
      <c r="D19" s="12">
        <v>7</v>
      </c>
      <c r="E19" s="12">
        <v>10</v>
      </c>
      <c r="F19" s="11">
        <v>-14.6</v>
      </c>
      <c r="G19" s="11"/>
      <c r="H19" s="11"/>
      <c r="I19" s="9" t="s">
        <v>127</v>
      </c>
      <c r="J19" s="1">
        <v>90</v>
      </c>
      <c r="K19" s="12">
        <f>IF(J19="~","~",IFERROR(J19-J18,J19-LOOKUP(9999999,$J$6:J18)))</f>
        <v>0</v>
      </c>
      <c r="L19" s="9">
        <v>0.6</v>
      </c>
      <c r="M19" s="45">
        <f t="shared" si="0"/>
        <v>13.949999999999998</v>
      </c>
      <c r="N19" s="151">
        <v>926.1</v>
      </c>
      <c r="O19" s="142">
        <v>52</v>
      </c>
      <c r="P19" s="181"/>
    </row>
    <row r="20" spans="1:16" x14ac:dyDescent="0.25">
      <c r="A20" s="46">
        <v>44987</v>
      </c>
      <c r="B20" s="12" t="s">
        <v>16</v>
      </c>
      <c r="C20" s="69" t="s">
        <v>41</v>
      </c>
      <c r="D20" s="12">
        <v>18</v>
      </c>
      <c r="E20" s="12">
        <v>17</v>
      </c>
      <c r="F20" s="11">
        <v>-13.9</v>
      </c>
      <c r="G20" s="11"/>
      <c r="H20" s="11"/>
      <c r="I20" s="9" t="s">
        <v>127</v>
      </c>
      <c r="J20" s="1">
        <v>91</v>
      </c>
      <c r="K20" s="12">
        <f>IF(J20="~","~",IFERROR(J20-J19,J20-LOOKUP(9999999,$J$6:J19)))</f>
        <v>1</v>
      </c>
      <c r="L20" s="9">
        <v>0.5</v>
      </c>
      <c r="M20" s="45">
        <f t="shared" si="0"/>
        <v>14.449999999999998</v>
      </c>
      <c r="N20" s="151">
        <v>928.1</v>
      </c>
      <c r="O20" s="142">
        <v>60</v>
      </c>
      <c r="P20" s="181"/>
    </row>
    <row r="21" spans="1:16" x14ac:dyDescent="0.25">
      <c r="A21" s="46">
        <v>44987</v>
      </c>
      <c r="B21" s="12" t="s">
        <v>17</v>
      </c>
      <c r="C21" s="69" t="s">
        <v>41</v>
      </c>
      <c r="D21" s="12">
        <v>19</v>
      </c>
      <c r="E21" s="12">
        <v>10</v>
      </c>
      <c r="F21" s="11">
        <v>-14.5</v>
      </c>
      <c r="G21" s="11"/>
      <c r="H21" s="11"/>
      <c r="I21" s="9" t="s">
        <v>127</v>
      </c>
      <c r="J21" s="1">
        <v>91</v>
      </c>
      <c r="K21" s="12">
        <f>IF(J21="~","~",IFERROR(J21-J20,J21-LOOKUP(9999999,$J$6:J20)))</f>
        <v>0</v>
      </c>
      <c r="L21" s="9">
        <v>6</v>
      </c>
      <c r="M21" s="45">
        <f t="shared" si="0"/>
        <v>20.449999999999996</v>
      </c>
      <c r="N21" s="151">
        <v>931.1</v>
      </c>
      <c r="O21" s="142">
        <v>48</v>
      </c>
      <c r="P21" s="181"/>
    </row>
    <row r="22" spans="1:16" x14ac:dyDescent="0.25">
      <c r="A22" s="47">
        <v>44988</v>
      </c>
      <c r="B22" s="8" t="s">
        <v>10</v>
      </c>
      <c r="C22" s="69" t="s">
        <v>41</v>
      </c>
      <c r="D22" s="12">
        <v>20</v>
      </c>
      <c r="E22" s="12">
        <v>7</v>
      </c>
      <c r="F22" s="11">
        <v>-14.6</v>
      </c>
      <c r="G22" s="11"/>
      <c r="H22" s="11"/>
      <c r="I22" s="9"/>
      <c r="J22" s="1">
        <v>90</v>
      </c>
      <c r="K22" s="12">
        <f>IF(J22="~","~",IFERROR(J22-J21,J22-LOOKUP(9999999,$J$6:J21)))</f>
        <v>-1</v>
      </c>
      <c r="L22" s="9">
        <v>5.2</v>
      </c>
      <c r="M22" s="45">
        <f t="shared" si="0"/>
        <v>25.649999999999995</v>
      </c>
      <c r="N22" s="151">
        <v>932.7</v>
      </c>
      <c r="O22" s="142">
        <v>45</v>
      </c>
      <c r="P22" s="181"/>
    </row>
    <row r="23" spans="1:16" x14ac:dyDescent="0.25">
      <c r="A23" s="47">
        <v>44988</v>
      </c>
      <c r="B23" s="8" t="s">
        <v>11</v>
      </c>
      <c r="C23" s="69" t="s">
        <v>41</v>
      </c>
      <c r="D23" s="12">
        <v>21</v>
      </c>
      <c r="E23" s="12">
        <v>6</v>
      </c>
      <c r="F23" s="11">
        <v>-13.6</v>
      </c>
      <c r="G23" s="11"/>
      <c r="H23" s="11"/>
      <c r="I23" s="9"/>
      <c r="J23" s="1">
        <v>91</v>
      </c>
      <c r="K23" s="12">
        <f>IF(J23="~","~",IFERROR(J23-J22,J23-LOOKUP(9999999,$J$6:J22)))</f>
        <v>1</v>
      </c>
      <c r="L23" s="9"/>
      <c r="M23" s="45">
        <f t="shared" si="0"/>
        <v>25.649999999999995</v>
      </c>
      <c r="N23" s="151">
        <v>932.3</v>
      </c>
      <c r="O23" s="142">
        <v>41</v>
      </c>
      <c r="P23" s="181"/>
    </row>
    <row r="24" spans="1:16" x14ac:dyDescent="0.25">
      <c r="A24" s="47">
        <v>44988</v>
      </c>
      <c r="B24" s="8" t="s">
        <v>12</v>
      </c>
      <c r="C24" s="69" t="s">
        <v>41</v>
      </c>
      <c r="D24" s="12">
        <v>22</v>
      </c>
      <c r="E24" s="12">
        <v>8</v>
      </c>
      <c r="F24" s="11">
        <v>-12.8</v>
      </c>
      <c r="G24" s="11"/>
      <c r="H24" s="11"/>
      <c r="I24" s="9"/>
      <c r="J24" s="1">
        <v>91</v>
      </c>
      <c r="K24" s="12">
        <f>IF(J24="~","~",IFERROR(J24-J23,J24-LOOKUP(9999999,$J$6:J23)))</f>
        <v>0</v>
      </c>
      <c r="L24" s="9">
        <v>0.5</v>
      </c>
      <c r="M24" s="45">
        <f t="shared" si="0"/>
        <v>26.149999999999995</v>
      </c>
      <c r="N24" s="151">
        <v>930.7</v>
      </c>
      <c r="O24" s="142">
        <v>38</v>
      </c>
      <c r="P24" s="181"/>
    </row>
    <row r="25" spans="1:16" x14ac:dyDescent="0.25">
      <c r="A25" s="47">
        <v>44988</v>
      </c>
      <c r="B25" s="8" t="s">
        <v>13</v>
      </c>
      <c r="C25" s="69" t="s">
        <v>41</v>
      </c>
      <c r="D25" s="12">
        <v>23</v>
      </c>
      <c r="E25" s="12">
        <v>7</v>
      </c>
      <c r="F25" s="11">
        <v>-12.4</v>
      </c>
      <c r="G25" s="11"/>
      <c r="H25" s="11"/>
      <c r="I25" s="9"/>
      <c r="J25" s="1">
        <v>92</v>
      </c>
      <c r="K25" s="12">
        <f>IF(J25="~","~",IFERROR(J25-J24,J25-LOOKUP(9999999,$J$6:J24)))</f>
        <v>1</v>
      </c>
      <c r="L25" s="9"/>
      <c r="M25" s="45">
        <f t="shared" si="0"/>
        <v>26.149999999999995</v>
      </c>
      <c r="N25" s="151">
        <v>929.5</v>
      </c>
      <c r="O25" s="142">
        <v>39</v>
      </c>
      <c r="P25" s="181"/>
    </row>
    <row r="26" spans="1:16" x14ac:dyDescent="0.25">
      <c r="A26" s="47">
        <v>44988</v>
      </c>
      <c r="B26" s="8" t="s">
        <v>14</v>
      </c>
      <c r="C26" s="69" t="s">
        <v>41</v>
      </c>
      <c r="D26" s="12">
        <v>24</v>
      </c>
      <c r="E26" s="12">
        <v>2</v>
      </c>
      <c r="F26" s="11">
        <v>-12.3</v>
      </c>
      <c r="G26" s="11"/>
      <c r="H26" s="11"/>
      <c r="I26" s="9"/>
      <c r="J26" s="1">
        <v>92</v>
      </c>
      <c r="K26" s="12">
        <f>IF(J26="~","~",IFERROR(J26-J25,J26-LOOKUP(9999999,$J$6:J25)))</f>
        <v>0</v>
      </c>
      <c r="L26" s="9"/>
      <c r="M26" s="45">
        <f t="shared" si="0"/>
        <v>26.149999999999995</v>
      </c>
      <c r="N26" s="151">
        <v>927.9</v>
      </c>
      <c r="O26" s="142">
        <v>49</v>
      </c>
      <c r="P26" s="181"/>
    </row>
    <row r="27" spans="1:16" x14ac:dyDescent="0.25">
      <c r="A27" s="47">
        <v>44988</v>
      </c>
      <c r="B27" s="8" t="s">
        <v>15</v>
      </c>
      <c r="C27" s="69" t="s">
        <v>41</v>
      </c>
      <c r="D27" s="12">
        <v>25</v>
      </c>
      <c r="E27" s="12">
        <v>1</v>
      </c>
      <c r="F27" s="11">
        <v>-11.6</v>
      </c>
      <c r="G27" s="11"/>
      <c r="H27" s="11"/>
      <c r="I27" s="9"/>
      <c r="J27" s="1">
        <v>92</v>
      </c>
      <c r="K27" s="12">
        <f>IF(J27="~","~",IFERROR(J27-J26,J27-LOOKUP(9999999,$J$6:J26)))</f>
        <v>0</v>
      </c>
      <c r="L27" s="9"/>
      <c r="M27" s="45">
        <f t="shared" si="0"/>
        <v>26.149999999999995</v>
      </c>
      <c r="N27" s="151">
        <v>925</v>
      </c>
      <c r="O27" s="142">
        <v>46</v>
      </c>
      <c r="P27" s="181"/>
    </row>
    <row r="28" spans="1:16" x14ac:dyDescent="0.25">
      <c r="A28" s="47">
        <v>44988</v>
      </c>
      <c r="B28" s="8" t="s">
        <v>16</v>
      </c>
      <c r="C28" s="69" t="s">
        <v>41</v>
      </c>
      <c r="D28" s="12">
        <v>26</v>
      </c>
      <c r="E28" s="12">
        <v>2</v>
      </c>
      <c r="F28" s="11">
        <v>-13</v>
      </c>
      <c r="G28" s="11"/>
      <c r="H28" s="11"/>
      <c r="I28" s="9" t="s">
        <v>130</v>
      </c>
      <c r="J28" s="1">
        <v>90</v>
      </c>
      <c r="K28" s="12">
        <f>IF(J28="~","~",IFERROR(J28-J27,J28-LOOKUP(9999999,$J$6:J27)))</f>
        <v>-2</v>
      </c>
      <c r="L28" s="9"/>
      <c r="M28" s="45">
        <f t="shared" si="0"/>
        <v>26.149999999999995</v>
      </c>
      <c r="N28" s="151">
        <v>922.9</v>
      </c>
      <c r="O28" s="142">
        <v>76</v>
      </c>
      <c r="P28" s="181"/>
    </row>
    <row r="29" spans="1:16" x14ac:dyDescent="0.25">
      <c r="A29" s="47">
        <v>44988</v>
      </c>
      <c r="B29" s="8" t="s">
        <v>17</v>
      </c>
      <c r="C29" s="69" t="s">
        <v>43</v>
      </c>
      <c r="D29" s="12">
        <v>27</v>
      </c>
      <c r="E29" s="12">
        <v>3</v>
      </c>
      <c r="F29" s="11">
        <v>-12.3</v>
      </c>
      <c r="G29" s="11"/>
      <c r="H29" s="11"/>
      <c r="I29" s="9" t="s">
        <v>130</v>
      </c>
      <c r="J29" s="1">
        <v>91</v>
      </c>
      <c r="K29" s="12">
        <f>IF(J29="~","~",IFERROR(J29-J28,J29-LOOKUP(9999999,$J$6:J28)))</f>
        <v>1</v>
      </c>
      <c r="L29" s="9"/>
      <c r="M29" s="45">
        <f t="shared" si="0"/>
        <v>26.149999999999995</v>
      </c>
      <c r="N29" s="151">
        <v>921.6</v>
      </c>
      <c r="O29" s="142">
        <v>79</v>
      </c>
      <c r="P29" s="181"/>
    </row>
    <row r="30" spans="1:16" x14ac:dyDescent="0.25">
      <c r="A30" s="48">
        <v>44989</v>
      </c>
      <c r="B30" s="8" t="s">
        <v>10</v>
      </c>
      <c r="C30" s="69" t="s">
        <v>43</v>
      </c>
      <c r="D30" s="12">
        <v>28</v>
      </c>
      <c r="E30" s="12">
        <v>3</v>
      </c>
      <c r="F30" s="11">
        <v>-12.1</v>
      </c>
      <c r="G30" s="11"/>
      <c r="H30" s="11"/>
      <c r="I30" s="9" t="s">
        <v>130</v>
      </c>
      <c r="J30" s="1">
        <v>92</v>
      </c>
      <c r="K30" s="12">
        <f>IF(J30="~","~",IFERROR(J30-J29,J30-LOOKUP(9999999,$J$6:J29)))</f>
        <v>1</v>
      </c>
      <c r="L30" s="9"/>
      <c r="M30" s="45">
        <f t="shared" si="0"/>
        <v>26.149999999999995</v>
      </c>
      <c r="N30" s="151">
        <v>920.2</v>
      </c>
      <c r="O30" s="142">
        <v>73</v>
      </c>
      <c r="P30" s="181"/>
    </row>
    <row r="31" spans="1:16" x14ac:dyDescent="0.25">
      <c r="A31" s="48">
        <v>44989</v>
      </c>
      <c r="B31" s="8" t="s">
        <v>11</v>
      </c>
      <c r="C31" s="69" t="s">
        <v>43</v>
      </c>
      <c r="D31" s="12">
        <v>29</v>
      </c>
      <c r="E31" s="12">
        <v>6</v>
      </c>
      <c r="F31" s="11">
        <v>-12.8</v>
      </c>
      <c r="G31" s="11"/>
      <c r="H31" s="11"/>
      <c r="I31" s="9"/>
      <c r="J31" s="1">
        <v>92</v>
      </c>
      <c r="K31" s="12">
        <f>IF(J31="~","~",IFERROR(J31-J30,J31-LOOKUP(9999999,$J$6:J30)))</f>
        <v>0</v>
      </c>
      <c r="L31" s="9"/>
      <c r="M31" s="45">
        <f t="shared" si="0"/>
        <v>26.149999999999995</v>
      </c>
      <c r="N31" s="151">
        <v>920.3</v>
      </c>
      <c r="O31" s="142">
        <v>69</v>
      </c>
      <c r="P31" s="181"/>
    </row>
    <row r="32" spans="1:16" x14ac:dyDescent="0.25">
      <c r="A32" s="48">
        <v>44989</v>
      </c>
      <c r="B32" s="8" t="s">
        <v>12</v>
      </c>
      <c r="C32" s="69" t="s">
        <v>43</v>
      </c>
      <c r="D32" s="12">
        <v>30</v>
      </c>
      <c r="E32" s="12">
        <v>13</v>
      </c>
      <c r="F32" s="11">
        <v>-12.9</v>
      </c>
      <c r="G32" s="11"/>
      <c r="H32" s="11"/>
      <c r="I32" s="9" t="s">
        <v>127</v>
      </c>
      <c r="J32" s="1">
        <v>90</v>
      </c>
      <c r="K32" s="12">
        <f>IF(J32="~","~",IFERROR(J32-J31,J32-LOOKUP(9999999,$J$6:J31)))</f>
        <v>-2</v>
      </c>
      <c r="L32" s="9"/>
      <c r="M32" s="45">
        <f t="shared" si="0"/>
        <v>26.149999999999995</v>
      </c>
      <c r="N32" s="151">
        <v>920.5</v>
      </c>
      <c r="O32" s="142">
        <v>68</v>
      </c>
      <c r="P32" s="181"/>
    </row>
    <row r="33" spans="1:16" x14ac:dyDescent="0.25">
      <c r="A33" s="48">
        <v>44989</v>
      </c>
      <c r="B33" s="8" t="s">
        <v>13</v>
      </c>
      <c r="C33" s="69" t="s">
        <v>43</v>
      </c>
      <c r="D33" s="12">
        <v>8</v>
      </c>
      <c r="E33" s="12">
        <v>12</v>
      </c>
      <c r="F33" s="11">
        <v>-15.5</v>
      </c>
      <c r="G33" s="11"/>
      <c r="H33" s="11"/>
      <c r="I33" s="9" t="s">
        <v>127</v>
      </c>
      <c r="J33" s="1">
        <v>90</v>
      </c>
      <c r="K33" s="12">
        <f>IF(J33="~","~",IFERROR(J33-J32,J33-LOOKUP(9999999,$J$6:J32)))</f>
        <v>0</v>
      </c>
      <c r="L33" s="9"/>
      <c r="M33" s="45">
        <f t="shared" si="0"/>
        <v>26.149999999999995</v>
      </c>
      <c r="N33" s="151">
        <v>921.5</v>
      </c>
      <c r="O33" s="142">
        <v>64</v>
      </c>
      <c r="P33" s="181"/>
    </row>
    <row r="34" spans="1:16" x14ac:dyDescent="0.25">
      <c r="A34" s="48">
        <v>44989</v>
      </c>
      <c r="B34" s="8" t="s">
        <v>14</v>
      </c>
      <c r="C34" s="69" t="s">
        <v>43</v>
      </c>
      <c r="D34" s="12">
        <v>9</v>
      </c>
      <c r="E34" s="12">
        <v>18</v>
      </c>
      <c r="F34" s="11">
        <v>-16</v>
      </c>
      <c r="G34" s="11"/>
      <c r="H34" s="11"/>
      <c r="I34" s="9" t="s">
        <v>127</v>
      </c>
      <c r="J34" s="1">
        <v>89</v>
      </c>
      <c r="K34" s="12">
        <f>IF(J34="~","~",IFERROR(J34-J33,J34-LOOKUP(9999999,$J$6:J33)))</f>
        <v>-1</v>
      </c>
      <c r="L34" s="9">
        <v>1</v>
      </c>
      <c r="M34" s="45">
        <f t="shared" si="0"/>
        <v>27.149999999999995</v>
      </c>
      <c r="N34" s="151">
        <v>921.6</v>
      </c>
      <c r="O34" s="142">
        <v>67</v>
      </c>
      <c r="P34" s="181"/>
    </row>
    <row r="35" spans="1:16" x14ac:dyDescent="0.25">
      <c r="A35" s="48">
        <v>44989</v>
      </c>
      <c r="B35" s="8" t="s">
        <v>15</v>
      </c>
      <c r="C35" s="69" t="s">
        <v>43</v>
      </c>
      <c r="D35" s="12">
        <v>9</v>
      </c>
      <c r="E35" s="12">
        <v>15</v>
      </c>
      <c r="F35" s="11">
        <v>-15</v>
      </c>
      <c r="G35" s="11"/>
      <c r="H35" s="11"/>
      <c r="I35" s="9" t="s">
        <v>127</v>
      </c>
      <c r="J35" s="1">
        <v>89</v>
      </c>
      <c r="K35" s="12">
        <f>IF(J35="~","~",IFERROR(J35-J34,J35-LOOKUP(9999999,$J$6:J34)))</f>
        <v>0</v>
      </c>
      <c r="L35" s="9"/>
      <c r="M35" s="45">
        <f t="shared" si="0"/>
        <v>27.149999999999995</v>
      </c>
      <c r="N35" s="151">
        <v>921.4</v>
      </c>
      <c r="O35" s="142">
        <v>64</v>
      </c>
      <c r="P35" s="181"/>
    </row>
    <row r="36" spans="1:16" x14ac:dyDescent="0.25">
      <c r="A36" s="48">
        <v>44989</v>
      </c>
      <c r="B36" s="8" t="s">
        <v>16</v>
      </c>
      <c r="C36" s="69" t="s">
        <v>43</v>
      </c>
      <c r="D36" s="12">
        <v>9</v>
      </c>
      <c r="E36" s="12">
        <v>14</v>
      </c>
      <c r="F36" s="11">
        <v>-14.7</v>
      </c>
      <c r="G36" s="11"/>
      <c r="H36" s="11"/>
      <c r="I36" s="9"/>
      <c r="J36" s="1">
        <v>89</v>
      </c>
      <c r="K36" s="12">
        <f>IF(J36="~","~",IFERROR(J36-J35,J36-LOOKUP(9999999,$J$6:J35)))</f>
        <v>0</v>
      </c>
      <c r="L36" s="9"/>
      <c r="M36" s="45">
        <f t="shared" si="0"/>
        <v>27.149999999999995</v>
      </c>
      <c r="N36" s="151">
        <v>922.3</v>
      </c>
      <c r="O36" s="142">
        <v>55</v>
      </c>
      <c r="P36" s="181"/>
    </row>
    <row r="37" spans="1:16" x14ac:dyDescent="0.25">
      <c r="A37" s="48">
        <v>44989</v>
      </c>
      <c r="B37" s="8" t="s">
        <v>17</v>
      </c>
      <c r="C37" s="69" t="s">
        <v>42</v>
      </c>
      <c r="D37" s="12">
        <v>2</v>
      </c>
      <c r="E37" s="12">
        <v>4</v>
      </c>
      <c r="F37" s="11">
        <v>-15.7</v>
      </c>
      <c r="G37" s="11"/>
      <c r="H37" s="11"/>
      <c r="I37" s="9"/>
      <c r="J37" s="1">
        <v>90</v>
      </c>
      <c r="K37" s="12">
        <f>IF(J37="~","~",IFERROR(J37-J36,J37-LOOKUP(9999999,$J$6:J36)))</f>
        <v>1</v>
      </c>
      <c r="L37" s="9"/>
      <c r="M37" s="45">
        <f t="shared" si="0"/>
        <v>27.149999999999995</v>
      </c>
      <c r="N37" s="151">
        <v>923.5</v>
      </c>
      <c r="O37" s="142">
        <v>50</v>
      </c>
      <c r="P37" s="181"/>
    </row>
    <row r="38" spans="1:16" x14ac:dyDescent="0.25">
      <c r="A38" s="49">
        <v>44990</v>
      </c>
      <c r="B38" s="8" t="s">
        <v>10</v>
      </c>
      <c r="C38" s="69" t="s">
        <v>42</v>
      </c>
      <c r="D38" s="12">
        <v>1</v>
      </c>
      <c r="E38" s="12">
        <v>2</v>
      </c>
      <c r="F38" s="11">
        <v>-19.3</v>
      </c>
      <c r="G38" s="11"/>
      <c r="H38" s="11"/>
      <c r="I38" s="9"/>
      <c r="J38" s="1">
        <v>88</v>
      </c>
      <c r="K38" s="12">
        <f>IF(J38="~","~",IFERROR(J38-J37,J38-LOOKUP(9999999,$J$6:J37)))</f>
        <v>-2</v>
      </c>
      <c r="L38" s="9"/>
      <c r="M38" s="45">
        <f t="shared" si="0"/>
        <v>27.149999999999995</v>
      </c>
      <c r="N38" s="151">
        <v>923.8</v>
      </c>
      <c r="O38" s="142">
        <v>56</v>
      </c>
      <c r="P38" s="181"/>
    </row>
    <row r="39" spans="1:16" x14ac:dyDescent="0.25">
      <c r="A39" s="49">
        <v>44990</v>
      </c>
      <c r="B39" s="8" t="s">
        <v>11</v>
      </c>
      <c r="C39" s="69" t="s">
        <v>42</v>
      </c>
      <c r="D39" s="12">
        <v>3</v>
      </c>
      <c r="E39" s="12">
        <v>5</v>
      </c>
      <c r="F39" s="11">
        <v>-17.899999999999999</v>
      </c>
      <c r="G39" s="11"/>
      <c r="H39" s="11"/>
      <c r="I39" s="9"/>
      <c r="J39" s="1">
        <v>88</v>
      </c>
      <c r="K39" s="12">
        <f>IF(J39="~","~",IFERROR(J39-J38,J39-LOOKUP(9999999,$J$6:J38)))</f>
        <v>0</v>
      </c>
      <c r="L39" s="9"/>
      <c r="M39" s="45">
        <f t="shared" si="0"/>
        <v>27.149999999999995</v>
      </c>
      <c r="N39" s="151">
        <v>923.2</v>
      </c>
      <c r="O39" s="142">
        <v>54</v>
      </c>
      <c r="P39" s="181"/>
    </row>
    <row r="40" spans="1:16" x14ac:dyDescent="0.25">
      <c r="A40" s="49">
        <v>44990</v>
      </c>
      <c r="B40" s="8" t="s">
        <v>12</v>
      </c>
      <c r="C40" s="69" t="s">
        <v>41</v>
      </c>
      <c r="D40" s="12">
        <v>6</v>
      </c>
      <c r="E40" s="12">
        <v>9</v>
      </c>
      <c r="F40" s="11">
        <v>-18.600000000000001</v>
      </c>
      <c r="G40" s="11"/>
      <c r="H40" s="11"/>
      <c r="I40" s="9"/>
      <c r="J40" s="1">
        <v>88</v>
      </c>
      <c r="K40" s="12">
        <f>IF(J40="~","~",IFERROR(J40-J39,J40-LOOKUP(9999999,$J$6:J39)))</f>
        <v>0</v>
      </c>
      <c r="L40" s="9"/>
      <c r="M40" s="45">
        <f t="shared" si="0"/>
        <v>27.149999999999995</v>
      </c>
      <c r="N40" s="151">
        <v>922.9</v>
      </c>
      <c r="O40" s="142">
        <v>55</v>
      </c>
      <c r="P40" s="181"/>
    </row>
    <row r="41" spans="1:16" x14ac:dyDescent="0.25">
      <c r="A41" s="49">
        <v>44990</v>
      </c>
      <c r="B41" s="8" t="s">
        <v>13</v>
      </c>
      <c r="C41" s="69" t="s">
        <v>41</v>
      </c>
      <c r="D41" s="12">
        <v>6</v>
      </c>
      <c r="E41" s="12">
        <v>10</v>
      </c>
      <c r="F41" s="11">
        <v>-18.899999999999999</v>
      </c>
      <c r="G41" s="11"/>
      <c r="H41" s="11"/>
      <c r="I41" s="9"/>
      <c r="J41" s="1">
        <v>87</v>
      </c>
      <c r="K41" s="12">
        <f>IF(J41="~","~",IFERROR(J41-J40,J41-LOOKUP(9999999,$J$6:J40)))</f>
        <v>-1</v>
      </c>
      <c r="L41" s="9"/>
      <c r="M41" s="45">
        <f t="shared" si="0"/>
        <v>27.149999999999995</v>
      </c>
      <c r="N41" s="151">
        <v>922.9</v>
      </c>
      <c r="O41" s="142">
        <v>54</v>
      </c>
      <c r="P41" s="181"/>
    </row>
    <row r="42" spans="1:16" x14ac:dyDescent="0.25">
      <c r="A42" s="49">
        <v>44990</v>
      </c>
      <c r="B42" s="8" t="s">
        <v>14</v>
      </c>
      <c r="C42" s="69" t="s">
        <v>41</v>
      </c>
      <c r="D42" s="12">
        <v>6</v>
      </c>
      <c r="E42" s="12">
        <v>9</v>
      </c>
      <c r="F42" s="11">
        <v>-17.8</v>
      </c>
      <c r="G42" s="11"/>
      <c r="H42" s="11"/>
      <c r="I42" s="9"/>
      <c r="J42" s="1">
        <v>88</v>
      </c>
      <c r="K42" s="12">
        <f>IF(J42="~","~",IFERROR(J42-J41,J42-LOOKUP(9999999,$J$6:J41)))</f>
        <v>1</v>
      </c>
      <c r="L42" s="9"/>
      <c r="M42" s="45">
        <f t="shared" si="0"/>
        <v>27.149999999999995</v>
      </c>
      <c r="N42" s="151">
        <v>922.5</v>
      </c>
      <c r="O42" s="142">
        <v>53</v>
      </c>
      <c r="P42" s="181"/>
    </row>
    <row r="43" spans="1:16" x14ac:dyDescent="0.25">
      <c r="A43" s="49">
        <v>44990</v>
      </c>
      <c r="B43" s="8" t="s">
        <v>15</v>
      </c>
      <c r="C43" s="69" t="s">
        <v>41</v>
      </c>
      <c r="D43" s="12">
        <v>8</v>
      </c>
      <c r="E43" s="12">
        <v>12</v>
      </c>
      <c r="F43" s="11">
        <v>-17.100000000000001</v>
      </c>
      <c r="G43" s="11"/>
      <c r="H43" s="11"/>
      <c r="I43" s="9"/>
      <c r="J43" s="1">
        <v>88</v>
      </c>
      <c r="K43" s="12">
        <f>IF(J43="~","~",IFERROR(J43-J42,J43-LOOKUP(9999999,$J$6:J42)))</f>
        <v>0</v>
      </c>
      <c r="L43" s="9">
        <v>5</v>
      </c>
      <c r="M43" s="45">
        <f t="shared" si="0"/>
        <v>32.149999999999991</v>
      </c>
      <c r="N43" s="151">
        <v>921.4</v>
      </c>
      <c r="O43" s="142">
        <v>64</v>
      </c>
      <c r="P43" s="181"/>
    </row>
    <row r="44" spans="1:16" x14ac:dyDescent="0.25">
      <c r="A44" s="49">
        <v>44990</v>
      </c>
      <c r="B44" s="8" t="s">
        <v>16</v>
      </c>
      <c r="C44" s="69" t="s">
        <v>41</v>
      </c>
      <c r="D44" s="12">
        <v>9</v>
      </c>
      <c r="E44" s="12">
        <v>13</v>
      </c>
      <c r="F44" s="11">
        <v>-16.7</v>
      </c>
      <c r="G44" s="11"/>
      <c r="H44" s="11"/>
      <c r="I44" s="9"/>
      <c r="J44" s="1">
        <v>88</v>
      </c>
      <c r="K44" s="12">
        <f>IF(J44="~","~",IFERROR(J44-J43,J44-LOOKUP(9999999,$J$6:J43)))</f>
        <v>0</v>
      </c>
      <c r="L44" s="9"/>
      <c r="M44" s="45">
        <f t="shared" si="0"/>
        <v>32.149999999999991</v>
      </c>
      <c r="N44" s="151">
        <v>921.2</v>
      </c>
      <c r="O44" s="142">
        <v>48</v>
      </c>
      <c r="P44" s="181"/>
    </row>
    <row r="45" spans="1:16" x14ac:dyDescent="0.25">
      <c r="A45" s="49">
        <v>44990</v>
      </c>
      <c r="B45" s="8" t="s">
        <v>17</v>
      </c>
      <c r="C45" s="69" t="s">
        <v>41</v>
      </c>
      <c r="D45" s="12">
        <v>6</v>
      </c>
      <c r="E45" s="12">
        <v>12</v>
      </c>
      <c r="F45" s="11">
        <v>-16.3</v>
      </c>
      <c r="G45" s="11"/>
      <c r="H45" s="11"/>
      <c r="I45" s="9" t="s">
        <v>127</v>
      </c>
      <c r="J45" s="1">
        <v>89</v>
      </c>
      <c r="K45" s="12">
        <f>IF(J45="~","~",IFERROR(J45-J44,J45-LOOKUP(9999999,$J$6:J44)))</f>
        <v>1</v>
      </c>
      <c r="L45" s="9"/>
      <c r="M45" s="45">
        <f t="shared" si="0"/>
        <v>32.149999999999991</v>
      </c>
      <c r="N45" s="151">
        <v>922.3</v>
      </c>
      <c r="O45" s="142">
        <v>44</v>
      </c>
      <c r="P45" s="181"/>
    </row>
    <row r="46" spans="1:16" x14ac:dyDescent="0.25">
      <c r="A46" s="50">
        <v>44991</v>
      </c>
      <c r="B46" s="8" t="s">
        <v>10</v>
      </c>
      <c r="C46" s="69" t="s">
        <v>41</v>
      </c>
      <c r="D46" s="12">
        <v>2</v>
      </c>
      <c r="E46" s="12">
        <v>6</v>
      </c>
      <c r="F46" s="11">
        <v>-17.5</v>
      </c>
      <c r="G46" s="11"/>
      <c r="H46" s="11"/>
      <c r="I46" s="9"/>
      <c r="J46" s="1">
        <v>88</v>
      </c>
      <c r="K46" s="12">
        <f>IF(J46="~","~",IFERROR(J46-J45,J46-LOOKUP(9999999,$J$6:J45)))</f>
        <v>-1</v>
      </c>
      <c r="L46" s="9"/>
      <c r="M46" s="45">
        <f t="shared" si="0"/>
        <v>32.149999999999991</v>
      </c>
      <c r="N46" s="151">
        <v>922.3</v>
      </c>
      <c r="O46" s="142">
        <v>43</v>
      </c>
      <c r="P46" s="181"/>
    </row>
    <row r="47" spans="1:16" x14ac:dyDescent="0.25">
      <c r="A47" s="50">
        <v>44991</v>
      </c>
      <c r="B47" s="8" t="s">
        <v>11</v>
      </c>
      <c r="C47" s="69" t="s">
        <v>41</v>
      </c>
      <c r="D47" s="12">
        <v>3</v>
      </c>
      <c r="E47" s="12">
        <v>10</v>
      </c>
      <c r="F47" s="11">
        <v>-16.2</v>
      </c>
      <c r="G47" s="11"/>
      <c r="H47" s="11"/>
      <c r="I47" s="9"/>
      <c r="J47" s="1">
        <v>89</v>
      </c>
      <c r="K47" s="12">
        <f>IF(J47="~","~",IFERROR(J47-J46,J47-LOOKUP(9999999,$J$6:J46)))</f>
        <v>1</v>
      </c>
      <c r="L47" s="9"/>
      <c r="M47" s="45">
        <f t="shared" si="0"/>
        <v>32.149999999999991</v>
      </c>
      <c r="N47" s="151">
        <v>922</v>
      </c>
      <c r="O47" s="142">
        <v>42</v>
      </c>
      <c r="P47" s="181"/>
    </row>
    <row r="48" spans="1:16" x14ac:dyDescent="0.25">
      <c r="A48" s="50">
        <v>44991</v>
      </c>
      <c r="B48" s="8" t="s">
        <v>12</v>
      </c>
      <c r="C48" s="69" t="s">
        <v>41</v>
      </c>
      <c r="D48" s="12">
        <v>3</v>
      </c>
      <c r="E48" s="12">
        <v>7</v>
      </c>
      <c r="F48" s="11">
        <v>-14.5</v>
      </c>
      <c r="G48" s="11"/>
      <c r="H48" s="11"/>
      <c r="I48" s="9"/>
      <c r="J48" s="1">
        <v>90</v>
      </c>
      <c r="K48" s="12">
        <f>IF(J48="~","~",IFERROR(J48-J47,J48-LOOKUP(9999999,$J$6:J47)))</f>
        <v>1</v>
      </c>
      <c r="L48" s="9">
        <v>11</v>
      </c>
      <c r="M48" s="45">
        <f t="shared" si="0"/>
        <v>43.149999999999991</v>
      </c>
      <c r="N48" s="151">
        <v>922.4</v>
      </c>
      <c r="O48" s="142">
        <v>39</v>
      </c>
      <c r="P48" s="181"/>
    </row>
    <row r="49" spans="1:16" x14ac:dyDescent="0.25">
      <c r="A49" s="50">
        <v>44991</v>
      </c>
      <c r="B49" s="8" t="s">
        <v>13</v>
      </c>
      <c r="C49" s="69" t="s">
        <v>29</v>
      </c>
      <c r="D49" s="12">
        <v>1</v>
      </c>
      <c r="E49" s="12">
        <v>1</v>
      </c>
      <c r="F49" s="11">
        <v>-13.8</v>
      </c>
      <c r="G49" s="11"/>
      <c r="H49" s="11"/>
      <c r="I49" s="9"/>
      <c r="J49" s="1">
        <v>91</v>
      </c>
      <c r="K49" s="12">
        <f>IF(J49="~","~",IFERROR(J49-J48,J49-LOOKUP(9999999,$J$6:J48)))</f>
        <v>1</v>
      </c>
      <c r="L49" s="9"/>
      <c r="M49" s="45">
        <f t="shared" si="0"/>
        <v>43.149999999999991</v>
      </c>
      <c r="N49" s="151">
        <v>922.1</v>
      </c>
      <c r="O49" s="142">
        <v>40</v>
      </c>
      <c r="P49" s="181"/>
    </row>
    <row r="50" spans="1:16" x14ac:dyDescent="0.25">
      <c r="A50" s="50">
        <v>44991</v>
      </c>
      <c r="B50" s="8" t="s">
        <v>14</v>
      </c>
      <c r="C50" s="69" t="s">
        <v>29</v>
      </c>
      <c r="D50" s="12">
        <v>1</v>
      </c>
      <c r="E50" s="12">
        <v>2</v>
      </c>
      <c r="F50" s="11">
        <v>-14.4</v>
      </c>
      <c r="G50" s="11"/>
      <c r="H50" s="11"/>
      <c r="I50" s="9"/>
      <c r="J50" s="1">
        <v>90</v>
      </c>
      <c r="K50" s="12">
        <f>IF(J50="~","~",IFERROR(J50-J49,J50-LOOKUP(9999999,$J$6:J49)))</f>
        <v>-1</v>
      </c>
      <c r="L50" s="9"/>
      <c r="M50" s="45">
        <f t="shared" si="0"/>
        <v>43.149999999999991</v>
      </c>
      <c r="N50" s="151">
        <v>920.8</v>
      </c>
      <c r="O50" s="142">
        <v>44</v>
      </c>
      <c r="P50" s="181"/>
    </row>
    <row r="51" spans="1:16" x14ac:dyDescent="0.25">
      <c r="A51" s="50">
        <v>44991</v>
      </c>
      <c r="B51" s="8" t="s">
        <v>15</v>
      </c>
      <c r="C51" s="69" t="s">
        <v>29</v>
      </c>
      <c r="D51" s="12">
        <v>1</v>
      </c>
      <c r="E51" s="12">
        <v>2</v>
      </c>
      <c r="F51" s="11">
        <v>-12.7</v>
      </c>
      <c r="G51" s="11"/>
      <c r="H51" s="11"/>
      <c r="I51" s="9" t="s">
        <v>130</v>
      </c>
      <c r="J51" s="1">
        <v>91</v>
      </c>
      <c r="K51" s="12">
        <f>IF(J51="~","~",IFERROR(J51-J50,J51-LOOKUP(9999999,$J$6:J50)))</f>
        <v>1</v>
      </c>
      <c r="L51" s="9"/>
      <c r="M51" s="45">
        <f t="shared" si="0"/>
        <v>43.149999999999991</v>
      </c>
      <c r="N51" s="151">
        <v>919.7</v>
      </c>
      <c r="O51" s="142">
        <v>46</v>
      </c>
      <c r="P51" s="181"/>
    </row>
    <row r="52" spans="1:16" x14ac:dyDescent="0.25">
      <c r="A52" s="50">
        <v>44991</v>
      </c>
      <c r="B52" s="8" t="s">
        <v>16</v>
      </c>
      <c r="C52" s="69" t="s">
        <v>41</v>
      </c>
      <c r="D52" s="12">
        <v>1</v>
      </c>
      <c r="E52" s="12">
        <v>2</v>
      </c>
      <c r="F52" s="11">
        <v>-13.1</v>
      </c>
      <c r="G52" s="11"/>
      <c r="H52" s="11"/>
      <c r="I52" s="9"/>
      <c r="J52" s="1">
        <v>91</v>
      </c>
      <c r="K52" s="12">
        <f>IF(J52="~","~",IFERROR(J52-J51,J52-LOOKUP(9999999,$J$6:J51)))</f>
        <v>0</v>
      </c>
      <c r="L52" s="9"/>
      <c r="M52" s="45">
        <f t="shared" si="0"/>
        <v>43.149999999999991</v>
      </c>
      <c r="N52" s="151">
        <v>919.8</v>
      </c>
      <c r="O52" s="142">
        <v>57</v>
      </c>
      <c r="P52" s="181"/>
    </row>
    <row r="53" spans="1:16" x14ac:dyDescent="0.25">
      <c r="A53" s="50">
        <v>44991</v>
      </c>
      <c r="B53" s="8" t="s">
        <v>17</v>
      </c>
      <c r="C53" s="69" t="s">
        <v>41</v>
      </c>
      <c r="D53" s="12">
        <v>2</v>
      </c>
      <c r="E53" s="12">
        <v>3</v>
      </c>
      <c r="F53" s="11">
        <v>-13.3</v>
      </c>
      <c r="G53" s="11"/>
      <c r="H53" s="11"/>
      <c r="I53" s="9"/>
      <c r="J53" s="1">
        <v>91</v>
      </c>
      <c r="K53" s="12">
        <f>IF(J53="~","~",IFERROR(J53-J52,J53-LOOKUP(9999999,$J$6:J52)))</f>
        <v>0</v>
      </c>
      <c r="L53" s="9"/>
      <c r="M53" s="45">
        <f t="shared" si="0"/>
        <v>43.149999999999991</v>
      </c>
      <c r="N53" s="151">
        <v>920.5</v>
      </c>
      <c r="O53" s="142">
        <v>56</v>
      </c>
      <c r="P53" s="181"/>
    </row>
    <row r="54" spans="1:16" x14ac:dyDescent="0.25">
      <c r="A54" s="51">
        <v>44992</v>
      </c>
      <c r="B54" s="8" t="s">
        <v>10</v>
      </c>
      <c r="C54" s="69" t="s">
        <v>41</v>
      </c>
      <c r="D54" s="12">
        <v>5</v>
      </c>
      <c r="E54" s="12">
        <v>8</v>
      </c>
      <c r="F54" s="11">
        <v>-4</v>
      </c>
      <c r="G54" s="148"/>
      <c r="H54" s="11"/>
      <c r="I54" s="9" t="s">
        <v>127</v>
      </c>
      <c r="J54" s="1">
        <v>91</v>
      </c>
      <c r="K54" s="12">
        <f>IF(J54="~","~",IFERROR(J54-J53,J54-LOOKUP(9999999,$J$6:J53)))</f>
        <v>0</v>
      </c>
      <c r="L54" s="9"/>
      <c r="M54" s="45">
        <f t="shared" si="0"/>
        <v>43.149999999999991</v>
      </c>
      <c r="N54" s="151">
        <v>920.9</v>
      </c>
      <c r="O54" s="142">
        <v>59</v>
      </c>
      <c r="P54" s="181"/>
    </row>
    <row r="55" spans="1:16" x14ac:dyDescent="0.25">
      <c r="A55" s="51">
        <v>44992</v>
      </c>
      <c r="B55" s="8" t="s">
        <v>11</v>
      </c>
      <c r="C55" s="69" t="s">
        <v>41</v>
      </c>
      <c r="D55" s="12">
        <v>2</v>
      </c>
      <c r="E55" s="12">
        <v>2</v>
      </c>
      <c r="F55" s="11">
        <v>-11.7</v>
      </c>
      <c r="G55" s="148"/>
      <c r="H55" s="11"/>
      <c r="I55" s="9"/>
      <c r="J55" s="1">
        <v>92</v>
      </c>
      <c r="K55" s="12">
        <f>IF(J55="~","~",IFERROR(J55-J54,J55-LOOKUP(9999999,$J$6:J54)))</f>
        <v>1</v>
      </c>
      <c r="L55" s="9"/>
      <c r="M55" s="45">
        <f t="shared" si="0"/>
        <v>43.149999999999991</v>
      </c>
      <c r="N55" s="151">
        <v>921.8</v>
      </c>
      <c r="O55" s="142">
        <v>63</v>
      </c>
      <c r="P55" s="181"/>
    </row>
    <row r="56" spans="1:16" x14ac:dyDescent="0.25">
      <c r="A56" s="51">
        <v>44992</v>
      </c>
      <c r="B56" s="8" t="s">
        <v>12</v>
      </c>
      <c r="C56" s="69" t="s">
        <v>41</v>
      </c>
      <c r="D56" s="12">
        <v>3</v>
      </c>
      <c r="E56" s="12">
        <v>4</v>
      </c>
      <c r="F56" s="11">
        <v>-9.9</v>
      </c>
      <c r="G56" s="148"/>
      <c r="H56" s="11"/>
      <c r="I56" s="9"/>
      <c r="J56" s="1">
        <v>93</v>
      </c>
      <c r="K56" s="12">
        <f>IF(J56="~","~",IFERROR(J56-J55,J56-LOOKUP(9999999,$J$6:J55)))</f>
        <v>1</v>
      </c>
      <c r="L56" s="9"/>
      <c r="M56" s="45">
        <f t="shared" si="0"/>
        <v>43.149999999999991</v>
      </c>
      <c r="N56" s="151">
        <v>922.2</v>
      </c>
      <c r="O56" s="142">
        <v>67</v>
      </c>
      <c r="P56" s="181"/>
    </row>
    <row r="57" spans="1:16" x14ac:dyDescent="0.25">
      <c r="A57" s="51">
        <v>44992</v>
      </c>
      <c r="B57" s="8" t="s">
        <v>13</v>
      </c>
      <c r="C57" s="69" t="s">
        <v>29</v>
      </c>
      <c r="D57" s="12">
        <v>3</v>
      </c>
      <c r="E57" s="12">
        <v>4</v>
      </c>
      <c r="F57" s="11">
        <v>-7.6</v>
      </c>
      <c r="G57" s="148"/>
      <c r="H57" s="11"/>
      <c r="I57" s="9"/>
      <c r="J57" s="1">
        <v>94</v>
      </c>
      <c r="K57" s="12">
        <f>IF(J57="~","~",IFERROR(J57-J56,J57-LOOKUP(9999999,$J$6:J56)))</f>
        <v>1</v>
      </c>
      <c r="L57" s="9"/>
      <c r="M57" s="45">
        <f t="shared" si="0"/>
        <v>43.149999999999991</v>
      </c>
      <c r="N57" s="151">
        <v>922</v>
      </c>
      <c r="O57" s="142">
        <v>71</v>
      </c>
      <c r="P57" s="181"/>
    </row>
    <row r="58" spans="1:16" x14ac:dyDescent="0.25">
      <c r="A58" s="51">
        <v>44992</v>
      </c>
      <c r="B58" s="8" t="s">
        <v>14</v>
      </c>
      <c r="C58" s="69" t="s">
        <v>40</v>
      </c>
      <c r="D58" s="12">
        <v>1</v>
      </c>
      <c r="E58" s="12">
        <v>2</v>
      </c>
      <c r="F58" s="11">
        <v>-9.1</v>
      </c>
      <c r="G58" s="148"/>
      <c r="H58" s="11"/>
      <c r="I58" s="9"/>
      <c r="J58" s="1">
        <v>91</v>
      </c>
      <c r="K58" s="12">
        <f>IF(J58="~","~",IFERROR(J58-J57,J58-LOOKUP(9999999,$J$6:J57)))</f>
        <v>-3</v>
      </c>
      <c r="L58" s="9"/>
      <c r="M58" s="45">
        <f t="shared" si="0"/>
        <v>43.149999999999991</v>
      </c>
      <c r="N58" s="151">
        <v>922.2</v>
      </c>
      <c r="O58" s="142">
        <v>69</v>
      </c>
      <c r="P58" s="181"/>
    </row>
    <row r="59" spans="1:16" x14ac:dyDescent="0.25">
      <c r="A59" s="51">
        <v>44992</v>
      </c>
      <c r="B59" s="8" t="s">
        <v>15</v>
      </c>
      <c r="C59" s="69" t="s">
        <v>29</v>
      </c>
      <c r="D59" s="12">
        <v>8</v>
      </c>
      <c r="E59" s="12">
        <v>12</v>
      </c>
      <c r="F59" s="11">
        <v>-3.1</v>
      </c>
      <c r="G59" s="148"/>
      <c r="H59" s="11"/>
      <c r="I59" s="9" t="s">
        <v>127</v>
      </c>
      <c r="J59" s="1">
        <v>95</v>
      </c>
      <c r="K59" s="12">
        <f>IF(J59="~","~",IFERROR(J59-J58,J59-LOOKUP(9999999,$J$6:J58)))</f>
        <v>4</v>
      </c>
      <c r="L59" s="9"/>
      <c r="M59" s="45">
        <f t="shared" si="0"/>
        <v>43.149999999999991</v>
      </c>
      <c r="N59" s="151">
        <v>922.7</v>
      </c>
      <c r="O59" s="142">
        <v>69</v>
      </c>
      <c r="P59" s="181"/>
    </row>
    <row r="60" spans="1:16" x14ac:dyDescent="0.25">
      <c r="A60" s="51">
        <v>44992</v>
      </c>
      <c r="B60" s="8" t="s">
        <v>16</v>
      </c>
      <c r="C60" s="69" t="s">
        <v>29</v>
      </c>
      <c r="D60" s="12">
        <v>6</v>
      </c>
      <c r="E60" s="12">
        <v>10</v>
      </c>
      <c r="F60" s="11">
        <v>-4.2</v>
      </c>
      <c r="G60" s="148"/>
      <c r="H60" s="11"/>
      <c r="I60" s="9"/>
      <c r="J60" s="1">
        <v>95</v>
      </c>
      <c r="K60" s="12">
        <f>IF(J60="~","~",IFERROR(J60-J59,J60-LOOKUP(9999999,$J$6:J59)))</f>
        <v>0</v>
      </c>
      <c r="L60" s="9"/>
      <c r="M60" s="45">
        <f t="shared" si="0"/>
        <v>43.149999999999991</v>
      </c>
      <c r="N60" s="151">
        <v>925.5</v>
      </c>
      <c r="O60" s="142">
        <v>69</v>
      </c>
      <c r="P60" s="181"/>
    </row>
    <row r="61" spans="1:16" x14ac:dyDescent="0.25">
      <c r="A61" s="51">
        <v>44992</v>
      </c>
      <c r="B61" s="8" t="s">
        <v>17</v>
      </c>
      <c r="C61" s="69" t="s">
        <v>41</v>
      </c>
      <c r="D61" s="12">
        <v>6</v>
      </c>
      <c r="E61" s="12">
        <v>8</v>
      </c>
      <c r="F61" s="11">
        <v>-5.8</v>
      </c>
      <c r="G61" s="148"/>
      <c r="H61" s="11"/>
      <c r="I61" s="9"/>
      <c r="J61" s="1">
        <v>94</v>
      </c>
      <c r="K61" s="12">
        <f>IF(J61="~","~",IFERROR(J61-J60,J61-LOOKUP(9999999,$J$6:J60)))</f>
        <v>-1</v>
      </c>
      <c r="L61" s="9"/>
      <c r="M61" s="45">
        <f t="shared" si="0"/>
        <v>43.149999999999991</v>
      </c>
      <c r="N61" s="151">
        <v>928.2</v>
      </c>
      <c r="O61" s="142">
        <v>66</v>
      </c>
      <c r="P61" s="181"/>
    </row>
    <row r="62" spans="1:16" x14ac:dyDescent="0.25">
      <c r="A62" s="52">
        <v>44993</v>
      </c>
      <c r="B62" s="8" t="s">
        <v>10</v>
      </c>
      <c r="C62" s="69" t="s">
        <v>41</v>
      </c>
      <c r="D62" s="12">
        <v>10</v>
      </c>
      <c r="E62" s="12">
        <v>15</v>
      </c>
      <c r="F62" s="11">
        <v>-6.7</v>
      </c>
      <c r="G62" s="11"/>
      <c r="H62" s="11"/>
      <c r="I62" s="9"/>
      <c r="J62" s="1">
        <v>93</v>
      </c>
      <c r="K62" s="12">
        <f>IF(J62="~","~",IFERROR(J62-J61,J62-LOOKUP(9999999,$J$6:J61)))</f>
        <v>-1</v>
      </c>
      <c r="L62" s="9"/>
      <c r="M62" s="45">
        <f t="shared" si="0"/>
        <v>43.149999999999991</v>
      </c>
      <c r="N62" s="151">
        <v>929</v>
      </c>
      <c r="O62" s="142">
        <v>57</v>
      </c>
      <c r="P62" s="181"/>
    </row>
    <row r="63" spans="1:16" x14ac:dyDescent="0.25">
      <c r="A63" s="52">
        <v>44993</v>
      </c>
      <c r="B63" s="8" t="s">
        <v>11</v>
      </c>
      <c r="C63" s="69" t="s">
        <v>29</v>
      </c>
      <c r="D63" s="12">
        <v>9</v>
      </c>
      <c r="E63" s="12">
        <v>12</v>
      </c>
      <c r="F63" s="11">
        <v>-7.1</v>
      </c>
      <c r="G63" s="11"/>
      <c r="H63" s="11"/>
      <c r="I63" s="9"/>
      <c r="J63" s="1">
        <v>93</v>
      </c>
      <c r="K63" s="12">
        <f>IF(J63="~","~",IFERROR(J63-J62,J63-LOOKUP(9999999,$J$6:J62)))</f>
        <v>0</v>
      </c>
      <c r="L63" s="9"/>
      <c r="M63" s="45">
        <f t="shared" si="0"/>
        <v>43.149999999999991</v>
      </c>
      <c r="N63" s="151">
        <v>930.3</v>
      </c>
      <c r="O63" s="142">
        <v>52</v>
      </c>
      <c r="P63" s="181"/>
    </row>
    <row r="64" spans="1:16" x14ac:dyDescent="0.25">
      <c r="A64" s="52">
        <v>44993</v>
      </c>
      <c r="B64" s="8" t="s">
        <v>12</v>
      </c>
      <c r="C64" s="69" t="s">
        <v>29</v>
      </c>
      <c r="D64" s="12">
        <v>1</v>
      </c>
      <c r="E64" s="12">
        <v>3</v>
      </c>
      <c r="F64" s="11">
        <v>-11.5</v>
      </c>
      <c r="G64" s="11"/>
      <c r="H64" s="11"/>
      <c r="I64" s="9"/>
      <c r="J64" s="1">
        <v>90</v>
      </c>
      <c r="K64" s="12">
        <f>IF(J64="~","~",IFERROR(J64-J63,J64-LOOKUP(9999999,$J$6:J63)))</f>
        <v>-3</v>
      </c>
      <c r="L64" s="9"/>
      <c r="M64" s="45">
        <f t="shared" si="0"/>
        <v>43.149999999999991</v>
      </c>
      <c r="N64" s="151">
        <v>931.9</v>
      </c>
      <c r="O64" s="142">
        <v>71</v>
      </c>
      <c r="P64" s="181"/>
    </row>
    <row r="65" spans="1:16" x14ac:dyDescent="0.25">
      <c r="A65" s="52">
        <v>44993</v>
      </c>
      <c r="B65" s="8" t="s">
        <v>13</v>
      </c>
      <c r="C65" s="69" t="s">
        <v>40</v>
      </c>
      <c r="D65" s="12">
        <v>1</v>
      </c>
      <c r="E65" s="12">
        <v>2</v>
      </c>
      <c r="F65" s="11">
        <v>-10.3</v>
      </c>
      <c r="G65" s="11"/>
      <c r="H65" s="11"/>
      <c r="I65" s="9"/>
      <c r="J65" s="1">
        <v>91</v>
      </c>
      <c r="K65" s="12">
        <f>IF(J65="~","~",IFERROR(J65-J64,J65-LOOKUP(9999999,$J$6:J64)))</f>
        <v>1</v>
      </c>
      <c r="L65" s="9"/>
      <c r="M65" s="45">
        <f t="shared" si="0"/>
        <v>43.149999999999991</v>
      </c>
      <c r="N65" s="151">
        <v>932.8</v>
      </c>
      <c r="O65" s="142">
        <v>66</v>
      </c>
      <c r="P65" s="181"/>
    </row>
    <row r="66" spans="1:16" x14ac:dyDescent="0.25">
      <c r="A66" s="52">
        <v>44993</v>
      </c>
      <c r="B66" s="8" t="s">
        <v>14</v>
      </c>
      <c r="C66" s="69" t="s">
        <v>39</v>
      </c>
      <c r="D66" s="12">
        <v>1</v>
      </c>
      <c r="E66" s="12">
        <v>2</v>
      </c>
      <c r="F66" s="11">
        <v>-6.9</v>
      </c>
      <c r="G66" s="11"/>
      <c r="H66" s="11"/>
      <c r="I66" s="9"/>
      <c r="J66" s="1">
        <v>93</v>
      </c>
      <c r="K66" s="12">
        <f>IF(J66="~","~",IFERROR(J66-J65,J66-LOOKUP(9999999,$J$6:J65)))</f>
        <v>2</v>
      </c>
      <c r="L66" s="9"/>
      <c r="M66" s="45">
        <f t="shared" si="0"/>
        <v>43.149999999999991</v>
      </c>
      <c r="N66" s="151">
        <v>932.9</v>
      </c>
      <c r="O66" s="142">
        <v>70</v>
      </c>
      <c r="P66" s="181"/>
    </row>
    <row r="67" spans="1:16" x14ac:dyDescent="0.25">
      <c r="A67" s="52">
        <v>44993</v>
      </c>
      <c r="B67" s="8" t="s">
        <v>15</v>
      </c>
      <c r="C67" s="69" t="s">
        <v>36</v>
      </c>
      <c r="D67" s="12">
        <v>1</v>
      </c>
      <c r="E67" s="12">
        <v>2</v>
      </c>
      <c r="F67" s="11">
        <v>-7</v>
      </c>
      <c r="G67" s="11"/>
      <c r="H67" s="11"/>
      <c r="I67" s="9"/>
      <c r="J67" s="1">
        <v>93</v>
      </c>
      <c r="K67" s="12">
        <f>IF(J67="~","~",IFERROR(J67-J66,J67-LOOKUP(9999999,$J$6:J66)))</f>
        <v>0</v>
      </c>
      <c r="L67" s="9"/>
      <c r="M67" s="45">
        <f t="shared" si="0"/>
        <v>43.149999999999991</v>
      </c>
      <c r="N67" s="151">
        <v>932.3</v>
      </c>
      <c r="O67" s="142">
        <v>73</v>
      </c>
      <c r="P67" s="181"/>
    </row>
    <row r="68" spans="1:16" x14ac:dyDescent="0.25">
      <c r="A68" s="52">
        <v>44993</v>
      </c>
      <c r="B68" s="8" t="s">
        <v>16</v>
      </c>
      <c r="C68" s="69" t="s">
        <v>36</v>
      </c>
      <c r="D68" s="12">
        <v>0</v>
      </c>
      <c r="E68" s="12">
        <v>1</v>
      </c>
      <c r="F68" s="11">
        <v>-8.1</v>
      </c>
      <c r="G68" s="11"/>
      <c r="H68" s="11"/>
      <c r="I68" s="9" t="s">
        <v>130</v>
      </c>
      <c r="J68" s="1">
        <v>90</v>
      </c>
      <c r="K68" s="12">
        <f>IF(J68="~","~",IFERROR(J68-J67,J68-LOOKUP(9999999,$J$6:J67)))</f>
        <v>-3</v>
      </c>
      <c r="L68" s="9"/>
      <c r="M68" s="45">
        <f t="shared" si="0"/>
        <v>43.149999999999991</v>
      </c>
      <c r="N68" s="151">
        <v>931.7</v>
      </c>
      <c r="O68" s="142">
        <v>91</v>
      </c>
      <c r="P68" s="181"/>
    </row>
    <row r="69" spans="1:16" x14ac:dyDescent="0.25">
      <c r="A69" s="52">
        <v>44993</v>
      </c>
      <c r="B69" s="8" t="s">
        <v>17</v>
      </c>
      <c r="C69" s="69" t="s">
        <v>36</v>
      </c>
      <c r="D69" s="12">
        <v>1</v>
      </c>
      <c r="E69" s="12">
        <v>1</v>
      </c>
      <c r="F69" s="11">
        <v>-7.8</v>
      </c>
      <c r="G69" s="11"/>
      <c r="H69" s="11"/>
      <c r="I69" s="9" t="s">
        <v>130</v>
      </c>
      <c r="J69" s="1">
        <v>95</v>
      </c>
      <c r="K69" s="12">
        <f>IF(J69="~","~",IFERROR(J69-J68,J69-LOOKUP(9999999,$J$6:J68)))</f>
        <v>5</v>
      </c>
      <c r="L69" s="9"/>
      <c r="M69" s="45">
        <f t="shared" si="0"/>
        <v>43.149999999999991</v>
      </c>
      <c r="N69" s="151">
        <v>931.4</v>
      </c>
      <c r="O69" s="142">
        <v>91</v>
      </c>
      <c r="P69" s="181"/>
    </row>
    <row r="70" spans="1:16" x14ac:dyDescent="0.25">
      <c r="A70" s="53">
        <v>44994</v>
      </c>
      <c r="B70" s="8" t="s">
        <v>10</v>
      </c>
      <c r="C70" s="69" t="s">
        <v>40</v>
      </c>
      <c r="D70" s="12">
        <v>0</v>
      </c>
      <c r="E70" s="12">
        <v>1</v>
      </c>
      <c r="F70" s="11">
        <v>-7.1</v>
      </c>
      <c r="G70" s="11"/>
      <c r="H70" s="11"/>
      <c r="I70" s="9" t="s">
        <v>130</v>
      </c>
      <c r="J70" s="1">
        <v>99</v>
      </c>
      <c r="K70" s="12">
        <f>IF(J70="~","~",IFERROR(J70-J69,J70-LOOKUP(9999999,$J$6:J69)))</f>
        <v>4</v>
      </c>
      <c r="L70" s="9"/>
      <c r="M70" s="45">
        <f t="shared" si="0"/>
        <v>43.149999999999991</v>
      </c>
      <c r="N70" s="151">
        <v>930.8</v>
      </c>
      <c r="O70" s="142">
        <v>89</v>
      </c>
      <c r="P70" s="181"/>
    </row>
    <row r="71" spans="1:16" x14ac:dyDescent="0.25">
      <c r="A71" s="53">
        <v>44994</v>
      </c>
      <c r="B71" s="8" t="s">
        <v>11</v>
      </c>
      <c r="C71" s="69" t="s">
        <v>41</v>
      </c>
      <c r="D71" s="12">
        <v>2</v>
      </c>
      <c r="E71" s="12">
        <v>3</v>
      </c>
      <c r="F71" s="11">
        <v>-10.4</v>
      </c>
      <c r="G71" s="11"/>
      <c r="H71" s="11"/>
      <c r="I71" s="9"/>
      <c r="J71" s="1">
        <v>98</v>
      </c>
      <c r="K71" s="12">
        <f>IF(J71="~","~",IFERROR(J71-J70,J71-LOOKUP(9999999,$J$6:J70)))</f>
        <v>-1</v>
      </c>
      <c r="L71" s="9"/>
      <c r="M71" s="45">
        <f t="shared" si="0"/>
        <v>43.149999999999991</v>
      </c>
      <c r="N71" s="151">
        <v>930.9</v>
      </c>
      <c r="O71" s="142">
        <v>86</v>
      </c>
      <c r="P71" s="181"/>
    </row>
    <row r="72" spans="1:16" x14ac:dyDescent="0.25">
      <c r="A72" s="53">
        <v>44994</v>
      </c>
      <c r="B72" s="8" t="s">
        <v>12</v>
      </c>
      <c r="C72" s="69" t="s">
        <v>42</v>
      </c>
      <c r="D72" s="12">
        <v>1</v>
      </c>
      <c r="E72" s="12">
        <v>3</v>
      </c>
      <c r="F72" s="11">
        <v>-9.6999999999999993</v>
      </c>
      <c r="G72" s="11"/>
      <c r="H72" s="11"/>
      <c r="I72" s="9"/>
      <c r="J72" s="1">
        <v>98</v>
      </c>
      <c r="K72" s="12">
        <f>IF(J72="~","~",IFERROR(J72-J71,J72-LOOKUP(9999999,$J$6:J71)))</f>
        <v>0</v>
      </c>
      <c r="L72" s="9"/>
      <c r="M72" s="45">
        <f t="shared" ref="M72:M135" si="1">IF(OR(L72="нет",L72="~"),M71,M71+L72)</f>
        <v>43.149999999999991</v>
      </c>
      <c r="N72" s="151">
        <v>932</v>
      </c>
      <c r="O72" s="142">
        <v>83</v>
      </c>
      <c r="P72" s="181"/>
    </row>
    <row r="73" spans="1:16" x14ac:dyDescent="0.25">
      <c r="A73" s="53">
        <v>44994</v>
      </c>
      <c r="B73" s="8" t="s">
        <v>13</v>
      </c>
      <c r="C73" s="69" t="s">
        <v>41</v>
      </c>
      <c r="D73" s="12">
        <v>6</v>
      </c>
      <c r="E73" s="12">
        <v>9</v>
      </c>
      <c r="F73" s="11">
        <v>-6.1</v>
      </c>
      <c r="G73" s="11"/>
      <c r="H73" s="11"/>
      <c r="I73" s="9" t="s">
        <v>127</v>
      </c>
      <c r="J73" s="1">
        <v>101</v>
      </c>
      <c r="K73" s="12">
        <f>IF(J73="~","~",IFERROR(J73-J72,J73-LOOKUP(9999999,$J$6:J72)))</f>
        <v>3</v>
      </c>
      <c r="L73" s="9"/>
      <c r="M73" s="45">
        <f t="shared" si="1"/>
        <v>43.149999999999991</v>
      </c>
      <c r="N73" s="151">
        <v>934</v>
      </c>
      <c r="O73" s="142">
        <v>71</v>
      </c>
      <c r="P73" s="181"/>
    </row>
    <row r="74" spans="1:16" x14ac:dyDescent="0.25">
      <c r="A74" s="53">
        <v>44994</v>
      </c>
      <c r="B74" s="8" t="s">
        <v>14</v>
      </c>
      <c r="C74" s="69" t="s">
        <v>41</v>
      </c>
      <c r="D74" s="12">
        <v>0</v>
      </c>
      <c r="E74" s="12">
        <v>1</v>
      </c>
      <c r="F74" s="11">
        <v>-7.3</v>
      </c>
      <c r="G74" s="11"/>
      <c r="H74" s="11"/>
      <c r="I74" s="9"/>
      <c r="J74" s="1">
        <v>100</v>
      </c>
      <c r="K74" s="12">
        <f>IF(J74="~","~",IFERROR(J74-J73,J74-LOOKUP(9999999,$J$6:J73)))</f>
        <v>-1</v>
      </c>
      <c r="L74" s="9"/>
      <c r="M74" s="45">
        <f t="shared" si="1"/>
        <v>43.149999999999991</v>
      </c>
      <c r="N74" s="151">
        <v>935.6</v>
      </c>
      <c r="O74" s="142">
        <v>88</v>
      </c>
      <c r="P74" s="181"/>
    </row>
    <row r="75" spans="1:16" x14ac:dyDescent="0.25">
      <c r="A75" s="53">
        <v>44994</v>
      </c>
      <c r="B75" s="8" t="s">
        <v>15</v>
      </c>
      <c r="C75" s="69" t="s">
        <v>29</v>
      </c>
      <c r="D75" s="12">
        <v>0</v>
      </c>
      <c r="E75" s="12">
        <v>1</v>
      </c>
      <c r="F75" s="11">
        <v>-5.5</v>
      </c>
      <c r="G75" s="11"/>
      <c r="H75" s="11"/>
      <c r="I75" s="9"/>
      <c r="J75" s="1">
        <v>101</v>
      </c>
      <c r="K75" s="12">
        <f>IF(J75="~","~",IFERROR(J75-J74,J75-LOOKUP(9999999,$J$6:J74)))</f>
        <v>1</v>
      </c>
      <c r="L75" s="9"/>
      <c r="M75" s="45">
        <f t="shared" si="1"/>
        <v>43.149999999999991</v>
      </c>
      <c r="N75" s="151">
        <v>935.6</v>
      </c>
      <c r="O75" s="142">
        <v>78</v>
      </c>
      <c r="P75" s="181"/>
    </row>
    <row r="76" spans="1:16" x14ac:dyDescent="0.25">
      <c r="A76" s="53">
        <v>44994</v>
      </c>
      <c r="B76" s="8" t="s">
        <v>16</v>
      </c>
      <c r="C76" s="69" t="s">
        <v>29</v>
      </c>
      <c r="D76" s="12">
        <v>2</v>
      </c>
      <c r="E76" s="12">
        <v>2</v>
      </c>
      <c r="F76" s="11">
        <v>-7</v>
      </c>
      <c r="G76" s="11"/>
      <c r="H76" s="11"/>
      <c r="I76" s="9"/>
      <c r="J76" s="1">
        <v>100</v>
      </c>
      <c r="K76" s="12">
        <f>IF(J76="~","~",IFERROR(J76-J75,J76-LOOKUP(9999999,$J$6:J75)))</f>
        <v>-1</v>
      </c>
      <c r="L76" s="9"/>
      <c r="M76" s="45">
        <f t="shared" si="1"/>
        <v>43.149999999999991</v>
      </c>
      <c r="N76" s="151">
        <v>936.7</v>
      </c>
      <c r="O76" s="142">
        <v>93</v>
      </c>
      <c r="P76" s="181"/>
    </row>
    <row r="77" spans="1:16" x14ac:dyDescent="0.25">
      <c r="A77" s="53">
        <v>44994</v>
      </c>
      <c r="B77" s="8" t="s">
        <v>17</v>
      </c>
      <c r="C77" s="69" t="s">
        <v>29</v>
      </c>
      <c r="D77" s="12">
        <v>1</v>
      </c>
      <c r="E77" s="12">
        <v>3</v>
      </c>
      <c r="F77" s="11">
        <v>-7.7</v>
      </c>
      <c r="G77" s="11"/>
      <c r="H77" s="11"/>
      <c r="I77" s="9"/>
      <c r="J77" s="1">
        <v>97</v>
      </c>
      <c r="K77" s="12">
        <f>IF(J77="~","~",IFERROR(J77-J76,J77-LOOKUP(9999999,$J$6:J76)))</f>
        <v>-3</v>
      </c>
      <c r="L77" s="9"/>
      <c r="M77" s="45">
        <f t="shared" si="1"/>
        <v>43.149999999999991</v>
      </c>
      <c r="N77" s="151">
        <v>938.5</v>
      </c>
      <c r="O77" s="142">
        <v>93</v>
      </c>
      <c r="P77" s="181"/>
    </row>
    <row r="78" spans="1:16" x14ac:dyDescent="0.25">
      <c r="A78" s="54">
        <v>44995</v>
      </c>
      <c r="B78" s="8" t="s">
        <v>10</v>
      </c>
      <c r="C78" s="69" t="s">
        <v>41</v>
      </c>
      <c r="D78" s="12">
        <v>2</v>
      </c>
      <c r="E78" s="12">
        <v>4</v>
      </c>
      <c r="F78" s="11">
        <v>-8.1999999999999993</v>
      </c>
      <c r="G78" s="11"/>
      <c r="H78" s="11"/>
      <c r="I78" s="9" t="s">
        <v>127</v>
      </c>
      <c r="J78" s="1">
        <v>102</v>
      </c>
      <c r="K78" s="12">
        <f>IF(J78="~","~",IFERROR(J78-J77,J78-LOOKUP(9999999,$J$6:J77)))</f>
        <v>5</v>
      </c>
      <c r="L78" s="9"/>
      <c r="M78" s="45">
        <f t="shared" si="1"/>
        <v>43.149999999999991</v>
      </c>
      <c r="N78" s="151">
        <v>940.6</v>
      </c>
      <c r="O78" s="142">
        <v>71</v>
      </c>
      <c r="P78" s="181"/>
    </row>
    <row r="79" spans="1:16" x14ac:dyDescent="0.25">
      <c r="A79" s="54">
        <v>44995</v>
      </c>
      <c r="B79" s="8" t="s">
        <v>11</v>
      </c>
      <c r="C79" s="69" t="s">
        <v>41</v>
      </c>
      <c r="D79" s="12">
        <v>3</v>
      </c>
      <c r="E79" s="12">
        <v>4</v>
      </c>
      <c r="F79" s="11">
        <v>-11.6</v>
      </c>
      <c r="G79" s="11"/>
      <c r="H79" s="11"/>
      <c r="I79" s="9" t="s">
        <v>127</v>
      </c>
      <c r="J79" s="1">
        <v>99</v>
      </c>
      <c r="K79" s="12">
        <f>IF(J79="~","~",IFERROR(J79-J78,J79-LOOKUP(9999999,$J$6:J78)))</f>
        <v>-3</v>
      </c>
      <c r="L79" s="9"/>
      <c r="M79" s="45">
        <f t="shared" si="1"/>
        <v>43.149999999999991</v>
      </c>
      <c r="N79" s="151">
        <v>942.8</v>
      </c>
      <c r="O79" s="142">
        <v>79</v>
      </c>
      <c r="P79" s="181"/>
    </row>
    <row r="80" spans="1:16" x14ac:dyDescent="0.25">
      <c r="A80" s="54">
        <v>44995</v>
      </c>
      <c r="B80" s="8" t="s">
        <v>12</v>
      </c>
      <c r="C80" s="69" t="s">
        <v>41</v>
      </c>
      <c r="D80" s="12">
        <v>4</v>
      </c>
      <c r="E80" s="12">
        <v>4</v>
      </c>
      <c r="F80" s="11">
        <v>-12</v>
      </c>
      <c r="G80" s="11"/>
      <c r="H80" s="11"/>
      <c r="I80" s="9"/>
      <c r="J80" s="1">
        <v>99</v>
      </c>
      <c r="K80" s="12">
        <f>IF(J80="~","~",IFERROR(J80-J79,J80-LOOKUP(9999999,$J$6:J79)))</f>
        <v>0</v>
      </c>
      <c r="L80" s="9"/>
      <c r="M80" s="45">
        <f t="shared" si="1"/>
        <v>43.149999999999991</v>
      </c>
      <c r="N80" s="151">
        <v>944.4</v>
      </c>
      <c r="O80" s="142">
        <v>71</v>
      </c>
      <c r="P80" s="181"/>
    </row>
    <row r="81" spans="1:16" x14ac:dyDescent="0.25">
      <c r="A81" s="54">
        <v>44995</v>
      </c>
      <c r="B81" s="8" t="s">
        <v>13</v>
      </c>
      <c r="C81" s="69" t="s">
        <v>41</v>
      </c>
      <c r="D81" s="12">
        <v>3</v>
      </c>
      <c r="E81" s="12">
        <v>4</v>
      </c>
      <c r="F81" s="11">
        <v>-9.6999999999999993</v>
      </c>
      <c r="G81" s="11"/>
      <c r="H81" s="11"/>
      <c r="I81" s="9"/>
      <c r="J81" s="1">
        <v>101</v>
      </c>
      <c r="K81" s="12">
        <f>IF(J81="~","~",IFERROR(J81-J80,J81-LOOKUP(9999999,$J$6:J80)))</f>
        <v>2</v>
      </c>
      <c r="L81" s="9"/>
      <c r="M81" s="45">
        <f t="shared" si="1"/>
        <v>43.149999999999991</v>
      </c>
      <c r="N81" s="151">
        <v>945.9</v>
      </c>
      <c r="O81" s="142">
        <v>65</v>
      </c>
      <c r="P81" s="181"/>
    </row>
    <row r="82" spans="1:16" x14ac:dyDescent="0.25">
      <c r="A82" s="54">
        <v>44995</v>
      </c>
      <c r="B82" s="8" t="s">
        <v>14</v>
      </c>
      <c r="C82" s="69" t="s">
        <v>40</v>
      </c>
      <c r="D82" s="12">
        <v>2</v>
      </c>
      <c r="E82" s="12">
        <v>3</v>
      </c>
      <c r="F82" s="11">
        <v>-7.8</v>
      </c>
      <c r="G82" s="11"/>
      <c r="H82" s="11"/>
      <c r="I82" s="9"/>
      <c r="J82" s="1">
        <v>102</v>
      </c>
      <c r="K82" s="12">
        <f>IF(J82="~","~",IFERROR(J82-J81,J82-LOOKUP(9999999,$J$6:J81)))</f>
        <v>1</v>
      </c>
      <c r="L82" s="9"/>
      <c r="M82" s="45">
        <f t="shared" si="1"/>
        <v>43.149999999999991</v>
      </c>
      <c r="N82" s="151">
        <v>946.8</v>
      </c>
      <c r="O82" s="142">
        <v>67</v>
      </c>
      <c r="P82" s="181"/>
    </row>
    <row r="83" spans="1:16" x14ac:dyDescent="0.25">
      <c r="A83" s="54">
        <v>44995</v>
      </c>
      <c r="B83" s="8" t="s">
        <v>15</v>
      </c>
      <c r="C83" s="69" t="s">
        <v>40</v>
      </c>
      <c r="D83" s="12">
        <v>1</v>
      </c>
      <c r="E83" s="12">
        <v>1</v>
      </c>
      <c r="F83" s="11">
        <v>-6.6</v>
      </c>
      <c r="G83" s="11"/>
      <c r="H83" s="11"/>
      <c r="I83" s="9"/>
      <c r="J83" s="1">
        <v>102</v>
      </c>
      <c r="K83" s="12">
        <f>IF(J83="~","~",IFERROR(J83-J82,J83-LOOKUP(9999999,$J$6:J82)))</f>
        <v>0</v>
      </c>
      <c r="L83" s="9"/>
      <c r="M83" s="45">
        <f t="shared" si="1"/>
        <v>43.149999999999991</v>
      </c>
      <c r="N83" s="151">
        <v>947</v>
      </c>
      <c r="O83" s="142">
        <v>65</v>
      </c>
      <c r="P83" s="181"/>
    </row>
    <row r="84" spans="1:16" x14ac:dyDescent="0.25">
      <c r="A84" s="54">
        <v>44995</v>
      </c>
      <c r="B84" s="8" t="s">
        <v>16</v>
      </c>
      <c r="C84" s="69" t="s">
        <v>37</v>
      </c>
      <c r="D84" s="12">
        <v>1</v>
      </c>
      <c r="E84" s="12">
        <v>1</v>
      </c>
      <c r="F84" s="11">
        <v>-7.8</v>
      </c>
      <c r="G84" s="11"/>
      <c r="H84" s="11"/>
      <c r="I84" s="9" t="s">
        <v>130</v>
      </c>
      <c r="J84" s="69">
        <v>102</v>
      </c>
      <c r="K84" s="12">
        <f>IF(J84="~","~",IFERROR(J84-J83,J84-LOOKUP(9999999,$J$6:J83)))</f>
        <v>0</v>
      </c>
      <c r="L84" s="9"/>
      <c r="M84" s="45">
        <f t="shared" si="1"/>
        <v>43.149999999999991</v>
      </c>
      <c r="N84" s="151">
        <v>947.7</v>
      </c>
      <c r="O84" s="142">
        <v>85</v>
      </c>
      <c r="P84" s="181"/>
    </row>
    <row r="85" spans="1:16" x14ac:dyDescent="0.25">
      <c r="A85" s="54">
        <v>44995</v>
      </c>
      <c r="B85" s="8" t="s">
        <v>17</v>
      </c>
      <c r="C85" s="69" t="s">
        <v>131</v>
      </c>
      <c r="D85" s="12">
        <v>0</v>
      </c>
      <c r="E85" s="12">
        <v>0</v>
      </c>
      <c r="F85" s="11">
        <v>-8.3000000000000007</v>
      </c>
      <c r="G85" s="11"/>
      <c r="H85" s="11"/>
      <c r="I85" s="9" t="s">
        <v>130</v>
      </c>
      <c r="J85" s="1">
        <v>96</v>
      </c>
      <c r="K85" s="12">
        <f>IF(J85="~","~",IFERROR(J85-J84,J85-LOOKUP(9999999,$J$6:J84)))</f>
        <v>-6</v>
      </c>
      <c r="L85" s="9"/>
      <c r="M85" s="45">
        <f t="shared" si="1"/>
        <v>43.149999999999991</v>
      </c>
      <c r="N85" s="151">
        <v>948.4</v>
      </c>
      <c r="O85" s="142">
        <v>88</v>
      </c>
      <c r="P85" s="181"/>
    </row>
    <row r="86" spans="1:16" x14ac:dyDescent="0.25">
      <c r="A86" s="55">
        <v>44996</v>
      </c>
      <c r="B86" s="8" t="s">
        <v>10</v>
      </c>
      <c r="C86" s="69" t="s">
        <v>36</v>
      </c>
      <c r="D86" s="12">
        <v>2</v>
      </c>
      <c r="E86" s="12">
        <v>3</v>
      </c>
      <c r="F86" s="11">
        <v>-8.1999999999999993</v>
      </c>
      <c r="G86" s="11"/>
      <c r="H86" s="11"/>
      <c r="I86" s="9" t="s">
        <v>130</v>
      </c>
      <c r="J86" s="1">
        <v>101</v>
      </c>
      <c r="K86" s="12">
        <f>IF(J86="~","~",IFERROR(J86-J85,J86-LOOKUP(9999999,$J$6:J85)))</f>
        <v>5</v>
      </c>
      <c r="L86" s="9"/>
      <c r="M86" s="45">
        <f t="shared" si="1"/>
        <v>43.149999999999991</v>
      </c>
      <c r="N86" s="151">
        <v>948.4</v>
      </c>
      <c r="O86" s="142">
        <v>86</v>
      </c>
      <c r="P86" s="181"/>
    </row>
    <row r="87" spans="1:16" x14ac:dyDescent="0.25">
      <c r="A87" s="55">
        <v>44996</v>
      </c>
      <c r="B87" s="8" t="s">
        <v>11</v>
      </c>
      <c r="C87" s="69" t="s">
        <v>36</v>
      </c>
      <c r="D87" s="12">
        <v>1</v>
      </c>
      <c r="E87" s="12">
        <v>2</v>
      </c>
      <c r="F87" s="11">
        <v>-8.3000000000000007</v>
      </c>
      <c r="G87" s="11"/>
      <c r="H87" s="11"/>
      <c r="I87" s="9"/>
      <c r="J87" s="1">
        <v>101</v>
      </c>
      <c r="K87" s="12">
        <f>IF(J87="~","~",IFERROR(J87-J86,J87-LOOKUP(9999999,$J$6:J86)))</f>
        <v>0</v>
      </c>
      <c r="L87" s="9"/>
      <c r="M87" s="45">
        <f t="shared" si="1"/>
        <v>43.149999999999991</v>
      </c>
      <c r="N87" s="151">
        <v>947.9</v>
      </c>
      <c r="O87" s="142">
        <v>85</v>
      </c>
      <c r="P87" s="181"/>
    </row>
    <row r="88" spans="1:16" x14ac:dyDescent="0.25">
      <c r="A88" s="55">
        <v>44996</v>
      </c>
      <c r="B88" s="8" t="s">
        <v>12</v>
      </c>
      <c r="C88" s="69" t="s">
        <v>40</v>
      </c>
      <c r="D88" s="12">
        <v>1</v>
      </c>
      <c r="E88" s="12">
        <v>2</v>
      </c>
      <c r="F88" s="11">
        <v>-9.6</v>
      </c>
      <c r="G88" s="11"/>
      <c r="H88" s="11"/>
      <c r="I88" s="9"/>
      <c r="J88" s="1">
        <v>100</v>
      </c>
      <c r="K88" s="12">
        <f>IF(J88="~","~",IFERROR(J88-J87,J88-LOOKUP(9999999,$J$6:J87)))</f>
        <v>-1</v>
      </c>
      <c r="L88" s="9"/>
      <c r="M88" s="45">
        <f t="shared" si="1"/>
        <v>43.149999999999991</v>
      </c>
      <c r="N88" s="151">
        <v>948.3</v>
      </c>
      <c r="O88" s="142">
        <v>86</v>
      </c>
      <c r="P88" s="181"/>
    </row>
    <row r="89" spans="1:16" x14ac:dyDescent="0.25">
      <c r="A89" s="55">
        <v>44996</v>
      </c>
      <c r="B89" s="8" t="s">
        <v>13</v>
      </c>
      <c r="C89" s="69" t="s">
        <v>41</v>
      </c>
      <c r="D89" s="12">
        <v>3</v>
      </c>
      <c r="E89" s="12">
        <v>4</v>
      </c>
      <c r="F89" s="11">
        <v>-12.2</v>
      </c>
      <c r="G89" s="11"/>
      <c r="H89" s="11"/>
      <c r="I89" s="9"/>
      <c r="J89" s="1">
        <v>99</v>
      </c>
      <c r="K89" s="12">
        <f>IF(J89="~","~",IFERROR(J89-J88,J89-LOOKUP(9999999,$J$6:J88)))</f>
        <v>-1</v>
      </c>
      <c r="L89" s="9"/>
      <c r="M89" s="45">
        <f t="shared" si="1"/>
        <v>43.149999999999991</v>
      </c>
      <c r="N89" s="151">
        <v>948.7</v>
      </c>
      <c r="O89" s="142">
        <v>84</v>
      </c>
      <c r="P89" s="181"/>
    </row>
    <row r="90" spans="1:16" x14ac:dyDescent="0.25">
      <c r="A90" s="55">
        <v>44996</v>
      </c>
      <c r="B90" s="8" t="s">
        <v>14</v>
      </c>
      <c r="C90" s="69" t="s">
        <v>41</v>
      </c>
      <c r="D90" s="12">
        <v>3</v>
      </c>
      <c r="E90" s="12">
        <v>3</v>
      </c>
      <c r="F90" s="11">
        <v>-8.6999999999999993</v>
      </c>
      <c r="G90" s="11"/>
      <c r="H90" s="11"/>
      <c r="I90" s="9"/>
      <c r="J90" s="1">
        <v>99</v>
      </c>
      <c r="K90" s="12">
        <f>IF(J90="~","~",IFERROR(J90-J89,J90-LOOKUP(9999999,$J$6:J89)))</f>
        <v>0</v>
      </c>
      <c r="L90" s="9"/>
      <c r="M90" s="45">
        <f t="shared" si="1"/>
        <v>43.149999999999991</v>
      </c>
      <c r="N90" s="151">
        <v>948.7</v>
      </c>
      <c r="O90" s="142">
        <v>75</v>
      </c>
      <c r="P90" s="181"/>
    </row>
    <row r="91" spans="1:16" x14ac:dyDescent="0.25">
      <c r="A91" s="55">
        <v>44996</v>
      </c>
      <c r="B91" s="8" t="s">
        <v>15</v>
      </c>
      <c r="C91" s="69" t="s">
        <v>41</v>
      </c>
      <c r="D91" s="12">
        <v>0</v>
      </c>
      <c r="E91" s="12">
        <v>1</v>
      </c>
      <c r="F91" s="11">
        <v>-7.3</v>
      </c>
      <c r="G91" s="11"/>
      <c r="H91" s="11"/>
      <c r="I91" s="9"/>
      <c r="J91" s="1">
        <v>100</v>
      </c>
      <c r="K91" s="12">
        <f>IF(J91="~","~",IFERROR(J91-J90,J91-LOOKUP(9999999,$J$6:J90)))</f>
        <v>1</v>
      </c>
      <c r="L91" s="9"/>
      <c r="M91" s="45">
        <f t="shared" si="1"/>
        <v>43.149999999999991</v>
      </c>
      <c r="N91" s="151">
        <v>948.1</v>
      </c>
      <c r="O91" s="142">
        <v>70</v>
      </c>
      <c r="P91" s="181"/>
    </row>
    <row r="92" spans="1:16" x14ac:dyDescent="0.25">
      <c r="A92" s="55">
        <v>44996</v>
      </c>
      <c r="B92" s="8" t="s">
        <v>16</v>
      </c>
      <c r="C92" s="69" t="s">
        <v>41</v>
      </c>
      <c r="D92" s="12">
        <v>2</v>
      </c>
      <c r="E92" s="12">
        <v>3</v>
      </c>
      <c r="F92" s="11">
        <v>-10.4</v>
      </c>
      <c r="G92" s="11"/>
      <c r="H92" s="11"/>
      <c r="I92" s="9"/>
      <c r="J92" s="1">
        <v>100</v>
      </c>
      <c r="K92" s="12">
        <f>IF(J92="~","~",IFERROR(J92-J91,J92-LOOKUP(9999999,$J$6:J91)))</f>
        <v>0</v>
      </c>
      <c r="L92" s="9"/>
      <c r="M92" s="45">
        <f t="shared" si="1"/>
        <v>43.149999999999991</v>
      </c>
      <c r="N92" s="151">
        <v>949.1</v>
      </c>
      <c r="O92" s="142">
        <v>74</v>
      </c>
      <c r="P92" s="181"/>
    </row>
    <row r="93" spans="1:16" x14ac:dyDescent="0.25">
      <c r="A93" s="55">
        <v>44996</v>
      </c>
      <c r="B93" s="8" t="s">
        <v>17</v>
      </c>
      <c r="C93" s="69" t="s">
        <v>41</v>
      </c>
      <c r="D93" s="12">
        <v>3</v>
      </c>
      <c r="E93" s="12">
        <v>3</v>
      </c>
      <c r="F93" s="11">
        <v>-11</v>
      </c>
      <c r="G93" s="11"/>
      <c r="H93" s="11"/>
      <c r="I93" s="9"/>
      <c r="J93" s="1">
        <v>100</v>
      </c>
      <c r="K93" s="12">
        <f>IF(J93="~","~",IFERROR(J93-J92,J93-LOOKUP(9999999,$J$6:J92)))</f>
        <v>0</v>
      </c>
      <c r="L93" s="9"/>
      <c r="M93" s="45">
        <f t="shared" si="1"/>
        <v>43.149999999999991</v>
      </c>
      <c r="N93" s="151">
        <v>950.5</v>
      </c>
      <c r="O93" s="142">
        <v>73</v>
      </c>
      <c r="P93" s="181"/>
    </row>
    <row r="94" spans="1:16" x14ac:dyDescent="0.25">
      <c r="A94" s="48">
        <v>44997</v>
      </c>
      <c r="B94" s="8" t="s">
        <v>10</v>
      </c>
      <c r="C94" s="69" t="s">
        <v>41</v>
      </c>
      <c r="D94" s="12">
        <v>3</v>
      </c>
      <c r="E94" s="12">
        <v>4</v>
      </c>
      <c r="F94" s="11">
        <v>-10.9</v>
      </c>
      <c r="G94" s="11"/>
      <c r="H94" s="11"/>
      <c r="I94" s="9"/>
      <c r="J94" s="1">
        <v>100</v>
      </c>
      <c r="K94" s="12">
        <f>IF(J94="~","~",IFERROR(J94-J93,J94-LOOKUP(9999999,$J$6:J93)))</f>
        <v>0</v>
      </c>
      <c r="L94" s="9"/>
      <c r="M94" s="45">
        <f t="shared" si="1"/>
        <v>43.149999999999991</v>
      </c>
      <c r="N94" s="151">
        <v>950.6</v>
      </c>
      <c r="O94" s="142">
        <v>63</v>
      </c>
      <c r="P94" s="181"/>
    </row>
    <row r="95" spans="1:16" x14ac:dyDescent="0.25">
      <c r="A95" s="48">
        <v>44997</v>
      </c>
      <c r="B95" s="8" t="s">
        <v>11</v>
      </c>
      <c r="C95" s="69" t="s">
        <v>42</v>
      </c>
      <c r="D95" s="12">
        <v>4</v>
      </c>
      <c r="E95" s="12">
        <v>4</v>
      </c>
      <c r="F95" s="11">
        <v>-12.1</v>
      </c>
      <c r="G95" s="11"/>
      <c r="H95" s="11"/>
      <c r="I95" s="9"/>
      <c r="J95" s="1">
        <v>99</v>
      </c>
      <c r="K95" s="12">
        <f>IF(J95="~","~",IFERROR(J95-J94,J95-LOOKUP(9999999,$J$6:J94)))</f>
        <v>-1</v>
      </c>
      <c r="L95" s="9"/>
      <c r="M95" s="45">
        <f t="shared" si="1"/>
        <v>43.149999999999991</v>
      </c>
      <c r="N95" s="151">
        <v>950.3</v>
      </c>
      <c r="O95" s="142">
        <v>55</v>
      </c>
      <c r="P95" s="181"/>
    </row>
    <row r="96" spans="1:16" x14ac:dyDescent="0.25">
      <c r="A96" s="48">
        <v>44997</v>
      </c>
      <c r="B96" s="8" t="s">
        <v>12</v>
      </c>
      <c r="C96" s="69" t="s">
        <v>42</v>
      </c>
      <c r="D96" s="12">
        <v>3</v>
      </c>
      <c r="E96" s="12">
        <v>4</v>
      </c>
      <c r="F96" s="11">
        <v>-13</v>
      </c>
      <c r="G96" s="11"/>
      <c r="H96" s="11"/>
      <c r="I96" s="9"/>
      <c r="J96" s="1">
        <v>97</v>
      </c>
      <c r="K96" s="12">
        <f>IF(J96="~","~",IFERROR(J96-J95,J96-LOOKUP(9999999,$J$6:J95)))</f>
        <v>-2</v>
      </c>
      <c r="L96" s="9"/>
      <c r="M96" s="45">
        <f t="shared" si="1"/>
        <v>43.149999999999991</v>
      </c>
      <c r="N96" s="151">
        <v>950.8</v>
      </c>
      <c r="O96" s="142">
        <v>55</v>
      </c>
      <c r="P96" s="181"/>
    </row>
    <row r="97" spans="1:16" x14ac:dyDescent="0.25">
      <c r="A97" s="48">
        <v>44997</v>
      </c>
      <c r="B97" s="8" t="s">
        <v>13</v>
      </c>
      <c r="C97" s="69" t="s">
        <v>41</v>
      </c>
      <c r="D97" s="12">
        <v>3</v>
      </c>
      <c r="E97" s="12">
        <v>4</v>
      </c>
      <c r="F97" s="11">
        <v>-12.6</v>
      </c>
      <c r="G97" s="11"/>
      <c r="H97" s="11"/>
      <c r="I97" s="9"/>
      <c r="J97" s="1">
        <v>97</v>
      </c>
      <c r="K97" s="12">
        <f>IF(J97="~","~",IFERROR(J97-J96,J97-LOOKUP(9999999,$J$6:J96)))</f>
        <v>0</v>
      </c>
      <c r="L97" s="9"/>
      <c r="M97" s="45">
        <f t="shared" si="1"/>
        <v>43.149999999999991</v>
      </c>
      <c r="N97" s="151">
        <v>951.7</v>
      </c>
      <c r="O97" s="142">
        <v>50</v>
      </c>
      <c r="P97" s="181"/>
    </row>
    <row r="98" spans="1:16" x14ac:dyDescent="0.25">
      <c r="A98" s="48">
        <v>44997</v>
      </c>
      <c r="B98" s="8" t="s">
        <v>14</v>
      </c>
      <c r="C98" s="69" t="s">
        <v>41</v>
      </c>
      <c r="D98" s="12">
        <v>2</v>
      </c>
      <c r="E98" s="12">
        <v>3</v>
      </c>
      <c r="F98" s="11">
        <v>-10.3</v>
      </c>
      <c r="G98" s="11"/>
      <c r="H98" s="11"/>
      <c r="I98" s="9"/>
      <c r="J98" s="1">
        <v>99</v>
      </c>
      <c r="K98" s="12">
        <f>IF(J98="~","~",IFERROR(J98-J97,J98-LOOKUP(9999999,$J$6:J97)))</f>
        <v>2</v>
      </c>
      <c r="L98" s="9"/>
      <c r="M98" s="45">
        <f t="shared" si="1"/>
        <v>43.149999999999991</v>
      </c>
      <c r="N98" s="151">
        <v>951.5</v>
      </c>
      <c r="O98" s="142">
        <v>50</v>
      </c>
      <c r="P98" s="181"/>
    </row>
    <row r="99" spans="1:16" x14ac:dyDescent="0.25">
      <c r="A99" s="48">
        <v>44997</v>
      </c>
      <c r="B99" s="8" t="s">
        <v>15</v>
      </c>
      <c r="C99" s="69" t="s">
        <v>41</v>
      </c>
      <c r="D99" s="12">
        <v>2</v>
      </c>
      <c r="E99" s="12">
        <v>3</v>
      </c>
      <c r="F99" s="11">
        <v>-8.1999999999999993</v>
      </c>
      <c r="G99" s="11"/>
      <c r="H99" s="11"/>
      <c r="I99" s="9"/>
      <c r="J99" s="1">
        <v>98</v>
      </c>
      <c r="K99" s="12">
        <f>IF(J99="~","~",IFERROR(J99-J98,J99-LOOKUP(9999999,$J$6:J98)))</f>
        <v>-1</v>
      </c>
      <c r="L99" s="9"/>
      <c r="M99" s="45">
        <f t="shared" si="1"/>
        <v>43.149999999999991</v>
      </c>
      <c r="N99" s="151">
        <v>950.7</v>
      </c>
      <c r="O99" s="142">
        <v>52</v>
      </c>
      <c r="P99" s="181"/>
    </row>
    <row r="100" spans="1:16" x14ac:dyDescent="0.25">
      <c r="A100" s="48">
        <v>44997</v>
      </c>
      <c r="B100" s="8" t="s">
        <v>16</v>
      </c>
      <c r="C100" s="69" t="s">
        <v>41</v>
      </c>
      <c r="D100" s="12">
        <v>4</v>
      </c>
      <c r="E100" s="12">
        <v>5</v>
      </c>
      <c r="F100" s="11">
        <v>-11.3</v>
      </c>
      <c r="G100" s="11"/>
      <c r="H100" s="11"/>
      <c r="I100" s="9"/>
      <c r="J100" s="1">
        <v>95</v>
      </c>
      <c r="K100" s="12">
        <f>IF(J100="~","~",IFERROR(J100-J99,J100-LOOKUP(9999999,$J$6:J99)))</f>
        <v>-3</v>
      </c>
      <c r="L100" s="9"/>
      <c r="M100" s="45">
        <f t="shared" si="1"/>
        <v>43.149999999999991</v>
      </c>
      <c r="N100" s="151">
        <v>951.5</v>
      </c>
      <c r="O100" s="142">
        <v>57</v>
      </c>
      <c r="P100" s="181"/>
    </row>
    <row r="101" spans="1:16" x14ac:dyDescent="0.25">
      <c r="A101" s="48">
        <v>44997</v>
      </c>
      <c r="B101" s="8" t="s">
        <v>17</v>
      </c>
      <c r="C101" s="69" t="s">
        <v>41</v>
      </c>
      <c r="D101" s="12">
        <v>1</v>
      </c>
      <c r="E101" s="12">
        <v>2</v>
      </c>
      <c r="F101" s="11">
        <v>-12.7</v>
      </c>
      <c r="G101" s="11"/>
      <c r="H101" s="11"/>
      <c r="I101" s="9"/>
      <c r="J101" s="1">
        <v>95</v>
      </c>
      <c r="K101" s="12">
        <f>IF(J101="~","~",IFERROR(J101-J100,J101-LOOKUP(9999999,$J$6:J100)))</f>
        <v>0</v>
      </c>
      <c r="L101" s="9"/>
      <c r="M101" s="45">
        <f t="shared" si="1"/>
        <v>43.149999999999991</v>
      </c>
      <c r="N101" s="151">
        <v>952.3</v>
      </c>
      <c r="O101" s="142">
        <v>65</v>
      </c>
      <c r="P101" s="181"/>
    </row>
    <row r="102" spans="1:16" x14ac:dyDescent="0.25">
      <c r="A102" s="46">
        <v>44998</v>
      </c>
      <c r="B102" s="8" t="s">
        <v>10</v>
      </c>
      <c r="C102" s="69" t="s">
        <v>29</v>
      </c>
      <c r="D102" s="12">
        <v>2</v>
      </c>
      <c r="E102" s="12">
        <v>3</v>
      </c>
      <c r="F102" s="11">
        <v>-13.4</v>
      </c>
      <c r="G102" s="11"/>
      <c r="H102" s="11"/>
      <c r="I102" s="9"/>
      <c r="J102" s="1">
        <v>94</v>
      </c>
      <c r="K102" s="12">
        <f>IF(J102="~","~",IFERROR(J102-J101,J102-LOOKUP(9999999,$J$6:J101)))</f>
        <v>-1</v>
      </c>
      <c r="L102" s="9"/>
      <c r="M102" s="45">
        <f t="shared" si="1"/>
        <v>43.149999999999991</v>
      </c>
      <c r="N102" s="151">
        <v>952</v>
      </c>
      <c r="O102" s="142">
        <v>67</v>
      </c>
      <c r="P102" s="181"/>
    </row>
    <row r="103" spans="1:16" x14ac:dyDescent="0.25">
      <c r="A103" s="46">
        <v>44998</v>
      </c>
      <c r="B103" s="8" t="s">
        <v>11</v>
      </c>
      <c r="C103" s="69" t="s">
        <v>29</v>
      </c>
      <c r="D103" s="12">
        <v>2</v>
      </c>
      <c r="E103" s="12">
        <v>4</v>
      </c>
      <c r="F103" s="11">
        <v>-11.7</v>
      </c>
      <c r="G103" s="11"/>
      <c r="H103" s="11"/>
      <c r="I103" s="9"/>
      <c r="J103" s="1">
        <v>96</v>
      </c>
      <c r="K103" s="12">
        <f>IF(J103="~","~",IFERROR(J103-J102,J103-LOOKUP(9999999,$J$6:J102)))</f>
        <v>2</v>
      </c>
      <c r="L103" s="9"/>
      <c r="M103" s="45">
        <f t="shared" si="1"/>
        <v>43.149999999999991</v>
      </c>
      <c r="N103" s="151">
        <v>951.3</v>
      </c>
      <c r="O103" s="142">
        <v>70</v>
      </c>
      <c r="P103" s="181"/>
    </row>
    <row r="104" spans="1:16" x14ac:dyDescent="0.25">
      <c r="A104" s="46">
        <v>44998</v>
      </c>
      <c r="B104" s="8" t="s">
        <v>12</v>
      </c>
      <c r="C104" s="69" t="s">
        <v>41</v>
      </c>
      <c r="D104" s="12">
        <v>1</v>
      </c>
      <c r="E104" s="12">
        <v>2</v>
      </c>
      <c r="F104" s="11">
        <v>-11.4</v>
      </c>
      <c r="G104" s="11"/>
      <c r="H104" s="11"/>
      <c r="I104" s="9"/>
      <c r="J104" s="1">
        <v>97</v>
      </c>
      <c r="K104" s="12">
        <f>IF(J104="~","~",IFERROR(J104-J103,J104-LOOKUP(9999999,$J$6:J103)))</f>
        <v>1</v>
      </c>
      <c r="L104" s="9"/>
      <c r="M104" s="45">
        <f t="shared" si="1"/>
        <v>43.149999999999991</v>
      </c>
      <c r="N104" s="151">
        <v>951.6</v>
      </c>
      <c r="O104" s="142">
        <v>70</v>
      </c>
      <c r="P104" s="181"/>
    </row>
    <row r="105" spans="1:16" x14ac:dyDescent="0.25">
      <c r="A105" s="46">
        <v>44998</v>
      </c>
      <c r="B105" s="8" t="s">
        <v>13</v>
      </c>
      <c r="C105" s="69" t="s">
        <v>41</v>
      </c>
      <c r="D105" s="12">
        <v>1</v>
      </c>
      <c r="E105" s="12">
        <v>1</v>
      </c>
      <c r="F105" s="11">
        <v>-9.6999999999999993</v>
      </c>
      <c r="G105" s="11"/>
      <c r="H105" s="11"/>
      <c r="I105" s="9"/>
      <c r="J105" s="1">
        <v>100</v>
      </c>
      <c r="K105" s="12">
        <f>IF(J105="~","~",IFERROR(J105-J104,J105-LOOKUP(9999999,$J$6:J104)))</f>
        <v>3</v>
      </c>
      <c r="L105" s="9"/>
      <c r="M105" s="45">
        <f t="shared" si="1"/>
        <v>43.149999999999991</v>
      </c>
      <c r="N105" s="151">
        <v>952.7</v>
      </c>
      <c r="O105" s="142">
        <v>64</v>
      </c>
      <c r="P105" s="181"/>
    </row>
    <row r="106" spans="1:16" x14ac:dyDescent="0.25">
      <c r="A106" s="46">
        <v>44998</v>
      </c>
      <c r="B106" s="8" t="s">
        <v>14</v>
      </c>
      <c r="C106" s="69" t="s">
        <v>30</v>
      </c>
      <c r="D106" s="12">
        <v>1</v>
      </c>
      <c r="E106" s="12">
        <v>2</v>
      </c>
      <c r="F106" s="11">
        <v>-5.8</v>
      </c>
      <c r="G106" s="11"/>
      <c r="H106" s="11"/>
      <c r="I106" s="9"/>
      <c r="J106" s="1">
        <v>102</v>
      </c>
      <c r="K106" s="12">
        <f>IF(J106="~","~",IFERROR(J106-J105,J106-LOOKUP(9999999,$J$6:J105)))</f>
        <v>2</v>
      </c>
      <c r="L106" s="9"/>
      <c r="M106" s="45">
        <f t="shared" si="1"/>
        <v>43.149999999999991</v>
      </c>
      <c r="N106" s="151">
        <v>953</v>
      </c>
      <c r="O106" s="142">
        <v>60</v>
      </c>
      <c r="P106" s="181"/>
    </row>
    <row r="107" spans="1:16" x14ac:dyDescent="0.25">
      <c r="A107" s="46">
        <v>44998</v>
      </c>
      <c r="B107" s="8" t="s">
        <v>15</v>
      </c>
      <c r="C107" s="69" t="s">
        <v>41</v>
      </c>
      <c r="D107" s="12">
        <v>1</v>
      </c>
      <c r="E107" s="12">
        <v>2</v>
      </c>
      <c r="F107" s="11">
        <v>-4.8</v>
      </c>
      <c r="G107" s="11"/>
      <c r="H107" s="11"/>
      <c r="I107" s="9"/>
      <c r="J107" s="1">
        <v>102</v>
      </c>
      <c r="K107" s="12">
        <f>IF(J107="~","~",IFERROR(J107-J106,J107-LOOKUP(9999999,$J$6:J106)))</f>
        <v>0</v>
      </c>
      <c r="L107" s="9"/>
      <c r="M107" s="45">
        <f t="shared" si="1"/>
        <v>43.149999999999991</v>
      </c>
      <c r="N107" s="151">
        <v>952.4</v>
      </c>
      <c r="O107" s="142">
        <v>70</v>
      </c>
      <c r="P107" s="181"/>
    </row>
    <row r="108" spans="1:16" x14ac:dyDescent="0.25">
      <c r="A108" s="46">
        <v>44998</v>
      </c>
      <c r="B108" s="8" t="s">
        <v>16</v>
      </c>
      <c r="C108" s="69" t="s">
        <v>41</v>
      </c>
      <c r="D108" s="12">
        <v>1</v>
      </c>
      <c r="E108" s="12">
        <v>2</v>
      </c>
      <c r="F108" s="11">
        <v>-4.3</v>
      </c>
      <c r="G108" s="11"/>
      <c r="H108" s="11"/>
      <c r="I108" s="9"/>
      <c r="J108" s="1">
        <v>103</v>
      </c>
      <c r="K108" s="12">
        <f>IF(J108="~","~",IFERROR(J108-J107,J108-LOOKUP(9999999,$J$6:J107)))</f>
        <v>1</v>
      </c>
      <c r="L108" s="9"/>
      <c r="M108" s="45">
        <f t="shared" si="1"/>
        <v>43.149999999999991</v>
      </c>
      <c r="N108" s="151">
        <v>952.3</v>
      </c>
      <c r="O108" s="142">
        <v>76</v>
      </c>
      <c r="P108" s="181"/>
    </row>
    <row r="109" spans="1:16" x14ac:dyDescent="0.25">
      <c r="A109" s="46">
        <v>44998</v>
      </c>
      <c r="B109" s="8" t="s">
        <v>17</v>
      </c>
      <c r="C109" s="69" t="s">
        <v>41</v>
      </c>
      <c r="D109" s="12">
        <v>2</v>
      </c>
      <c r="E109" s="12">
        <v>3</v>
      </c>
      <c r="F109" s="11">
        <v>-4.8</v>
      </c>
      <c r="G109" s="11"/>
      <c r="H109" s="11"/>
      <c r="I109" s="9"/>
      <c r="J109" s="1">
        <v>102</v>
      </c>
      <c r="K109" s="12">
        <f>IF(J109="~","~",IFERROR(J109-J108,J109-LOOKUP(9999999,$J$6:J108)))</f>
        <v>-1</v>
      </c>
      <c r="L109" s="9"/>
      <c r="M109" s="45">
        <f t="shared" si="1"/>
        <v>43.149999999999991</v>
      </c>
      <c r="N109" s="151">
        <v>953.7</v>
      </c>
      <c r="O109" s="142">
        <v>74</v>
      </c>
      <c r="P109" s="181"/>
    </row>
    <row r="110" spans="1:16" x14ac:dyDescent="0.25">
      <c r="A110" s="56">
        <v>44999</v>
      </c>
      <c r="B110" s="8" t="s">
        <v>10</v>
      </c>
      <c r="C110" s="69" t="s">
        <v>41</v>
      </c>
      <c r="D110" s="12">
        <v>3</v>
      </c>
      <c r="E110" s="12">
        <v>5</v>
      </c>
      <c r="F110" s="11">
        <v>-5.7</v>
      </c>
      <c r="G110" s="11"/>
      <c r="H110" s="11"/>
      <c r="I110" s="9"/>
      <c r="J110" s="1">
        <v>101</v>
      </c>
      <c r="K110" s="12">
        <f>IF(J110="~","~",IFERROR(J110-J109,J110-LOOKUP(9999999,$J$6:J109)))</f>
        <v>-1</v>
      </c>
      <c r="L110" s="9"/>
      <c r="M110" s="45">
        <f t="shared" si="1"/>
        <v>43.149999999999991</v>
      </c>
      <c r="N110" s="151">
        <v>953.9</v>
      </c>
      <c r="O110" s="142">
        <v>77</v>
      </c>
      <c r="P110" s="181"/>
    </row>
    <row r="111" spans="1:16" x14ac:dyDescent="0.25">
      <c r="A111" s="56">
        <v>44999</v>
      </c>
      <c r="B111" s="8" t="s">
        <v>11</v>
      </c>
      <c r="C111" s="69" t="s">
        <v>41</v>
      </c>
      <c r="D111" s="12">
        <v>3</v>
      </c>
      <c r="E111" s="12">
        <v>4</v>
      </c>
      <c r="F111" s="11">
        <v>-3.9</v>
      </c>
      <c r="G111" s="11"/>
      <c r="H111" s="11"/>
      <c r="I111" s="9"/>
      <c r="J111" s="1">
        <v>103</v>
      </c>
      <c r="K111" s="12">
        <f>IF(J111="~","~",IFERROR(J111-J110,J111-LOOKUP(9999999,$J$6:J110)))</f>
        <v>2</v>
      </c>
      <c r="L111" s="9"/>
      <c r="M111" s="45">
        <f t="shared" si="1"/>
        <v>43.149999999999991</v>
      </c>
      <c r="N111" s="151">
        <v>954.4</v>
      </c>
      <c r="O111" s="142">
        <v>72</v>
      </c>
      <c r="P111" s="181"/>
    </row>
    <row r="112" spans="1:16" x14ac:dyDescent="0.25">
      <c r="A112" s="56">
        <v>44999</v>
      </c>
      <c r="B112" s="8" t="s">
        <v>12</v>
      </c>
      <c r="C112" s="69" t="s">
        <v>41</v>
      </c>
      <c r="D112" s="12">
        <v>3</v>
      </c>
      <c r="E112" s="12">
        <v>3</v>
      </c>
      <c r="F112" s="11">
        <v>-3.2</v>
      </c>
      <c r="G112" s="11"/>
      <c r="H112" s="11"/>
      <c r="I112" s="9"/>
      <c r="J112" s="1">
        <v>102</v>
      </c>
      <c r="K112" s="12">
        <f>IF(J112="~","~",IFERROR(J112-J111,J112-LOOKUP(9999999,$J$6:J111)))</f>
        <v>-1</v>
      </c>
      <c r="L112" s="9"/>
      <c r="M112" s="45">
        <f t="shared" si="1"/>
        <v>43.149999999999991</v>
      </c>
      <c r="N112" s="151">
        <v>954.6</v>
      </c>
      <c r="O112" s="142">
        <v>69</v>
      </c>
      <c r="P112" s="181"/>
    </row>
    <row r="113" spans="1:16" x14ac:dyDescent="0.25">
      <c r="A113" s="56">
        <v>44999</v>
      </c>
      <c r="B113" s="8" t="s">
        <v>13</v>
      </c>
      <c r="C113" s="69" t="s">
        <v>41</v>
      </c>
      <c r="D113" s="12">
        <v>3</v>
      </c>
      <c r="E113" s="12">
        <v>4</v>
      </c>
      <c r="F113" s="11">
        <v>-3.2</v>
      </c>
      <c r="G113" s="11"/>
      <c r="H113" s="11"/>
      <c r="I113" s="9"/>
      <c r="J113" s="1">
        <v>102</v>
      </c>
      <c r="K113" s="12">
        <f>IF(J113="~","~",IFERROR(J113-J112,J113-LOOKUP(9999999,$J$6:J112)))</f>
        <v>0</v>
      </c>
      <c r="L113" s="9"/>
      <c r="M113" s="45">
        <f t="shared" si="1"/>
        <v>43.149999999999991</v>
      </c>
      <c r="N113" s="151">
        <v>955.3</v>
      </c>
      <c r="O113" s="142">
        <v>69</v>
      </c>
      <c r="P113" s="181"/>
    </row>
    <row r="114" spans="1:16" x14ac:dyDescent="0.25">
      <c r="A114" s="56">
        <v>44999</v>
      </c>
      <c r="B114" s="8" t="s">
        <v>14</v>
      </c>
      <c r="C114" s="69" t="s">
        <v>41</v>
      </c>
      <c r="D114" s="12">
        <v>1</v>
      </c>
      <c r="E114" s="12">
        <v>2</v>
      </c>
      <c r="F114" s="11">
        <v>-1.8</v>
      </c>
      <c r="G114" s="11"/>
      <c r="H114" s="11"/>
      <c r="I114" s="9"/>
      <c r="J114" s="1">
        <v>102</v>
      </c>
      <c r="K114" s="12">
        <f>IF(J114="~","~",IFERROR(J114-J113,J114-LOOKUP(9999999,$J$6:J113)))</f>
        <v>0</v>
      </c>
      <c r="L114" s="9"/>
      <c r="M114" s="45">
        <f t="shared" si="1"/>
        <v>43.149999999999991</v>
      </c>
      <c r="N114" s="151">
        <v>955.8</v>
      </c>
      <c r="O114" s="142">
        <v>68</v>
      </c>
      <c r="P114" s="181"/>
    </row>
    <row r="115" spans="1:16" x14ac:dyDescent="0.25">
      <c r="A115" s="56">
        <v>44999</v>
      </c>
      <c r="B115" s="8" t="s">
        <v>15</v>
      </c>
      <c r="C115" s="69" t="s">
        <v>41</v>
      </c>
      <c r="D115" s="12">
        <v>0</v>
      </c>
      <c r="E115" s="12">
        <v>1</v>
      </c>
      <c r="F115" s="11">
        <v>1.5</v>
      </c>
      <c r="G115" s="11"/>
      <c r="H115" s="11"/>
      <c r="I115" s="9"/>
      <c r="J115" s="1">
        <v>104</v>
      </c>
      <c r="K115" s="12">
        <f>IF(J115="~","~",IFERROR(J115-J114,J115-LOOKUP(9999999,$J$6:J114)))</f>
        <v>2</v>
      </c>
      <c r="L115" s="9"/>
      <c r="M115" s="45">
        <f t="shared" si="1"/>
        <v>43.149999999999991</v>
      </c>
      <c r="N115" s="151">
        <v>955.4</v>
      </c>
      <c r="O115" s="142">
        <v>57</v>
      </c>
      <c r="P115" s="181"/>
    </row>
    <row r="116" spans="1:16" x14ac:dyDescent="0.25">
      <c r="A116" s="56">
        <v>44999</v>
      </c>
      <c r="B116" s="8" t="s">
        <v>16</v>
      </c>
      <c r="C116" s="69" t="s">
        <v>41</v>
      </c>
      <c r="D116" s="12">
        <v>2</v>
      </c>
      <c r="E116" s="12">
        <v>3</v>
      </c>
      <c r="F116" s="11">
        <v>-4.5</v>
      </c>
      <c r="G116" s="11"/>
      <c r="H116" s="11"/>
      <c r="I116" s="9"/>
      <c r="J116" s="1">
        <v>100</v>
      </c>
      <c r="K116" s="12">
        <f>IF(J116="~","~",IFERROR(J116-J115,J116-LOOKUP(9999999,$J$6:J115)))</f>
        <v>-4</v>
      </c>
      <c r="L116" s="9"/>
      <c r="M116" s="45">
        <f t="shared" si="1"/>
        <v>43.149999999999991</v>
      </c>
      <c r="N116" s="151">
        <v>956.1</v>
      </c>
      <c r="O116" s="142">
        <v>78</v>
      </c>
      <c r="P116" s="181"/>
    </row>
    <row r="117" spans="1:16" x14ac:dyDescent="0.25">
      <c r="A117" s="56">
        <v>44999</v>
      </c>
      <c r="B117" s="8" t="s">
        <v>17</v>
      </c>
      <c r="C117" s="69" t="s">
        <v>41</v>
      </c>
      <c r="D117" s="12">
        <v>3</v>
      </c>
      <c r="E117" s="12">
        <v>4</v>
      </c>
      <c r="F117" s="11">
        <v>-5.5</v>
      </c>
      <c r="G117" s="11"/>
      <c r="H117" s="11"/>
      <c r="I117" s="9"/>
      <c r="J117" s="1">
        <v>100</v>
      </c>
      <c r="K117" s="12">
        <f>IF(J117="~","~",IFERROR(J117-J116,J117-LOOKUP(9999999,$J$6:J116)))</f>
        <v>0</v>
      </c>
      <c r="L117" s="9"/>
      <c r="M117" s="45">
        <f t="shared" si="1"/>
        <v>43.149999999999991</v>
      </c>
      <c r="N117" s="151">
        <v>957.1</v>
      </c>
      <c r="O117" s="142">
        <v>79</v>
      </c>
      <c r="P117" s="181"/>
    </row>
    <row r="118" spans="1:16" x14ac:dyDescent="0.25">
      <c r="A118" s="57">
        <v>45000</v>
      </c>
      <c r="B118" s="8" t="s">
        <v>10</v>
      </c>
      <c r="C118" s="69" t="s">
        <v>41</v>
      </c>
      <c r="D118" s="12">
        <v>2</v>
      </c>
      <c r="E118" s="12">
        <v>3</v>
      </c>
      <c r="F118" s="11">
        <v>-6.4</v>
      </c>
      <c r="G118" s="11"/>
      <c r="H118" s="11"/>
      <c r="I118" s="9"/>
      <c r="J118" s="1">
        <v>100</v>
      </c>
      <c r="K118" s="12">
        <f>IF(J118="~","~",IFERROR(J118-J117,J118-LOOKUP(9999999,$J$6:J117)))</f>
        <v>0</v>
      </c>
      <c r="L118" s="9"/>
      <c r="M118" s="45">
        <f t="shared" si="1"/>
        <v>43.149999999999991</v>
      </c>
      <c r="N118" s="151">
        <v>956.9</v>
      </c>
      <c r="O118" s="142">
        <v>78</v>
      </c>
      <c r="P118" s="181"/>
    </row>
    <row r="119" spans="1:16" x14ac:dyDescent="0.25">
      <c r="A119" s="57">
        <v>45000</v>
      </c>
      <c r="B119" s="8" t="s">
        <v>11</v>
      </c>
      <c r="C119" s="69" t="s">
        <v>29</v>
      </c>
      <c r="D119" s="12">
        <v>2</v>
      </c>
      <c r="E119" s="12">
        <v>3</v>
      </c>
      <c r="F119" s="11">
        <v>-7.7</v>
      </c>
      <c r="G119" s="11"/>
      <c r="H119" s="11"/>
      <c r="I119" s="9"/>
      <c r="J119" s="1">
        <v>99</v>
      </c>
      <c r="K119" s="12">
        <f>IF(J119="~","~",IFERROR(J119-J118,J119-LOOKUP(9999999,$J$6:J118)))</f>
        <v>-1</v>
      </c>
      <c r="L119" s="9"/>
      <c r="M119" s="45">
        <f t="shared" si="1"/>
        <v>43.149999999999991</v>
      </c>
      <c r="N119" s="151">
        <v>955.9</v>
      </c>
      <c r="O119" s="142">
        <v>82</v>
      </c>
      <c r="P119" s="181"/>
    </row>
    <row r="120" spans="1:16" x14ac:dyDescent="0.25">
      <c r="A120" s="57">
        <v>45000</v>
      </c>
      <c r="B120" s="8" t="s">
        <v>12</v>
      </c>
      <c r="C120" s="69" t="s">
        <v>29</v>
      </c>
      <c r="D120" s="12">
        <v>1</v>
      </c>
      <c r="E120" s="12">
        <v>3</v>
      </c>
      <c r="F120" s="11">
        <v>-7.2</v>
      </c>
      <c r="G120" s="11"/>
      <c r="H120" s="11"/>
      <c r="I120" s="9"/>
      <c r="J120" s="1">
        <v>98</v>
      </c>
      <c r="K120" s="12">
        <f>IF(J120="~","~",IFERROR(J120-J119,J120-LOOKUP(9999999,$J$6:J119)))</f>
        <v>-1</v>
      </c>
      <c r="L120" s="9"/>
      <c r="M120" s="45">
        <f t="shared" si="1"/>
        <v>43.149999999999991</v>
      </c>
      <c r="N120" s="151">
        <v>955.2</v>
      </c>
      <c r="O120" s="142">
        <v>78</v>
      </c>
      <c r="P120" s="181"/>
    </row>
    <row r="121" spans="1:16" x14ac:dyDescent="0.25">
      <c r="A121" s="57">
        <v>45000</v>
      </c>
      <c r="B121" s="8" t="s">
        <v>13</v>
      </c>
      <c r="C121" s="69" t="s">
        <v>29</v>
      </c>
      <c r="D121" s="12">
        <v>3</v>
      </c>
      <c r="E121" s="12">
        <v>4</v>
      </c>
      <c r="F121" s="11">
        <v>-5.8</v>
      </c>
      <c r="G121" s="11"/>
      <c r="H121" s="11"/>
      <c r="I121" s="9"/>
      <c r="J121" s="1">
        <v>99</v>
      </c>
      <c r="K121" s="12">
        <f>IF(J121="~","~",IFERROR(J121-J120,J121-LOOKUP(9999999,$J$6:J120)))</f>
        <v>1</v>
      </c>
      <c r="L121" s="9"/>
      <c r="M121" s="45">
        <f t="shared" si="1"/>
        <v>43.149999999999991</v>
      </c>
      <c r="N121" s="151">
        <v>955.5</v>
      </c>
      <c r="O121" s="142">
        <v>74</v>
      </c>
      <c r="P121" s="181"/>
    </row>
    <row r="122" spans="1:16" x14ac:dyDescent="0.25">
      <c r="A122" s="57">
        <v>45000</v>
      </c>
      <c r="B122" s="8" t="s">
        <v>14</v>
      </c>
      <c r="C122" s="69" t="s">
        <v>41</v>
      </c>
      <c r="D122" s="12">
        <v>1</v>
      </c>
      <c r="E122" s="12">
        <v>2</v>
      </c>
      <c r="F122" s="11">
        <v>-3.5</v>
      </c>
      <c r="G122" s="11"/>
      <c r="H122" s="11"/>
      <c r="I122" s="9"/>
      <c r="J122" s="1">
        <v>100</v>
      </c>
      <c r="K122" s="12">
        <f>IF(J122="~","~",IFERROR(J122-J121,J122-LOOKUP(9999999,$J$6:J121)))</f>
        <v>1</v>
      </c>
      <c r="L122" s="9"/>
      <c r="M122" s="45">
        <f t="shared" si="1"/>
        <v>43.149999999999991</v>
      </c>
      <c r="N122" s="151">
        <v>954.6</v>
      </c>
      <c r="O122" s="142">
        <v>72</v>
      </c>
      <c r="P122" s="181"/>
    </row>
    <row r="123" spans="1:16" x14ac:dyDescent="0.25">
      <c r="A123" s="57">
        <v>45000</v>
      </c>
      <c r="B123" s="8" t="s">
        <v>15</v>
      </c>
      <c r="C123" s="69" t="s">
        <v>41</v>
      </c>
      <c r="D123" s="12">
        <v>2</v>
      </c>
      <c r="E123" s="12">
        <v>3</v>
      </c>
      <c r="F123" s="11">
        <v>-4.3</v>
      </c>
      <c r="G123" s="11"/>
      <c r="H123" s="11"/>
      <c r="I123" s="9"/>
      <c r="J123" s="1">
        <v>100</v>
      </c>
      <c r="K123" s="12">
        <f>IF(J123="~","~",IFERROR(J123-J122,J123-LOOKUP(9999999,$J$6:J122)))</f>
        <v>0</v>
      </c>
      <c r="L123" s="9"/>
      <c r="M123" s="45">
        <f t="shared" si="1"/>
        <v>43.149999999999991</v>
      </c>
      <c r="N123" s="151">
        <v>953.2</v>
      </c>
      <c r="O123" s="142">
        <v>81</v>
      </c>
      <c r="P123" s="181"/>
    </row>
    <row r="124" spans="1:16" x14ac:dyDescent="0.25">
      <c r="A124" s="57">
        <v>45000</v>
      </c>
      <c r="B124" s="8" t="s">
        <v>16</v>
      </c>
      <c r="C124" s="69" t="s">
        <v>41</v>
      </c>
      <c r="D124" s="12">
        <v>2</v>
      </c>
      <c r="E124" s="12">
        <v>3</v>
      </c>
      <c r="F124" s="11">
        <v>-4.9000000000000004</v>
      </c>
      <c r="G124" s="11"/>
      <c r="H124" s="11"/>
      <c r="I124" s="9"/>
      <c r="J124" s="1">
        <v>99</v>
      </c>
      <c r="K124" s="12">
        <f>IF(J124="~","~",IFERROR(J124-J123,J124-LOOKUP(9999999,$J$6:J123)))</f>
        <v>-1</v>
      </c>
      <c r="L124" s="9"/>
      <c r="M124" s="45">
        <f t="shared" si="1"/>
        <v>43.149999999999991</v>
      </c>
      <c r="N124" s="151">
        <v>952.6</v>
      </c>
      <c r="O124" s="142">
        <v>75</v>
      </c>
      <c r="P124" s="181"/>
    </row>
    <row r="125" spans="1:16" x14ac:dyDescent="0.25">
      <c r="A125" s="57">
        <v>45000</v>
      </c>
      <c r="B125" s="8" t="s">
        <v>17</v>
      </c>
      <c r="C125" s="69" t="s">
        <v>41</v>
      </c>
      <c r="D125" s="12">
        <v>2</v>
      </c>
      <c r="E125" s="12">
        <v>5</v>
      </c>
      <c r="F125" s="11">
        <v>-5.3</v>
      </c>
      <c r="G125" s="11"/>
      <c r="H125" s="11"/>
      <c r="I125" s="9"/>
      <c r="J125" s="1">
        <v>99</v>
      </c>
      <c r="K125" s="12">
        <f>IF(J125="~","~",IFERROR(J125-J124,J125-LOOKUP(9999999,$J$6:J124)))</f>
        <v>0</v>
      </c>
      <c r="L125" s="9"/>
      <c r="M125" s="45">
        <f t="shared" si="1"/>
        <v>43.149999999999991</v>
      </c>
      <c r="N125" s="151">
        <v>952.1</v>
      </c>
      <c r="O125" s="142">
        <v>69</v>
      </c>
      <c r="P125" s="181"/>
    </row>
    <row r="126" spans="1:16" x14ac:dyDescent="0.25">
      <c r="A126" s="58">
        <v>45001</v>
      </c>
      <c r="B126" s="8" t="s">
        <v>10</v>
      </c>
      <c r="C126" s="69" t="s">
        <v>41</v>
      </c>
      <c r="D126" s="12">
        <v>2</v>
      </c>
      <c r="E126" s="12">
        <v>4</v>
      </c>
      <c r="F126" s="11">
        <v>-5.2</v>
      </c>
      <c r="G126" s="11"/>
      <c r="H126" s="11"/>
      <c r="I126" s="9"/>
      <c r="J126" s="1">
        <v>99</v>
      </c>
      <c r="K126" s="12">
        <f>IF(J126="~","~",IFERROR(J126-J125,J126-LOOKUP(9999999,$J$6:J125)))</f>
        <v>0</v>
      </c>
      <c r="L126" s="9"/>
      <c r="M126" s="45">
        <f t="shared" si="1"/>
        <v>43.149999999999991</v>
      </c>
      <c r="N126" s="151">
        <v>951.3</v>
      </c>
      <c r="O126" s="142">
        <v>61</v>
      </c>
      <c r="P126" s="181"/>
    </row>
    <row r="127" spans="1:16" x14ac:dyDescent="0.25">
      <c r="A127" s="58">
        <v>45001</v>
      </c>
      <c r="B127" s="8" t="s">
        <v>11</v>
      </c>
      <c r="C127" s="69" t="s">
        <v>41</v>
      </c>
      <c r="D127" s="12">
        <v>0</v>
      </c>
      <c r="E127" s="12">
        <v>1</v>
      </c>
      <c r="F127" s="11">
        <v>-4.4000000000000004</v>
      </c>
      <c r="G127" s="11"/>
      <c r="H127" s="11"/>
      <c r="I127" s="9"/>
      <c r="J127" s="1">
        <v>99</v>
      </c>
      <c r="K127" s="12">
        <f>IF(J127="~","~",IFERROR(J127-J126,J127-LOOKUP(9999999,$J$6:J126)))</f>
        <v>0</v>
      </c>
      <c r="L127" s="9"/>
      <c r="M127" s="45">
        <f t="shared" si="1"/>
        <v>43.149999999999991</v>
      </c>
      <c r="N127" s="151">
        <v>950.5</v>
      </c>
      <c r="O127" s="142">
        <v>57</v>
      </c>
      <c r="P127" s="181"/>
    </row>
    <row r="128" spans="1:16" x14ac:dyDescent="0.25">
      <c r="A128" s="58">
        <v>45001</v>
      </c>
      <c r="B128" s="8" t="s">
        <v>12</v>
      </c>
      <c r="C128" s="69" t="s">
        <v>41</v>
      </c>
      <c r="D128" s="12">
        <v>1</v>
      </c>
      <c r="E128" s="12">
        <v>2</v>
      </c>
      <c r="F128" s="11">
        <v>-6</v>
      </c>
      <c r="G128" s="11"/>
      <c r="H128" s="11"/>
      <c r="I128" s="9"/>
      <c r="J128" s="1">
        <v>98</v>
      </c>
      <c r="K128" s="12">
        <f>IF(J128="~","~",IFERROR(J128-J127,J128-LOOKUP(9999999,$J$6:J127)))</f>
        <v>-1</v>
      </c>
      <c r="L128" s="9"/>
      <c r="M128" s="45">
        <f t="shared" si="1"/>
        <v>43.149999999999991</v>
      </c>
      <c r="N128" s="151">
        <v>950.1</v>
      </c>
      <c r="O128" s="142">
        <v>67</v>
      </c>
      <c r="P128" s="181"/>
    </row>
    <row r="129" spans="1:16" x14ac:dyDescent="0.25">
      <c r="A129" s="58">
        <v>45001</v>
      </c>
      <c r="B129" s="8" t="s">
        <v>13</v>
      </c>
      <c r="C129" s="69" t="s">
        <v>41</v>
      </c>
      <c r="D129" s="12">
        <v>1</v>
      </c>
      <c r="E129" s="12">
        <v>2</v>
      </c>
      <c r="F129" s="11">
        <v>-6.5</v>
      </c>
      <c r="G129" s="11"/>
      <c r="H129" s="11"/>
      <c r="I129" s="9"/>
      <c r="J129" s="1">
        <v>98</v>
      </c>
      <c r="K129" s="12">
        <f>IF(J129="~","~",IFERROR(J129-J128,J129-LOOKUP(9999999,$J$6:J128)))</f>
        <v>0</v>
      </c>
      <c r="L129" s="9"/>
      <c r="M129" s="45">
        <f t="shared" si="1"/>
        <v>43.149999999999991</v>
      </c>
      <c r="N129" s="151">
        <v>950.4</v>
      </c>
      <c r="O129" s="142">
        <v>70</v>
      </c>
      <c r="P129" s="181"/>
    </row>
    <row r="130" spans="1:16" x14ac:dyDescent="0.25">
      <c r="A130" s="58">
        <v>45001</v>
      </c>
      <c r="B130" s="8" t="s">
        <v>14</v>
      </c>
      <c r="C130" s="69" t="s">
        <v>29</v>
      </c>
      <c r="D130" s="12">
        <v>1</v>
      </c>
      <c r="E130" s="12">
        <v>2</v>
      </c>
      <c r="F130" s="11">
        <v>-4</v>
      </c>
      <c r="G130" s="11"/>
      <c r="H130" s="11"/>
      <c r="I130" s="9"/>
      <c r="J130" s="1">
        <v>99</v>
      </c>
      <c r="K130" s="12">
        <f>IF(J130="~","~",IFERROR(J130-J129,J130-LOOKUP(9999999,$J$6:J129)))</f>
        <v>1</v>
      </c>
      <c r="L130" s="9"/>
      <c r="M130" s="45">
        <f t="shared" si="1"/>
        <v>43.149999999999991</v>
      </c>
      <c r="N130" s="151">
        <v>950</v>
      </c>
      <c r="O130" s="142">
        <v>59</v>
      </c>
      <c r="P130" s="181"/>
    </row>
    <row r="131" spans="1:16" x14ac:dyDescent="0.25">
      <c r="A131" s="58">
        <v>45001</v>
      </c>
      <c r="B131" s="8" t="s">
        <v>15</v>
      </c>
      <c r="C131" s="69" t="s">
        <v>29</v>
      </c>
      <c r="D131" s="12">
        <v>1</v>
      </c>
      <c r="E131" s="12">
        <v>2</v>
      </c>
      <c r="F131" s="11">
        <v>-2.8</v>
      </c>
      <c r="G131" s="11"/>
      <c r="H131" s="11"/>
      <c r="I131" s="9"/>
      <c r="J131" s="1">
        <v>100</v>
      </c>
      <c r="K131" s="12">
        <f>IF(J131="~","~",IFERROR(J131-J130,J131-LOOKUP(9999999,$J$6:J130)))</f>
        <v>1</v>
      </c>
      <c r="L131" s="9"/>
      <c r="M131" s="45">
        <f t="shared" si="1"/>
        <v>43.149999999999991</v>
      </c>
      <c r="N131" s="151">
        <v>948.4</v>
      </c>
      <c r="O131" s="142">
        <v>61</v>
      </c>
      <c r="P131" s="181"/>
    </row>
    <row r="132" spans="1:16" x14ac:dyDescent="0.25">
      <c r="A132" s="58">
        <v>45001</v>
      </c>
      <c r="B132" s="8" t="s">
        <v>16</v>
      </c>
      <c r="C132" s="69" t="s">
        <v>29</v>
      </c>
      <c r="D132" s="12">
        <v>2</v>
      </c>
      <c r="E132" s="12">
        <v>3</v>
      </c>
      <c r="F132" s="11">
        <v>-6.1</v>
      </c>
      <c r="G132" s="11"/>
      <c r="H132" s="11"/>
      <c r="I132" s="9"/>
      <c r="J132" s="1">
        <v>98</v>
      </c>
      <c r="K132" s="12">
        <f>IF(J132="~","~",IFERROR(J132-J131,J132-LOOKUP(9999999,$J$6:J131)))</f>
        <v>-2</v>
      </c>
      <c r="L132" s="9"/>
      <c r="M132" s="45">
        <f t="shared" si="1"/>
        <v>43.149999999999991</v>
      </c>
      <c r="N132" s="151">
        <v>948</v>
      </c>
      <c r="O132" s="142">
        <v>77</v>
      </c>
      <c r="P132" s="181"/>
    </row>
    <row r="133" spans="1:16" x14ac:dyDescent="0.25">
      <c r="A133" s="58">
        <v>45001</v>
      </c>
      <c r="B133" s="8" t="s">
        <v>17</v>
      </c>
      <c r="C133" s="69" t="s">
        <v>40</v>
      </c>
      <c r="D133" s="12">
        <v>3</v>
      </c>
      <c r="E133" s="12">
        <v>3</v>
      </c>
      <c r="F133" s="11">
        <v>-8</v>
      </c>
      <c r="G133" s="11"/>
      <c r="H133" s="11"/>
      <c r="I133" s="9"/>
      <c r="J133" s="1">
        <v>97</v>
      </c>
      <c r="K133" s="12">
        <f>IF(J133="~","~",IFERROR(J133-J132,J133-LOOKUP(9999999,$J$6:J132)))</f>
        <v>-1</v>
      </c>
      <c r="L133" s="9"/>
      <c r="M133" s="45">
        <f t="shared" si="1"/>
        <v>43.149999999999991</v>
      </c>
      <c r="N133" s="151">
        <v>947.4</v>
      </c>
      <c r="O133" s="142">
        <v>79</v>
      </c>
      <c r="P133" s="181"/>
    </row>
    <row r="134" spans="1:16" x14ac:dyDescent="0.25">
      <c r="A134" s="55">
        <v>45002</v>
      </c>
      <c r="B134" s="8" t="s">
        <v>10</v>
      </c>
      <c r="C134" s="69" t="s">
        <v>40</v>
      </c>
      <c r="D134" s="12">
        <v>3</v>
      </c>
      <c r="E134" s="12">
        <v>3</v>
      </c>
      <c r="F134" s="11">
        <v>-9.9</v>
      </c>
      <c r="G134" s="11"/>
      <c r="H134" s="11"/>
      <c r="I134" s="9"/>
      <c r="J134" s="1">
        <v>97</v>
      </c>
      <c r="K134" s="12">
        <f>IF(J134="~","~",IFERROR(J134-J133,J134-LOOKUP(9999999,$J$6:J133)))</f>
        <v>0</v>
      </c>
      <c r="L134" s="9"/>
      <c r="M134" s="45">
        <f t="shared" si="1"/>
        <v>43.149999999999991</v>
      </c>
      <c r="N134" s="151">
        <v>945.8</v>
      </c>
      <c r="O134" s="142">
        <v>83</v>
      </c>
      <c r="P134" s="181"/>
    </row>
    <row r="135" spans="1:16" x14ac:dyDescent="0.25">
      <c r="A135" s="55">
        <v>45002</v>
      </c>
      <c r="B135" s="8" t="s">
        <v>11</v>
      </c>
      <c r="C135" s="69" t="s">
        <v>40</v>
      </c>
      <c r="D135" s="12">
        <v>2</v>
      </c>
      <c r="E135" s="12">
        <v>3</v>
      </c>
      <c r="F135" s="11">
        <v>-9.3000000000000007</v>
      </c>
      <c r="G135" s="11"/>
      <c r="H135" s="11"/>
      <c r="I135" s="9"/>
      <c r="J135" s="1">
        <v>97</v>
      </c>
      <c r="K135" s="12">
        <f>IF(J135="~","~",IFERROR(J135-J134,J135-LOOKUP(9999999,$J$6:J134)))</f>
        <v>0</v>
      </c>
      <c r="L135" s="9"/>
      <c r="M135" s="45">
        <f t="shared" si="1"/>
        <v>43.149999999999991</v>
      </c>
      <c r="N135" s="151">
        <v>944</v>
      </c>
      <c r="O135" s="142">
        <v>79</v>
      </c>
      <c r="P135" s="181"/>
    </row>
    <row r="136" spans="1:16" x14ac:dyDescent="0.25">
      <c r="A136" s="55">
        <v>45002</v>
      </c>
      <c r="B136" s="8" t="s">
        <v>12</v>
      </c>
      <c r="C136" s="69" t="s">
        <v>40</v>
      </c>
      <c r="D136" s="12">
        <v>1</v>
      </c>
      <c r="E136" s="12">
        <v>3</v>
      </c>
      <c r="F136" s="11">
        <v>-12</v>
      </c>
      <c r="G136" s="11"/>
      <c r="H136" s="11"/>
      <c r="I136" s="9"/>
      <c r="J136" s="1">
        <v>96</v>
      </c>
      <c r="K136" s="12">
        <f>IF(J136="~","~",IFERROR(J136-J135,J136-LOOKUP(9999999,$J$6:J135)))</f>
        <v>-1</v>
      </c>
      <c r="L136" s="9"/>
      <c r="M136" s="45">
        <f t="shared" ref="M136:M199" si="2">IF(OR(L136="нет",L136="~"),M135,M135+L136)</f>
        <v>43.149999999999991</v>
      </c>
      <c r="N136" s="151">
        <v>942.2</v>
      </c>
      <c r="O136" s="149">
        <v>91</v>
      </c>
      <c r="P136" s="181"/>
    </row>
    <row r="137" spans="1:16" x14ac:dyDescent="0.25">
      <c r="A137" s="55">
        <v>45002</v>
      </c>
      <c r="B137" s="8" t="s">
        <v>13</v>
      </c>
      <c r="C137" s="69" t="s">
        <v>40</v>
      </c>
      <c r="D137" s="12">
        <v>1</v>
      </c>
      <c r="E137" s="12">
        <v>2</v>
      </c>
      <c r="F137" s="11">
        <v>-11.3</v>
      </c>
      <c r="G137" s="11"/>
      <c r="H137" s="11"/>
      <c r="I137" s="9"/>
      <c r="J137" s="1">
        <v>97</v>
      </c>
      <c r="K137" s="12">
        <f>IF(J137="~","~",IFERROR(J137-J136,J137-LOOKUP(9999999,$J$6:J136)))</f>
        <v>1</v>
      </c>
      <c r="L137" s="9"/>
      <c r="M137" s="45">
        <f t="shared" si="2"/>
        <v>43.149999999999991</v>
      </c>
      <c r="N137" s="151">
        <v>940.5</v>
      </c>
      <c r="O137" s="142">
        <v>84</v>
      </c>
      <c r="P137" s="181"/>
    </row>
    <row r="138" spans="1:16" x14ac:dyDescent="0.25">
      <c r="A138" s="55">
        <v>45002</v>
      </c>
      <c r="B138" s="8" t="s">
        <v>14</v>
      </c>
      <c r="C138" s="69" t="s">
        <v>41</v>
      </c>
      <c r="D138" s="12">
        <v>1</v>
      </c>
      <c r="E138" s="12">
        <v>1</v>
      </c>
      <c r="F138" s="11">
        <v>-6.3</v>
      </c>
      <c r="G138" s="11"/>
      <c r="H138" s="11"/>
      <c r="I138" s="9"/>
      <c r="J138" s="1">
        <v>99</v>
      </c>
      <c r="K138" s="12">
        <f>IF(J138="~","~",IFERROR(J138-J137,J138-LOOKUP(9999999,$J$6:J137)))</f>
        <v>2</v>
      </c>
      <c r="L138" s="9"/>
      <c r="M138" s="45">
        <f t="shared" si="2"/>
        <v>43.149999999999991</v>
      </c>
      <c r="N138" s="151">
        <v>938.5</v>
      </c>
      <c r="O138" s="142">
        <v>70</v>
      </c>
      <c r="P138" s="181"/>
    </row>
    <row r="139" spans="1:16" x14ac:dyDescent="0.25">
      <c r="A139" s="55">
        <v>45002</v>
      </c>
      <c r="B139" s="8" t="s">
        <v>15</v>
      </c>
      <c r="C139" s="69" t="s">
        <v>41</v>
      </c>
      <c r="D139" s="12">
        <v>0</v>
      </c>
      <c r="E139" s="12">
        <v>1</v>
      </c>
      <c r="F139" s="11">
        <v>-4.4000000000000004</v>
      </c>
      <c r="G139" s="11"/>
      <c r="H139" s="11"/>
      <c r="I139" s="9"/>
      <c r="J139" s="1">
        <v>100</v>
      </c>
      <c r="K139" s="12">
        <f>IF(J139="~","~",IFERROR(J139-J138,J139-LOOKUP(9999999,$J$6:J138)))</f>
        <v>1</v>
      </c>
      <c r="L139" s="9"/>
      <c r="M139" s="45">
        <f t="shared" si="2"/>
        <v>43.149999999999991</v>
      </c>
      <c r="N139" s="151">
        <v>936.2</v>
      </c>
      <c r="O139" s="142">
        <v>66</v>
      </c>
      <c r="P139" s="181"/>
    </row>
    <row r="140" spans="1:16" x14ac:dyDescent="0.25">
      <c r="A140" s="55">
        <v>45002</v>
      </c>
      <c r="B140" s="8" t="s">
        <v>16</v>
      </c>
      <c r="C140" s="69" t="s">
        <v>41</v>
      </c>
      <c r="D140" s="12">
        <v>1</v>
      </c>
      <c r="E140" s="12">
        <v>2</v>
      </c>
      <c r="F140" s="11">
        <v>-6.5</v>
      </c>
      <c r="G140" s="11"/>
      <c r="H140" s="11"/>
      <c r="I140" s="9"/>
      <c r="J140" s="1">
        <v>99</v>
      </c>
      <c r="K140" s="12">
        <f>IF(J140="~","~",IFERROR(J140-J139,J140-LOOKUP(9999999,$J$6:J139)))</f>
        <v>-1</v>
      </c>
      <c r="L140" s="9"/>
      <c r="M140" s="45">
        <f t="shared" si="2"/>
        <v>43.149999999999991</v>
      </c>
      <c r="N140" s="151">
        <v>935.3</v>
      </c>
      <c r="O140" s="142">
        <v>84</v>
      </c>
      <c r="P140" s="181"/>
    </row>
    <row r="141" spans="1:16" x14ac:dyDescent="0.25">
      <c r="A141" s="55">
        <v>45002</v>
      </c>
      <c r="B141" s="8" t="s">
        <v>17</v>
      </c>
      <c r="C141" s="69" t="s">
        <v>41</v>
      </c>
      <c r="D141" s="12">
        <v>1</v>
      </c>
      <c r="E141" s="12">
        <v>2</v>
      </c>
      <c r="F141" s="11">
        <v>-8.1</v>
      </c>
      <c r="G141" s="11"/>
      <c r="H141" s="11"/>
      <c r="I141" s="9"/>
      <c r="J141" s="1">
        <v>98</v>
      </c>
      <c r="K141" s="12">
        <f>IF(J141="~","~",IFERROR(J141-J140,J141-LOOKUP(9999999,$J$6:J140)))</f>
        <v>-1</v>
      </c>
      <c r="L141" s="9"/>
      <c r="M141" s="45">
        <f t="shared" si="2"/>
        <v>43.149999999999991</v>
      </c>
      <c r="N141" s="151">
        <v>934</v>
      </c>
      <c r="O141" s="142">
        <v>85</v>
      </c>
      <c r="P141" s="181"/>
    </row>
    <row r="142" spans="1:16" x14ac:dyDescent="0.25">
      <c r="A142" s="59">
        <v>45003</v>
      </c>
      <c r="B142" s="8" t="s">
        <v>10</v>
      </c>
      <c r="C142" s="69" t="s">
        <v>41</v>
      </c>
      <c r="D142" s="12">
        <v>1</v>
      </c>
      <c r="E142" s="12">
        <v>2</v>
      </c>
      <c r="F142" s="11">
        <v>-7.4</v>
      </c>
      <c r="G142" s="11"/>
      <c r="H142" s="11"/>
      <c r="I142" s="9"/>
      <c r="J142" s="1">
        <v>99</v>
      </c>
      <c r="K142" s="12">
        <f>IF(J142="~","~",IFERROR(J142-J141,J142-LOOKUP(9999999,$J$6:J141)))</f>
        <v>1</v>
      </c>
      <c r="L142" s="9"/>
      <c r="M142" s="45">
        <f t="shared" si="2"/>
        <v>43.149999999999991</v>
      </c>
      <c r="N142" s="151">
        <v>932</v>
      </c>
      <c r="O142" s="142">
        <v>88</v>
      </c>
      <c r="P142" s="181"/>
    </row>
    <row r="143" spans="1:16" x14ac:dyDescent="0.25">
      <c r="A143" s="59">
        <v>45003</v>
      </c>
      <c r="B143" s="8" t="s">
        <v>11</v>
      </c>
      <c r="C143" s="69" t="s">
        <v>29</v>
      </c>
      <c r="D143" s="12">
        <v>1</v>
      </c>
      <c r="E143" s="12">
        <v>2</v>
      </c>
      <c r="F143" s="11">
        <v>-7.3</v>
      </c>
      <c r="G143" s="11"/>
      <c r="H143" s="11"/>
      <c r="I143" s="9"/>
      <c r="J143" s="1">
        <v>99</v>
      </c>
      <c r="K143" s="12">
        <f>IF(J143="~","~",IFERROR(J143-J142,J143-LOOKUP(9999999,$J$6:J142)))</f>
        <v>0</v>
      </c>
      <c r="L143" s="9"/>
      <c r="M143" s="45">
        <f t="shared" si="2"/>
        <v>43.149999999999991</v>
      </c>
      <c r="N143" s="151">
        <v>929.5</v>
      </c>
      <c r="O143" s="142">
        <v>79</v>
      </c>
      <c r="P143" s="181"/>
    </row>
    <row r="144" spans="1:16" x14ac:dyDescent="0.25">
      <c r="A144" s="59">
        <v>45003</v>
      </c>
      <c r="B144" s="8" t="s">
        <v>12</v>
      </c>
      <c r="C144" s="69" t="s">
        <v>29</v>
      </c>
      <c r="D144" s="12">
        <v>1</v>
      </c>
      <c r="E144" s="12">
        <v>3</v>
      </c>
      <c r="F144" s="11">
        <v>-4.4000000000000004</v>
      </c>
      <c r="G144" s="11"/>
      <c r="H144" s="11"/>
      <c r="I144" s="9"/>
      <c r="J144" s="1">
        <v>100</v>
      </c>
      <c r="K144" s="12">
        <f>IF(J144="~","~",IFERROR(J144-J143,J144-LOOKUP(9999999,$J$6:J143)))</f>
        <v>1</v>
      </c>
      <c r="L144" s="9"/>
      <c r="M144" s="45">
        <f t="shared" si="2"/>
        <v>43.149999999999991</v>
      </c>
      <c r="N144" s="151">
        <v>926.6</v>
      </c>
      <c r="O144" s="142">
        <v>74</v>
      </c>
      <c r="P144" s="181"/>
    </row>
    <row r="145" spans="1:16" x14ac:dyDescent="0.25">
      <c r="A145" s="59">
        <v>45003</v>
      </c>
      <c r="B145" s="8" t="s">
        <v>13</v>
      </c>
      <c r="C145" s="69" t="s">
        <v>40</v>
      </c>
      <c r="D145" s="12">
        <v>2</v>
      </c>
      <c r="E145" s="12">
        <v>3</v>
      </c>
      <c r="F145" s="11">
        <v>-5.8</v>
      </c>
      <c r="G145" s="11"/>
      <c r="H145" s="11"/>
      <c r="I145" s="9" t="s">
        <v>132</v>
      </c>
      <c r="J145" s="1">
        <v>100</v>
      </c>
      <c r="K145" s="12">
        <f>IF(J145="~","~",IFERROR(J145-J144,J145-LOOKUP(9999999,$J$6:J144)))</f>
        <v>0</v>
      </c>
      <c r="L145" s="9"/>
      <c r="M145" s="45">
        <f t="shared" si="2"/>
        <v>43.149999999999991</v>
      </c>
      <c r="N145" s="151">
        <v>924.6</v>
      </c>
      <c r="O145" s="142">
        <v>91</v>
      </c>
      <c r="P145" s="181"/>
    </row>
    <row r="146" spans="1:16" x14ac:dyDescent="0.25">
      <c r="A146" s="59">
        <v>45003</v>
      </c>
      <c r="B146" s="8" t="s">
        <v>14</v>
      </c>
      <c r="C146" s="69" t="s">
        <v>40</v>
      </c>
      <c r="D146" s="12">
        <v>2</v>
      </c>
      <c r="E146" s="12">
        <v>3</v>
      </c>
      <c r="F146" s="11">
        <v>-4.0999999999999996</v>
      </c>
      <c r="G146" s="11"/>
      <c r="H146" s="11"/>
      <c r="I146" s="9" t="s">
        <v>133</v>
      </c>
      <c r="J146" s="1">
        <v>101</v>
      </c>
      <c r="K146" s="12">
        <f>IF(J146="~","~",IFERROR(J146-J145,J146-LOOKUP(9999999,$J$6:J145)))</f>
        <v>1</v>
      </c>
      <c r="L146" s="9"/>
      <c r="M146" s="45">
        <f t="shared" si="2"/>
        <v>43.149999999999991</v>
      </c>
      <c r="N146" s="151">
        <v>920.5</v>
      </c>
      <c r="O146" s="142">
        <v>92</v>
      </c>
      <c r="P146" s="181"/>
    </row>
    <row r="147" spans="1:16" x14ac:dyDescent="0.25">
      <c r="A147" s="59">
        <v>45003</v>
      </c>
      <c r="B147" s="8" t="s">
        <v>15</v>
      </c>
      <c r="C147" s="69" t="s">
        <v>40</v>
      </c>
      <c r="D147" s="12">
        <v>1</v>
      </c>
      <c r="E147" s="12">
        <v>2</v>
      </c>
      <c r="F147" s="11">
        <v>-2.5</v>
      </c>
      <c r="G147" s="11"/>
      <c r="H147" s="11"/>
      <c r="I147" s="9"/>
      <c r="J147" s="1">
        <v>100</v>
      </c>
      <c r="K147" s="12">
        <f>IF(J147="~","~",IFERROR(J147-J146,J147-LOOKUP(9999999,$J$6:J146)))</f>
        <v>-1</v>
      </c>
      <c r="L147" s="9"/>
      <c r="M147" s="45">
        <f t="shared" si="2"/>
        <v>43.149999999999991</v>
      </c>
      <c r="N147" s="151">
        <v>916.1</v>
      </c>
      <c r="O147" s="142">
        <v>95</v>
      </c>
      <c r="P147" s="181"/>
    </row>
    <row r="148" spans="1:16" x14ac:dyDescent="0.25">
      <c r="A148" s="59">
        <v>45003</v>
      </c>
      <c r="B148" s="8" t="s">
        <v>16</v>
      </c>
      <c r="C148" s="69" t="s">
        <v>29</v>
      </c>
      <c r="D148" s="12">
        <v>12</v>
      </c>
      <c r="E148" s="12">
        <v>18</v>
      </c>
      <c r="F148" s="11">
        <v>-4</v>
      </c>
      <c r="G148" s="11"/>
      <c r="H148" s="11"/>
      <c r="I148" s="9" t="s">
        <v>134</v>
      </c>
      <c r="J148" s="1">
        <v>101</v>
      </c>
      <c r="K148" s="12">
        <f>IF(J148="~","~",IFERROR(J148-J147,J148-LOOKUP(9999999,$J$6:J147)))</f>
        <v>1</v>
      </c>
      <c r="L148" s="9"/>
      <c r="M148" s="45">
        <f t="shared" si="2"/>
        <v>43.149999999999991</v>
      </c>
      <c r="N148" s="151">
        <v>914.5</v>
      </c>
      <c r="O148" s="142">
        <v>88</v>
      </c>
      <c r="P148" s="181"/>
    </row>
    <row r="149" spans="1:16" x14ac:dyDescent="0.25">
      <c r="A149" s="59">
        <v>45003</v>
      </c>
      <c r="B149" s="8" t="s">
        <v>17</v>
      </c>
      <c r="C149" s="69" t="s">
        <v>41</v>
      </c>
      <c r="D149" s="12">
        <v>13</v>
      </c>
      <c r="E149" s="12">
        <v>20</v>
      </c>
      <c r="F149" s="11">
        <v>-5.9</v>
      </c>
      <c r="G149" s="11"/>
      <c r="H149" s="11"/>
      <c r="I149" s="9" t="s">
        <v>127</v>
      </c>
      <c r="J149" s="1">
        <v>99</v>
      </c>
      <c r="K149" s="12">
        <f>IF(J149="~","~",IFERROR(J149-J148,J149-LOOKUP(9999999,$J$6:J148)))</f>
        <v>-2</v>
      </c>
      <c r="L149" s="9"/>
      <c r="M149" s="45">
        <f t="shared" si="2"/>
        <v>43.149999999999991</v>
      </c>
      <c r="N149" s="151">
        <v>916</v>
      </c>
      <c r="O149" s="142">
        <v>68</v>
      </c>
      <c r="P149" s="181"/>
    </row>
    <row r="150" spans="1:16" x14ac:dyDescent="0.25">
      <c r="A150" s="60">
        <v>45004</v>
      </c>
      <c r="B150" s="8" t="s">
        <v>10</v>
      </c>
      <c r="C150" s="69" t="s">
        <v>41</v>
      </c>
      <c r="D150" s="12">
        <v>12</v>
      </c>
      <c r="E150" s="12">
        <v>19</v>
      </c>
      <c r="F150" s="11">
        <v>-7.3</v>
      </c>
      <c r="G150" s="11"/>
      <c r="H150" s="11"/>
      <c r="I150" s="9" t="s">
        <v>127</v>
      </c>
      <c r="J150" s="1">
        <v>99</v>
      </c>
      <c r="K150" s="12">
        <f>IF(J150="~","~",IFERROR(J150-J149,J150-LOOKUP(9999999,$J$6:J149)))</f>
        <v>0</v>
      </c>
      <c r="L150" s="9"/>
      <c r="M150" s="45">
        <f t="shared" si="2"/>
        <v>43.149999999999991</v>
      </c>
      <c r="N150" s="151">
        <v>916.9</v>
      </c>
      <c r="O150" s="142">
        <v>75</v>
      </c>
      <c r="P150" s="181"/>
    </row>
    <row r="151" spans="1:16" x14ac:dyDescent="0.25">
      <c r="A151" s="60">
        <v>45004</v>
      </c>
      <c r="B151" s="8" t="s">
        <v>11</v>
      </c>
      <c r="C151" s="69" t="s">
        <v>41</v>
      </c>
      <c r="D151" s="12">
        <v>10</v>
      </c>
      <c r="E151" s="12">
        <v>15</v>
      </c>
      <c r="F151" s="11">
        <v>-7.9</v>
      </c>
      <c r="G151" s="11"/>
      <c r="H151" s="11"/>
      <c r="I151" s="9" t="s">
        <v>127</v>
      </c>
      <c r="J151" s="1">
        <v>98</v>
      </c>
      <c r="K151" s="12">
        <f>IF(J151="~","~",IFERROR(J151-J150,J151-LOOKUP(9999999,$J$6:J150)))</f>
        <v>-1</v>
      </c>
      <c r="L151" s="9"/>
      <c r="M151" s="45">
        <f t="shared" si="2"/>
        <v>43.149999999999991</v>
      </c>
      <c r="N151" s="151">
        <v>917.2</v>
      </c>
      <c r="O151" s="142">
        <v>61</v>
      </c>
      <c r="P151" s="181"/>
    </row>
    <row r="152" spans="1:16" x14ac:dyDescent="0.25">
      <c r="A152" s="60">
        <v>45004</v>
      </c>
      <c r="B152" s="8" t="s">
        <v>12</v>
      </c>
      <c r="C152" s="69" t="s">
        <v>41</v>
      </c>
      <c r="D152" s="12">
        <v>9</v>
      </c>
      <c r="E152" s="12">
        <v>14</v>
      </c>
      <c r="F152" s="11">
        <v>-8.6999999999999993</v>
      </c>
      <c r="G152" s="11"/>
      <c r="H152" s="11"/>
      <c r="I152" s="9"/>
      <c r="J152" s="1">
        <v>98</v>
      </c>
      <c r="K152" s="12">
        <f>IF(J152="~","~",IFERROR(J152-J151,J152-LOOKUP(9999999,$J$6:J151)))</f>
        <v>0</v>
      </c>
      <c r="L152" s="9"/>
      <c r="M152" s="45">
        <f t="shared" si="2"/>
        <v>43.149999999999991</v>
      </c>
      <c r="N152" s="151">
        <v>917.7</v>
      </c>
      <c r="O152" s="142">
        <v>59</v>
      </c>
      <c r="P152" s="181"/>
    </row>
    <row r="153" spans="1:16" x14ac:dyDescent="0.25">
      <c r="A153" s="60">
        <v>45004</v>
      </c>
      <c r="B153" s="8" t="s">
        <v>13</v>
      </c>
      <c r="C153" s="69" t="s">
        <v>41</v>
      </c>
      <c r="D153" s="12">
        <v>10</v>
      </c>
      <c r="E153" s="12">
        <v>15</v>
      </c>
      <c r="F153" s="11">
        <v>-9.3000000000000007</v>
      </c>
      <c r="G153" s="11"/>
      <c r="H153" s="11"/>
      <c r="I153" s="9"/>
      <c r="J153" s="1">
        <v>97</v>
      </c>
      <c r="K153" s="12">
        <f>IF(J153="~","~",IFERROR(J153-J152,J153-LOOKUP(9999999,$J$6:J152)))</f>
        <v>-1</v>
      </c>
      <c r="L153" s="9"/>
      <c r="M153" s="45">
        <f t="shared" si="2"/>
        <v>43.149999999999991</v>
      </c>
      <c r="N153" s="151">
        <v>917.3</v>
      </c>
      <c r="O153" s="142">
        <v>57</v>
      </c>
      <c r="P153" s="181"/>
    </row>
    <row r="154" spans="1:16" x14ac:dyDescent="0.25">
      <c r="A154" s="60">
        <v>45004</v>
      </c>
      <c r="B154" s="8" t="s">
        <v>14</v>
      </c>
      <c r="C154" s="69" t="s">
        <v>41</v>
      </c>
      <c r="D154" s="12">
        <v>9</v>
      </c>
      <c r="E154" s="12">
        <v>12</v>
      </c>
      <c r="F154" s="11">
        <v>-8.3000000000000007</v>
      </c>
      <c r="G154" s="11"/>
      <c r="H154" s="11"/>
      <c r="I154" s="9"/>
      <c r="J154" s="1">
        <v>98</v>
      </c>
      <c r="K154" s="12">
        <f>IF(J154="~","~",IFERROR(J154-J153,J154-LOOKUP(9999999,$J$6:J153)))</f>
        <v>1</v>
      </c>
      <c r="L154" s="9"/>
      <c r="M154" s="45">
        <f t="shared" si="2"/>
        <v>43.149999999999991</v>
      </c>
      <c r="N154" s="151">
        <v>917.4</v>
      </c>
      <c r="O154" s="142">
        <v>57</v>
      </c>
      <c r="P154" s="181"/>
    </row>
    <row r="155" spans="1:16" x14ac:dyDescent="0.25">
      <c r="A155" s="60">
        <v>45004</v>
      </c>
      <c r="B155" s="8" t="s">
        <v>15</v>
      </c>
      <c r="C155" s="69" t="s">
        <v>41</v>
      </c>
      <c r="D155" s="12">
        <v>6</v>
      </c>
      <c r="E155" s="12">
        <v>9</v>
      </c>
      <c r="F155" s="11">
        <v>-6.8</v>
      </c>
      <c r="G155" s="11"/>
      <c r="H155" s="11"/>
      <c r="I155" s="9"/>
      <c r="J155" s="1">
        <v>99</v>
      </c>
      <c r="K155" s="12">
        <f>IF(J155="~","~",IFERROR(J155-J154,J155-LOOKUP(9999999,$J$6:J154)))</f>
        <v>1</v>
      </c>
      <c r="L155" s="9"/>
      <c r="M155" s="45">
        <f t="shared" si="2"/>
        <v>43.149999999999991</v>
      </c>
      <c r="N155" s="151">
        <v>915.5</v>
      </c>
      <c r="O155" s="142">
        <v>48</v>
      </c>
      <c r="P155" s="181"/>
    </row>
    <row r="156" spans="1:16" x14ac:dyDescent="0.25">
      <c r="A156" s="60">
        <v>45004</v>
      </c>
      <c r="B156" s="8" t="s">
        <v>16</v>
      </c>
      <c r="C156" s="69" t="s">
        <v>41</v>
      </c>
      <c r="D156" s="12">
        <v>2</v>
      </c>
      <c r="E156" s="12">
        <v>3</v>
      </c>
      <c r="F156" s="11">
        <v>-8.1</v>
      </c>
      <c r="G156" s="11"/>
      <c r="H156" s="11"/>
      <c r="I156" s="9"/>
      <c r="J156" s="1">
        <v>99</v>
      </c>
      <c r="K156" s="12">
        <f>IF(J156="~","~",IFERROR(J156-J155,J156-LOOKUP(9999999,$J$6:J155)))</f>
        <v>0</v>
      </c>
      <c r="L156" s="9"/>
      <c r="M156" s="45">
        <f t="shared" si="2"/>
        <v>43.149999999999991</v>
      </c>
      <c r="N156" s="151">
        <v>913.8</v>
      </c>
      <c r="O156" s="142">
        <v>46</v>
      </c>
      <c r="P156" s="181"/>
    </row>
    <row r="157" spans="1:16" x14ac:dyDescent="0.25">
      <c r="A157" s="60">
        <v>45004</v>
      </c>
      <c r="B157" s="8" t="s">
        <v>17</v>
      </c>
      <c r="C157" s="69" t="s">
        <v>41</v>
      </c>
      <c r="D157" s="12">
        <v>4</v>
      </c>
      <c r="E157" s="12">
        <v>4</v>
      </c>
      <c r="F157" s="11">
        <v>-10.9</v>
      </c>
      <c r="G157" s="11"/>
      <c r="H157" s="11"/>
      <c r="I157" s="9"/>
      <c r="J157" s="1">
        <v>98</v>
      </c>
      <c r="K157" s="12">
        <f>IF(J157="~","~",IFERROR(J157-J156,J157-LOOKUP(9999999,$J$6:J156)))</f>
        <v>-1</v>
      </c>
      <c r="L157" s="9"/>
      <c r="M157" s="45">
        <f t="shared" si="2"/>
        <v>43.149999999999991</v>
      </c>
      <c r="N157" s="151">
        <v>912.2</v>
      </c>
      <c r="O157" s="142">
        <v>52</v>
      </c>
      <c r="P157" s="181"/>
    </row>
    <row r="158" spans="1:16" x14ac:dyDescent="0.25">
      <c r="A158" s="61">
        <v>45005</v>
      </c>
      <c r="B158" s="8" t="s">
        <v>10</v>
      </c>
      <c r="C158" s="69" t="s">
        <v>42</v>
      </c>
      <c r="D158" s="12">
        <v>2</v>
      </c>
      <c r="E158" s="12">
        <v>3</v>
      </c>
      <c r="F158" s="11">
        <v>-11.1</v>
      </c>
      <c r="G158" s="11"/>
      <c r="H158" s="11"/>
      <c r="I158" s="9"/>
      <c r="J158" s="1">
        <v>98</v>
      </c>
      <c r="K158" s="12">
        <f>IF(J158="~","~",IFERROR(J158-J157,J158-LOOKUP(9999999,$J$6:J157)))</f>
        <v>0</v>
      </c>
      <c r="L158" s="9"/>
      <c r="M158" s="45">
        <f t="shared" si="2"/>
        <v>43.149999999999991</v>
      </c>
      <c r="N158" s="151">
        <v>909.7</v>
      </c>
      <c r="O158" s="142">
        <v>46</v>
      </c>
      <c r="P158" s="181"/>
    </row>
    <row r="159" spans="1:16" x14ac:dyDescent="0.25">
      <c r="A159" s="61">
        <v>45005</v>
      </c>
      <c r="B159" s="8" t="s">
        <v>11</v>
      </c>
      <c r="C159" s="69" t="s">
        <v>43</v>
      </c>
      <c r="D159" s="12">
        <v>3</v>
      </c>
      <c r="E159" s="12">
        <v>4</v>
      </c>
      <c r="F159" s="11">
        <v>-11.9</v>
      </c>
      <c r="G159" s="11"/>
      <c r="H159" s="11"/>
      <c r="I159" s="9"/>
      <c r="J159" s="1">
        <v>97</v>
      </c>
      <c r="K159" s="12">
        <f>IF(J159="~","~",IFERROR(J159-J158,J159-LOOKUP(9999999,$J$6:J158)))</f>
        <v>-1</v>
      </c>
      <c r="L159" s="9"/>
      <c r="M159" s="45">
        <f t="shared" si="2"/>
        <v>43.149999999999991</v>
      </c>
      <c r="N159" s="151">
        <v>908</v>
      </c>
      <c r="O159" s="142">
        <v>50</v>
      </c>
      <c r="P159" s="181"/>
    </row>
    <row r="160" spans="1:16" x14ac:dyDescent="0.25">
      <c r="A160" s="61">
        <v>45005</v>
      </c>
      <c r="B160" s="8" t="s">
        <v>12</v>
      </c>
      <c r="C160" s="69" t="s">
        <v>42</v>
      </c>
      <c r="D160" s="12">
        <v>1</v>
      </c>
      <c r="E160" s="12">
        <v>2</v>
      </c>
      <c r="F160" s="11">
        <v>-11.9</v>
      </c>
      <c r="G160" s="11"/>
      <c r="H160" s="11"/>
      <c r="I160" s="9"/>
      <c r="J160" s="1">
        <v>97</v>
      </c>
      <c r="K160" s="12">
        <f>IF(J160="~","~",IFERROR(J160-J159,J160-LOOKUP(9999999,$J$6:J159)))</f>
        <v>0</v>
      </c>
      <c r="L160" s="9"/>
      <c r="M160" s="45">
        <f t="shared" si="2"/>
        <v>43.149999999999991</v>
      </c>
      <c r="N160" s="151">
        <v>906.9</v>
      </c>
      <c r="O160" s="142">
        <v>51</v>
      </c>
      <c r="P160" s="181"/>
    </row>
    <row r="161" spans="1:16" x14ac:dyDescent="0.25">
      <c r="A161" s="61">
        <v>45005</v>
      </c>
      <c r="B161" s="8" t="s">
        <v>13</v>
      </c>
      <c r="C161" s="69" t="s">
        <v>41</v>
      </c>
      <c r="D161" s="12">
        <v>2</v>
      </c>
      <c r="E161" s="12">
        <v>5</v>
      </c>
      <c r="F161" s="11">
        <v>-10.6</v>
      </c>
      <c r="G161" s="11"/>
      <c r="H161" s="11"/>
      <c r="I161" s="9"/>
      <c r="J161" s="1">
        <v>98</v>
      </c>
      <c r="K161" s="12">
        <f>IF(J161="~","~",IFERROR(J161-J160,J161-LOOKUP(9999999,$J$6:J160)))</f>
        <v>1</v>
      </c>
      <c r="L161" s="9"/>
      <c r="M161" s="45">
        <f t="shared" si="2"/>
        <v>43.149999999999991</v>
      </c>
      <c r="N161" s="151">
        <v>907.1</v>
      </c>
      <c r="O161" s="142">
        <v>54</v>
      </c>
      <c r="P161" s="181"/>
    </row>
    <row r="162" spans="1:16" x14ac:dyDescent="0.25">
      <c r="A162" s="61">
        <v>45005</v>
      </c>
      <c r="B162" s="8" t="s">
        <v>14</v>
      </c>
      <c r="C162" s="69" t="s">
        <v>41</v>
      </c>
      <c r="D162" s="12">
        <v>6</v>
      </c>
      <c r="E162" s="12">
        <v>8</v>
      </c>
      <c r="F162" s="11">
        <v>-8.1999999999999993</v>
      </c>
      <c r="G162" s="11"/>
      <c r="H162" s="11"/>
      <c r="I162" s="9"/>
      <c r="J162" s="1">
        <v>99</v>
      </c>
      <c r="K162" s="12">
        <f>IF(J162="~","~",IFERROR(J162-J161,J162-LOOKUP(9999999,$J$6:J161)))</f>
        <v>1</v>
      </c>
      <c r="L162" s="9"/>
      <c r="M162" s="45">
        <f t="shared" si="2"/>
        <v>43.149999999999991</v>
      </c>
      <c r="N162" s="151">
        <v>907.3</v>
      </c>
      <c r="O162" s="142">
        <v>61</v>
      </c>
      <c r="P162" s="181"/>
    </row>
    <row r="163" spans="1:16" x14ac:dyDescent="0.25">
      <c r="A163" s="61">
        <v>45005</v>
      </c>
      <c r="B163" s="8" t="s">
        <v>15</v>
      </c>
      <c r="C163" s="69" t="s">
        <v>41</v>
      </c>
      <c r="D163" s="12">
        <v>7</v>
      </c>
      <c r="E163" s="12">
        <v>9</v>
      </c>
      <c r="F163" s="11">
        <v>-8</v>
      </c>
      <c r="G163" s="11"/>
      <c r="H163" s="11"/>
      <c r="I163" s="9"/>
      <c r="J163" s="1">
        <v>99</v>
      </c>
      <c r="K163" s="12">
        <f>IF(J163="~","~",IFERROR(J163-J162,J163-LOOKUP(9999999,$J$6:J162)))</f>
        <v>0</v>
      </c>
      <c r="L163" s="9"/>
      <c r="M163" s="45">
        <f t="shared" si="2"/>
        <v>43.149999999999991</v>
      </c>
      <c r="N163" s="151">
        <v>906.5</v>
      </c>
      <c r="O163" s="142">
        <v>58</v>
      </c>
      <c r="P163" s="181"/>
    </row>
    <row r="164" spans="1:16" x14ac:dyDescent="0.25">
      <c r="A164" s="61">
        <v>45005</v>
      </c>
      <c r="B164" s="8" t="s">
        <v>16</v>
      </c>
      <c r="C164" s="69" t="s">
        <v>41</v>
      </c>
      <c r="D164" s="12">
        <v>3</v>
      </c>
      <c r="E164" s="12">
        <v>4</v>
      </c>
      <c r="F164" s="11">
        <v>-9</v>
      </c>
      <c r="G164" s="11"/>
      <c r="H164" s="11"/>
      <c r="I164" s="9"/>
      <c r="J164" s="1">
        <v>98</v>
      </c>
      <c r="K164" s="12">
        <f>IF(J164="~","~",IFERROR(J164-J163,J164-LOOKUP(9999999,$J$6:J163)))</f>
        <v>-1</v>
      </c>
      <c r="L164" s="9"/>
      <c r="M164" s="45">
        <f t="shared" si="2"/>
        <v>43.149999999999991</v>
      </c>
      <c r="N164" s="151">
        <v>906</v>
      </c>
      <c r="O164" s="142">
        <v>56</v>
      </c>
      <c r="P164" s="181"/>
    </row>
    <row r="165" spans="1:16" x14ac:dyDescent="0.25">
      <c r="A165" s="61">
        <v>45005</v>
      </c>
      <c r="B165" s="8" t="s">
        <v>17</v>
      </c>
      <c r="C165" s="69" t="s">
        <v>41</v>
      </c>
      <c r="D165" s="12">
        <v>3</v>
      </c>
      <c r="E165" s="12">
        <v>4</v>
      </c>
      <c r="F165" s="11">
        <v>-11.5</v>
      </c>
      <c r="G165" s="11"/>
      <c r="H165" s="11"/>
      <c r="I165" s="9"/>
      <c r="J165" s="1">
        <v>97</v>
      </c>
      <c r="K165" s="12">
        <f>IF(J165="~","~",IFERROR(J165-J164,J165-LOOKUP(9999999,$J$6:J164)))</f>
        <v>-1</v>
      </c>
      <c r="L165" s="9"/>
      <c r="M165" s="45">
        <f t="shared" si="2"/>
        <v>43.149999999999991</v>
      </c>
      <c r="N165" s="151">
        <v>906.3</v>
      </c>
      <c r="O165" s="142">
        <v>65</v>
      </c>
      <c r="P165" s="181"/>
    </row>
    <row r="166" spans="1:16" x14ac:dyDescent="0.25">
      <c r="A166" s="50">
        <v>45006</v>
      </c>
      <c r="B166" s="8" t="s">
        <v>10</v>
      </c>
      <c r="C166" s="69" t="s">
        <v>41</v>
      </c>
      <c r="D166" s="12">
        <v>3</v>
      </c>
      <c r="E166" s="12">
        <v>4</v>
      </c>
      <c r="F166" s="11">
        <v>-11.4</v>
      </c>
      <c r="G166" s="11"/>
      <c r="H166" s="11"/>
      <c r="I166" s="9"/>
      <c r="J166" s="1">
        <v>97</v>
      </c>
      <c r="K166" s="12">
        <f>IF(J166="~","~",IFERROR(J166-J165,J166-LOOKUP(9999999,$J$6:J165)))</f>
        <v>0</v>
      </c>
      <c r="L166" s="9"/>
      <c r="M166" s="45">
        <f t="shared" si="2"/>
        <v>43.149999999999991</v>
      </c>
      <c r="N166" s="151">
        <v>906.2</v>
      </c>
      <c r="O166" s="142">
        <v>60</v>
      </c>
      <c r="P166" s="181"/>
    </row>
    <row r="167" spans="1:16" x14ac:dyDescent="0.25">
      <c r="A167" s="50">
        <v>45006</v>
      </c>
      <c r="B167" s="8" t="s">
        <v>11</v>
      </c>
      <c r="C167" s="69" t="s">
        <v>42</v>
      </c>
      <c r="D167" s="12">
        <v>5</v>
      </c>
      <c r="E167" s="12">
        <v>7</v>
      </c>
      <c r="F167" s="11">
        <v>-9.1999999999999993</v>
      </c>
      <c r="G167" s="11"/>
      <c r="H167" s="11"/>
      <c r="I167" s="9"/>
      <c r="J167" s="1">
        <v>98</v>
      </c>
      <c r="K167" s="12">
        <f>IF(J167="~","~",IFERROR(J167-J166,J167-LOOKUP(9999999,$J$6:J166)))</f>
        <v>1</v>
      </c>
      <c r="L167" s="9"/>
      <c r="M167" s="45">
        <f t="shared" si="2"/>
        <v>43.149999999999991</v>
      </c>
      <c r="N167" s="151">
        <v>908</v>
      </c>
      <c r="O167" s="142">
        <v>55</v>
      </c>
      <c r="P167" s="181"/>
    </row>
    <row r="168" spans="1:16" x14ac:dyDescent="0.25">
      <c r="A168" s="50">
        <v>45006</v>
      </c>
      <c r="B168" s="8" t="s">
        <v>12</v>
      </c>
      <c r="C168" s="69" t="s">
        <v>42</v>
      </c>
      <c r="D168" s="12">
        <v>8</v>
      </c>
      <c r="E168" s="12">
        <v>14</v>
      </c>
      <c r="F168" s="11">
        <v>-8.5</v>
      </c>
      <c r="G168" s="11"/>
      <c r="H168" s="11"/>
      <c r="I168" s="9"/>
      <c r="J168" s="1">
        <v>98</v>
      </c>
      <c r="K168" s="12">
        <f>IF(J168="~","~",IFERROR(J168-J167,J168-LOOKUP(9999999,$J$6:J167)))</f>
        <v>0</v>
      </c>
      <c r="L168" s="9"/>
      <c r="M168" s="45">
        <f t="shared" si="2"/>
        <v>43.149999999999991</v>
      </c>
      <c r="N168" s="151">
        <v>911</v>
      </c>
      <c r="O168" s="142">
        <v>72</v>
      </c>
      <c r="P168" s="181"/>
    </row>
    <row r="169" spans="1:16" x14ac:dyDescent="0.25">
      <c r="A169" s="50">
        <v>45006</v>
      </c>
      <c r="B169" s="8" t="s">
        <v>13</v>
      </c>
      <c r="C169" s="69" t="s">
        <v>42</v>
      </c>
      <c r="D169" s="12">
        <v>13</v>
      </c>
      <c r="E169" s="12">
        <v>19</v>
      </c>
      <c r="F169" s="11">
        <v>-9.1999999999999993</v>
      </c>
      <c r="G169" s="11"/>
      <c r="H169" s="11"/>
      <c r="I169" s="9" t="s">
        <v>129</v>
      </c>
      <c r="J169" s="1">
        <v>97</v>
      </c>
      <c r="K169" s="12">
        <f>IF(J169="~","~",IFERROR(J169-J168,J169-LOOKUP(9999999,$J$6:J168)))</f>
        <v>-1</v>
      </c>
      <c r="L169" s="9"/>
      <c r="M169" s="45">
        <f t="shared" si="2"/>
        <v>43.149999999999991</v>
      </c>
      <c r="N169" s="151">
        <v>914.6</v>
      </c>
      <c r="O169" s="142">
        <v>73</v>
      </c>
      <c r="P169" s="181"/>
    </row>
    <row r="170" spans="1:16" x14ac:dyDescent="0.25">
      <c r="A170" s="50">
        <v>45006</v>
      </c>
      <c r="B170" s="8" t="s">
        <v>14</v>
      </c>
      <c r="C170" s="69" t="s">
        <v>42</v>
      </c>
      <c r="D170" s="12">
        <v>11</v>
      </c>
      <c r="E170" s="12">
        <v>17</v>
      </c>
      <c r="F170" s="11">
        <v>-8.1999999999999993</v>
      </c>
      <c r="G170" s="11"/>
      <c r="H170" s="11"/>
      <c r="I170" s="9" t="s">
        <v>127</v>
      </c>
      <c r="J170" s="1">
        <v>96</v>
      </c>
      <c r="K170" s="12">
        <f>IF(J170="~","~",IFERROR(J170-J169,J170-LOOKUP(9999999,$J$6:J169)))</f>
        <v>-1</v>
      </c>
      <c r="L170" s="9"/>
      <c r="M170" s="45">
        <f t="shared" si="2"/>
        <v>43.149999999999991</v>
      </c>
      <c r="N170" s="151">
        <v>918.4</v>
      </c>
      <c r="O170" s="142">
        <v>67</v>
      </c>
      <c r="P170" s="181"/>
    </row>
    <row r="171" spans="1:16" x14ac:dyDescent="0.25">
      <c r="A171" s="50">
        <v>45006</v>
      </c>
      <c r="B171" s="8" t="s">
        <v>15</v>
      </c>
      <c r="C171" s="69" t="s">
        <v>42</v>
      </c>
      <c r="D171" s="12">
        <v>13</v>
      </c>
      <c r="E171" s="12">
        <v>20</v>
      </c>
      <c r="F171" s="11">
        <v>-7.2</v>
      </c>
      <c r="G171" s="11"/>
      <c r="H171" s="11"/>
      <c r="I171" s="9"/>
      <c r="J171" s="1">
        <v>96</v>
      </c>
      <c r="K171" s="12">
        <f>IF(J171="~","~",IFERROR(J171-J170,J171-LOOKUP(9999999,$J$6:J170)))</f>
        <v>0</v>
      </c>
      <c r="L171" s="9"/>
      <c r="M171" s="45">
        <f t="shared" si="2"/>
        <v>43.149999999999991</v>
      </c>
      <c r="N171" s="151">
        <v>921.3</v>
      </c>
      <c r="O171" s="142">
        <v>60</v>
      </c>
      <c r="P171" s="181"/>
    </row>
    <row r="172" spans="1:16" x14ac:dyDescent="0.25">
      <c r="A172" s="50">
        <v>45006</v>
      </c>
      <c r="B172" s="8" t="s">
        <v>16</v>
      </c>
      <c r="C172" s="69" t="s">
        <v>41</v>
      </c>
      <c r="D172" s="12">
        <v>8</v>
      </c>
      <c r="E172" s="12">
        <v>16</v>
      </c>
      <c r="F172" s="11">
        <v>-8.4</v>
      </c>
      <c r="G172" s="11"/>
      <c r="H172" s="11"/>
      <c r="I172" s="9"/>
      <c r="J172" s="1">
        <v>96</v>
      </c>
      <c r="K172" s="12">
        <f>IF(J172="~","~",IFERROR(J172-J171,J172-LOOKUP(9999999,$J$6:J171)))</f>
        <v>0</v>
      </c>
      <c r="L172" s="9"/>
      <c r="M172" s="45">
        <f t="shared" si="2"/>
        <v>43.149999999999991</v>
      </c>
      <c r="N172" s="151">
        <v>924.7</v>
      </c>
      <c r="O172" s="142">
        <v>54</v>
      </c>
      <c r="P172" s="181"/>
    </row>
    <row r="173" spans="1:16" x14ac:dyDescent="0.25">
      <c r="A173" s="50">
        <v>45006</v>
      </c>
      <c r="B173" s="8" t="s">
        <v>17</v>
      </c>
      <c r="C173" s="69" t="s">
        <v>41</v>
      </c>
      <c r="D173" s="12">
        <v>9</v>
      </c>
      <c r="E173" s="12">
        <v>18</v>
      </c>
      <c r="F173" s="11">
        <v>-8.6</v>
      </c>
      <c r="G173" s="11"/>
      <c r="H173" s="11"/>
      <c r="I173" s="9"/>
      <c r="J173" s="1">
        <v>95</v>
      </c>
      <c r="K173" s="12">
        <f>IF(J173="~","~",IFERROR(J173-J172,J173-LOOKUP(9999999,$J$6:J172)))</f>
        <v>-1</v>
      </c>
      <c r="L173" s="9"/>
      <c r="M173" s="45">
        <f t="shared" si="2"/>
        <v>43.149999999999991</v>
      </c>
      <c r="N173" s="151">
        <v>928.6</v>
      </c>
      <c r="O173" s="142">
        <v>50</v>
      </c>
      <c r="P173" s="181"/>
    </row>
    <row r="174" spans="1:16" x14ac:dyDescent="0.25">
      <c r="A174" s="53">
        <v>45007</v>
      </c>
      <c r="B174" s="8" t="s">
        <v>10</v>
      </c>
      <c r="C174" s="69" t="s">
        <v>41</v>
      </c>
      <c r="D174" s="12">
        <v>8</v>
      </c>
      <c r="E174" s="12">
        <v>11</v>
      </c>
      <c r="F174" s="11">
        <v>-7.8</v>
      </c>
      <c r="G174" s="11"/>
      <c r="H174" s="11"/>
      <c r="I174" s="9"/>
      <c r="J174" s="1">
        <v>95</v>
      </c>
      <c r="K174" s="12">
        <f>IF(J174="~","~",IFERROR(J174-J173,J174-LOOKUP(9999999,$J$6:J173)))</f>
        <v>0</v>
      </c>
      <c r="L174" s="9"/>
      <c r="M174" s="45">
        <f t="shared" si="2"/>
        <v>43.149999999999991</v>
      </c>
      <c r="N174" s="151">
        <v>930</v>
      </c>
      <c r="O174" s="142">
        <v>47</v>
      </c>
      <c r="P174" s="181"/>
    </row>
    <row r="175" spans="1:16" x14ac:dyDescent="0.25">
      <c r="A175" s="53">
        <v>45007</v>
      </c>
      <c r="B175" s="8" t="s">
        <v>11</v>
      </c>
      <c r="C175" s="69" t="s">
        <v>41</v>
      </c>
      <c r="D175" s="12">
        <v>7</v>
      </c>
      <c r="E175" s="12">
        <v>14</v>
      </c>
      <c r="F175" s="11">
        <v>-6.5</v>
      </c>
      <c r="G175" s="11"/>
      <c r="H175" s="11"/>
      <c r="I175" s="9"/>
      <c r="J175" s="1">
        <v>96</v>
      </c>
      <c r="K175" s="12">
        <f>IF(J175="~","~",IFERROR(J175-J174,J175-LOOKUP(9999999,$J$6:J174)))</f>
        <v>1</v>
      </c>
      <c r="L175" s="9"/>
      <c r="M175" s="45">
        <f t="shared" si="2"/>
        <v>43.149999999999991</v>
      </c>
      <c r="N175" s="151">
        <v>930.2</v>
      </c>
      <c r="O175" s="142">
        <v>54</v>
      </c>
      <c r="P175" s="181"/>
    </row>
    <row r="176" spans="1:16" x14ac:dyDescent="0.25">
      <c r="A176" s="53">
        <v>45007</v>
      </c>
      <c r="B176" s="8" t="s">
        <v>12</v>
      </c>
      <c r="C176" s="69" t="s">
        <v>41</v>
      </c>
      <c r="D176" s="12">
        <v>11</v>
      </c>
      <c r="E176" s="12">
        <v>20</v>
      </c>
      <c r="F176" s="11">
        <v>-6</v>
      </c>
      <c r="G176" s="11"/>
      <c r="H176" s="11"/>
      <c r="I176" s="9"/>
      <c r="J176" s="1">
        <v>94</v>
      </c>
      <c r="K176" s="12">
        <f>IF(J176="~","~",IFERROR(J176-J175,J176-LOOKUP(9999999,$J$6:J175)))</f>
        <v>-2</v>
      </c>
      <c r="L176" s="9"/>
      <c r="M176" s="45">
        <f t="shared" si="2"/>
        <v>43.149999999999991</v>
      </c>
      <c r="N176" s="151">
        <v>930.1</v>
      </c>
      <c r="O176" s="142">
        <v>63</v>
      </c>
      <c r="P176" s="181"/>
    </row>
    <row r="177" spans="1:16" x14ac:dyDescent="0.25">
      <c r="A177" s="53">
        <v>45007</v>
      </c>
      <c r="B177" s="8" t="s">
        <v>13</v>
      </c>
      <c r="C177" s="69" t="s">
        <v>41</v>
      </c>
      <c r="D177" s="12">
        <v>11</v>
      </c>
      <c r="E177" s="12">
        <v>18</v>
      </c>
      <c r="F177" s="11">
        <v>-4</v>
      </c>
      <c r="G177" s="11"/>
      <c r="H177" s="11"/>
      <c r="I177" s="9"/>
      <c r="J177" s="1">
        <v>95</v>
      </c>
      <c r="K177" s="12">
        <f>IF(J177="~","~",IFERROR(J177-J176,J177-LOOKUP(9999999,$J$6:J176)))</f>
        <v>1</v>
      </c>
      <c r="L177" s="9"/>
      <c r="M177" s="45">
        <f t="shared" si="2"/>
        <v>43.149999999999991</v>
      </c>
      <c r="N177" s="151">
        <v>929</v>
      </c>
      <c r="O177" s="142">
        <v>63</v>
      </c>
      <c r="P177" s="181"/>
    </row>
    <row r="178" spans="1:16" x14ac:dyDescent="0.25">
      <c r="A178" s="53">
        <v>45007</v>
      </c>
      <c r="B178" s="8" t="s">
        <v>14</v>
      </c>
      <c r="C178" s="69" t="s">
        <v>41</v>
      </c>
      <c r="D178" s="12">
        <v>9</v>
      </c>
      <c r="E178" s="12">
        <v>14</v>
      </c>
      <c r="F178" s="11">
        <v>-1.6</v>
      </c>
      <c r="G178" s="11"/>
      <c r="H178" s="11"/>
      <c r="I178" s="9"/>
      <c r="J178" s="1">
        <v>95</v>
      </c>
      <c r="K178" s="12">
        <f>IF(J178="~","~",IFERROR(J178-J177,J178-LOOKUP(9999999,$J$6:J177)))</f>
        <v>0</v>
      </c>
      <c r="L178" s="9"/>
      <c r="M178" s="45">
        <f t="shared" si="2"/>
        <v>43.149999999999991</v>
      </c>
      <c r="N178" s="151">
        <v>928.2</v>
      </c>
      <c r="O178" s="142">
        <v>55</v>
      </c>
      <c r="P178" s="181"/>
    </row>
    <row r="179" spans="1:16" x14ac:dyDescent="0.25">
      <c r="A179" s="53">
        <v>45007</v>
      </c>
      <c r="B179" s="8" t="s">
        <v>15</v>
      </c>
      <c r="C179" s="69" t="s">
        <v>41</v>
      </c>
      <c r="D179" s="12">
        <v>7</v>
      </c>
      <c r="E179" s="12">
        <v>12</v>
      </c>
      <c r="F179" s="11">
        <v>0.5</v>
      </c>
      <c r="G179" s="11"/>
      <c r="H179" s="11"/>
      <c r="I179" s="9"/>
      <c r="J179" s="1">
        <v>97</v>
      </c>
      <c r="K179" s="12">
        <f>IF(J179="~","~",IFERROR(J179-J178,J179-LOOKUP(9999999,$J$6:J178)))</f>
        <v>2</v>
      </c>
      <c r="L179" s="9"/>
      <c r="M179" s="45">
        <f t="shared" si="2"/>
        <v>43.149999999999991</v>
      </c>
      <c r="N179" s="151">
        <v>926.2</v>
      </c>
      <c r="O179" s="142">
        <v>50</v>
      </c>
      <c r="P179" s="181"/>
    </row>
    <row r="180" spans="1:16" x14ac:dyDescent="0.25">
      <c r="A180" s="53">
        <v>45007</v>
      </c>
      <c r="B180" s="8" t="s">
        <v>16</v>
      </c>
      <c r="C180" s="69" t="s">
        <v>41</v>
      </c>
      <c r="D180" s="12">
        <v>8</v>
      </c>
      <c r="E180" s="12">
        <v>15</v>
      </c>
      <c r="F180" s="11">
        <v>0.9</v>
      </c>
      <c r="G180" s="11"/>
      <c r="H180" s="11"/>
      <c r="I180" s="9"/>
      <c r="J180" s="1">
        <v>97</v>
      </c>
      <c r="K180" s="12">
        <f>IF(J180="~","~",IFERROR(J180-J179,J180-LOOKUP(9999999,$J$6:J179)))</f>
        <v>0</v>
      </c>
      <c r="L180" s="9"/>
      <c r="M180" s="45">
        <f t="shared" si="2"/>
        <v>43.149999999999991</v>
      </c>
      <c r="N180" s="151">
        <v>925.7</v>
      </c>
      <c r="O180" s="142">
        <v>52</v>
      </c>
      <c r="P180" s="181"/>
    </row>
    <row r="181" spans="1:16" x14ac:dyDescent="0.25">
      <c r="A181" s="53">
        <v>45007</v>
      </c>
      <c r="B181" s="8" t="s">
        <v>17</v>
      </c>
      <c r="C181" s="69" t="s">
        <v>41</v>
      </c>
      <c r="D181" s="72">
        <v>8</v>
      </c>
      <c r="E181" s="72">
        <v>13</v>
      </c>
      <c r="F181" s="11">
        <v>0.4</v>
      </c>
      <c r="G181" s="11"/>
      <c r="H181" s="11"/>
      <c r="I181" s="9"/>
      <c r="J181" s="1">
        <v>97</v>
      </c>
      <c r="K181" s="12">
        <f>IF(J181="~","~",IFERROR(J181-J180,J181-LOOKUP(9999999,$J$6:J180)))</f>
        <v>0</v>
      </c>
      <c r="L181" s="9"/>
      <c r="M181" s="45">
        <f t="shared" si="2"/>
        <v>43.149999999999991</v>
      </c>
      <c r="N181" s="151">
        <v>926.6</v>
      </c>
      <c r="O181" s="142">
        <v>59</v>
      </c>
      <c r="P181" s="181"/>
    </row>
    <row r="182" spans="1:16" x14ac:dyDescent="0.25">
      <c r="A182" s="56">
        <v>45008</v>
      </c>
      <c r="B182" s="8" t="s">
        <v>10</v>
      </c>
      <c r="C182" s="73" t="s">
        <v>41</v>
      </c>
      <c r="D182" s="72">
        <v>8</v>
      </c>
      <c r="E182" s="72">
        <v>15</v>
      </c>
      <c r="F182" s="11">
        <v>-0.6</v>
      </c>
      <c r="G182" s="11"/>
      <c r="H182" s="11"/>
      <c r="I182" s="9"/>
      <c r="J182" s="1">
        <v>96</v>
      </c>
      <c r="K182" s="12">
        <f>IF(J182="~","~",IFERROR(J182-J181,J182-LOOKUP(9999999,$J$6:J181)))</f>
        <v>-1</v>
      </c>
      <c r="L182" s="9"/>
      <c r="M182" s="45">
        <f t="shared" si="2"/>
        <v>43.149999999999991</v>
      </c>
      <c r="N182" s="151">
        <v>927</v>
      </c>
      <c r="O182" s="142">
        <v>65</v>
      </c>
      <c r="P182" s="181"/>
    </row>
    <row r="183" spans="1:16" x14ac:dyDescent="0.25">
      <c r="A183" s="56">
        <v>45008</v>
      </c>
      <c r="B183" s="8" t="s">
        <v>11</v>
      </c>
      <c r="C183" s="73" t="s">
        <v>41</v>
      </c>
      <c r="D183" s="72">
        <v>9</v>
      </c>
      <c r="E183" s="72">
        <v>14</v>
      </c>
      <c r="F183" s="11">
        <v>-1.8</v>
      </c>
      <c r="G183" s="11"/>
      <c r="H183" s="11"/>
      <c r="I183" s="9"/>
      <c r="J183" s="1">
        <v>96</v>
      </c>
      <c r="K183" s="12">
        <f>IF(J183="~","~",IFERROR(J183-J182,J183-LOOKUP(9999999,$J$6:J182)))</f>
        <v>0</v>
      </c>
      <c r="L183" s="9"/>
      <c r="M183" s="45">
        <f t="shared" si="2"/>
        <v>43.149999999999991</v>
      </c>
      <c r="N183" s="151">
        <v>926.9</v>
      </c>
      <c r="O183" s="143">
        <v>71</v>
      </c>
      <c r="P183" s="181"/>
    </row>
    <row r="184" spans="1:16" x14ac:dyDescent="0.25">
      <c r="A184" s="56">
        <v>45008</v>
      </c>
      <c r="B184" s="8" t="s">
        <v>12</v>
      </c>
      <c r="C184" s="73" t="s">
        <v>41</v>
      </c>
      <c r="D184" s="72">
        <v>8</v>
      </c>
      <c r="E184" s="72">
        <v>12</v>
      </c>
      <c r="F184" s="11">
        <v>-1.9</v>
      </c>
      <c r="G184" s="11"/>
      <c r="H184" s="11"/>
      <c r="I184" s="9"/>
      <c r="J184" s="1">
        <v>96</v>
      </c>
      <c r="K184" s="12">
        <f>IF(J184="~","~",IFERROR(J184-J183,J184-LOOKUP(9999999,$J$6:J183)))</f>
        <v>0</v>
      </c>
      <c r="L184" s="9"/>
      <c r="M184" s="45">
        <f t="shared" si="2"/>
        <v>43.149999999999991</v>
      </c>
      <c r="N184" s="151">
        <v>926.9</v>
      </c>
      <c r="O184" s="143">
        <v>74</v>
      </c>
      <c r="P184" s="181"/>
    </row>
    <row r="185" spans="1:16" x14ac:dyDescent="0.25">
      <c r="A185" s="56">
        <v>45008</v>
      </c>
      <c r="B185" s="8" t="s">
        <v>13</v>
      </c>
      <c r="C185" s="73" t="s">
        <v>29</v>
      </c>
      <c r="D185" s="72">
        <v>8</v>
      </c>
      <c r="E185" s="72">
        <v>13</v>
      </c>
      <c r="F185" s="11">
        <v>-2.8</v>
      </c>
      <c r="G185" s="11"/>
      <c r="H185" s="11"/>
      <c r="I185" s="9"/>
      <c r="J185" s="12">
        <v>95</v>
      </c>
      <c r="K185" s="12">
        <f>IF(J185="~","~",IFERROR(J185-J184,J185-LOOKUP(9999999,$J$6:J184)))</f>
        <v>-1</v>
      </c>
      <c r="L185" s="9"/>
      <c r="M185" s="45">
        <f t="shared" si="2"/>
        <v>43.149999999999991</v>
      </c>
      <c r="N185" s="151">
        <v>927.2</v>
      </c>
      <c r="O185" s="143">
        <v>78</v>
      </c>
      <c r="P185" s="181"/>
    </row>
    <row r="186" spans="1:16" x14ac:dyDescent="0.25">
      <c r="A186" s="56">
        <v>45008</v>
      </c>
      <c r="B186" s="8" t="s">
        <v>14</v>
      </c>
      <c r="C186" s="73" t="s">
        <v>40</v>
      </c>
      <c r="D186" s="72">
        <v>4</v>
      </c>
      <c r="E186" s="72">
        <v>12</v>
      </c>
      <c r="F186" s="11">
        <v>-3.8</v>
      </c>
      <c r="G186" s="11"/>
      <c r="H186" s="11"/>
      <c r="I186" s="9" t="s">
        <v>130</v>
      </c>
      <c r="J186" s="12">
        <v>94</v>
      </c>
      <c r="K186" s="12">
        <f>IF(J186="~","~",IFERROR(J186-J185,J186-LOOKUP(9999999,$J$6:J185)))</f>
        <v>-1</v>
      </c>
      <c r="L186" s="9"/>
      <c r="M186" s="45">
        <f t="shared" si="2"/>
        <v>43.149999999999991</v>
      </c>
      <c r="N186" s="151">
        <v>927.9</v>
      </c>
      <c r="O186" s="143">
        <v>77</v>
      </c>
      <c r="P186" s="181"/>
    </row>
    <row r="187" spans="1:16" x14ac:dyDescent="0.25">
      <c r="A187" s="56">
        <v>45008</v>
      </c>
      <c r="B187" s="8" t="s">
        <v>15</v>
      </c>
      <c r="C187" s="73" t="s">
        <v>36</v>
      </c>
      <c r="D187" s="72">
        <v>4</v>
      </c>
      <c r="E187" s="72">
        <v>6</v>
      </c>
      <c r="F187" s="11">
        <v>-6.9</v>
      </c>
      <c r="G187" s="11"/>
      <c r="H187" s="11"/>
      <c r="I187" s="9" t="s">
        <v>130</v>
      </c>
      <c r="J187" s="12">
        <v>93</v>
      </c>
      <c r="K187" s="12">
        <f>IF(J187="~","~",IFERROR(J187-J186,J187-LOOKUP(9999999,$J$6:J186)))</f>
        <v>-1</v>
      </c>
      <c r="L187" s="9"/>
      <c r="M187" s="45">
        <f t="shared" si="2"/>
        <v>43.149999999999991</v>
      </c>
      <c r="N187" s="151">
        <v>927.4</v>
      </c>
      <c r="O187" s="143">
        <v>91</v>
      </c>
      <c r="P187" s="181"/>
    </row>
    <row r="188" spans="1:16" x14ac:dyDescent="0.25">
      <c r="A188" s="56">
        <v>45008</v>
      </c>
      <c r="B188" s="8" t="s">
        <v>16</v>
      </c>
      <c r="C188" s="73" t="s">
        <v>34</v>
      </c>
      <c r="D188" s="72">
        <v>3</v>
      </c>
      <c r="E188" s="72">
        <v>4</v>
      </c>
      <c r="F188" s="11">
        <v>-8.3000000000000007</v>
      </c>
      <c r="G188" s="11"/>
      <c r="H188" s="11"/>
      <c r="I188" s="9" t="s">
        <v>130</v>
      </c>
      <c r="J188" s="12">
        <v>91</v>
      </c>
      <c r="K188" s="12">
        <f>IF(J188="~","~",IFERROR(J188-J187,J188-LOOKUP(9999999,$J$6:J187)))</f>
        <v>-2</v>
      </c>
      <c r="L188" s="9"/>
      <c r="M188" s="45">
        <f t="shared" si="2"/>
        <v>43.149999999999991</v>
      </c>
      <c r="N188" s="151">
        <v>928.1</v>
      </c>
      <c r="O188" s="143">
        <v>91</v>
      </c>
      <c r="P188" s="181"/>
    </row>
    <row r="189" spans="1:16" x14ac:dyDescent="0.25">
      <c r="A189" s="56">
        <v>45008</v>
      </c>
      <c r="B189" s="8" t="s">
        <v>17</v>
      </c>
      <c r="C189" s="73" t="s">
        <v>34</v>
      </c>
      <c r="D189" s="72">
        <v>2</v>
      </c>
      <c r="E189" s="72">
        <v>3</v>
      </c>
      <c r="F189" s="11">
        <v>-9.6</v>
      </c>
      <c r="G189" s="11"/>
      <c r="H189" s="11"/>
      <c r="I189" s="9" t="s">
        <v>130</v>
      </c>
      <c r="J189" s="12">
        <v>97</v>
      </c>
      <c r="K189" s="12">
        <f>IF(J189="~","~",IFERROR(J189-J188,J189-LOOKUP(9999999,$J$6:J188)))</f>
        <v>6</v>
      </c>
      <c r="L189" s="9"/>
      <c r="M189" s="45">
        <f t="shared" si="2"/>
        <v>43.149999999999991</v>
      </c>
      <c r="N189" s="151">
        <v>928.4</v>
      </c>
      <c r="O189" s="143">
        <v>91</v>
      </c>
      <c r="P189" s="181"/>
    </row>
    <row r="190" spans="1:16" x14ac:dyDescent="0.25">
      <c r="A190" s="62">
        <v>45009</v>
      </c>
      <c r="B190" s="8" t="s">
        <v>10</v>
      </c>
      <c r="C190" s="73" t="s">
        <v>34</v>
      </c>
      <c r="D190" s="72">
        <v>0</v>
      </c>
      <c r="E190" s="72">
        <v>1</v>
      </c>
      <c r="F190" s="11">
        <v>-10.199999999999999</v>
      </c>
      <c r="G190" s="11"/>
      <c r="H190" s="11"/>
      <c r="I190" s="9" t="s">
        <v>130</v>
      </c>
      <c r="J190" s="12">
        <v>101</v>
      </c>
      <c r="K190" s="12">
        <f>IF(J190="~","~",IFERROR(J190-J189,J190-LOOKUP(9999999,$J$6:J189)))</f>
        <v>4</v>
      </c>
      <c r="L190" s="9"/>
      <c r="M190" s="45">
        <f t="shared" si="2"/>
        <v>43.149999999999991</v>
      </c>
      <c r="N190" s="151">
        <v>927.4</v>
      </c>
      <c r="O190" s="143">
        <v>90</v>
      </c>
      <c r="P190" s="181"/>
    </row>
    <row r="191" spans="1:16" x14ac:dyDescent="0.25">
      <c r="A191" s="62">
        <v>45009</v>
      </c>
      <c r="B191" s="8" t="s">
        <v>11</v>
      </c>
      <c r="C191" s="73" t="s">
        <v>34</v>
      </c>
      <c r="D191" s="72">
        <v>0</v>
      </c>
      <c r="E191" s="72">
        <v>1</v>
      </c>
      <c r="F191" s="11">
        <v>-10.6</v>
      </c>
      <c r="G191" s="11"/>
      <c r="H191" s="11"/>
      <c r="I191" s="9" t="s">
        <v>130</v>
      </c>
      <c r="J191" s="12">
        <v>103</v>
      </c>
      <c r="K191" s="12">
        <f>IF(J191="~","~",IFERROR(J191-J190,J191-LOOKUP(9999999,$J$6:J190)))</f>
        <v>2</v>
      </c>
      <c r="L191" s="9"/>
      <c r="M191" s="45">
        <f t="shared" si="2"/>
        <v>43.149999999999991</v>
      </c>
      <c r="N191" s="151">
        <v>926.9</v>
      </c>
      <c r="O191" s="143">
        <v>90</v>
      </c>
      <c r="P191" s="181"/>
    </row>
    <row r="192" spans="1:16" x14ac:dyDescent="0.25">
      <c r="A192" s="62">
        <v>45009</v>
      </c>
      <c r="B192" s="8" t="s">
        <v>12</v>
      </c>
      <c r="C192" s="73" t="s">
        <v>34</v>
      </c>
      <c r="D192" s="72">
        <v>0</v>
      </c>
      <c r="E192" s="72">
        <v>2</v>
      </c>
      <c r="F192" s="11">
        <v>-11</v>
      </c>
      <c r="G192" s="11"/>
      <c r="H192" s="11"/>
      <c r="I192" s="9" t="s">
        <v>130</v>
      </c>
      <c r="J192" s="12">
        <v>100</v>
      </c>
      <c r="K192" s="12">
        <f>IF(J192="~","~",IFERROR(J192-J191,J192-LOOKUP(9999999,$J$6:J191)))</f>
        <v>-3</v>
      </c>
      <c r="L192" s="9"/>
      <c r="M192" s="45">
        <f t="shared" si="2"/>
        <v>43.149999999999991</v>
      </c>
      <c r="N192" s="151">
        <v>926</v>
      </c>
      <c r="O192" s="143">
        <v>89</v>
      </c>
      <c r="P192" s="181"/>
    </row>
    <row r="193" spans="1:16" x14ac:dyDescent="0.25">
      <c r="A193" s="62">
        <v>45009</v>
      </c>
      <c r="B193" s="8" t="s">
        <v>13</v>
      </c>
      <c r="C193" s="73" t="s">
        <v>45</v>
      </c>
      <c r="D193" s="72">
        <v>0</v>
      </c>
      <c r="E193" s="72">
        <v>0</v>
      </c>
      <c r="F193" s="11">
        <v>-10.5</v>
      </c>
      <c r="G193" s="11"/>
      <c r="H193" s="11"/>
      <c r="I193" s="29" t="s">
        <v>130</v>
      </c>
      <c r="J193" s="12">
        <v>103</v>
      </c>
      <c r="K193" s="12">
        <f>IF(J193="~","~",IFERROR(J193-J192,J193-LOOKUP(9999999,$J$6:J192)))</f>
        <v>3</v>
      </c>
      <c r="L193" s="9"/>
      <c r="M193" s="45">
        <f t="shared" si="2"/>
        <v>43.149999999999991</v>
      </c>
      <c r="N193" s="151">
        <v>925.2</v>
      </c>
      <c r="O193" s="143">
        <v>90</v>
      </c>
      <c r="P193" s="181"/>
    </row>
    <row r="194" spans="1:16" x14ac:dyDescent="0.25">
      <c r="A194" s="62">
        <v>45009</v>
      </c>
      <c r="B194" s="8" t="s">
        <v>14</v>
      </c>
      <c r="C194" s="69" t="s">
        <v>34</v>
      </c>
      <c r="D194" s="12">
        <v>0</v>
      </c>
      <c r="E194" s="12">
        <v>1</v>
      </c>
      <c r="F194" s="11">
        <v>-8</v>
      </c>
      <c r="G194" s="11"/>
      <c r="H194" s="11"/>
      <c r="I194" s="29" t="s">
        <v>130</v>
      </c>
      <c r="J194" s="12">
        <v>107</v>
      </c>
      <c r="K194" s="12">
        <f>IF(J194="~","~",IFERROR(J194-J193,J194-LOOKUP(9999999,$J$6:J193)))</f>
        <v>4</v>
      </c>
      <c r="L194" s="9"/>
      <c r="M194" s="45">
        <f t="shared" si="2"/>
        <v>43.149999999999991</v>
      </c>
      <c r="N194" s="151">
        <v>922.9</v>
      </c>
      <c r="O194" s="143">
        <v>86</v>
      </c>
      <c r="P194" s="181"/>
    </row>
    <row r="195" spans="1:16" x14ac:dyDescent="0.25">
      <c r="A195" s="62">
        <v>45009</v>
      </c>
      <c r="B195" s="8" t="s">
        <v>15</v>
      </c>
      <c r="C195" s="69" t="s">
        <v>34</v>
      </c>
      <c r="D195" s="12">
        <v>1</v>
      </c>
      <c r="E195" s="12">
        <v>2</v>
      </c>
      <c r="F195" s="11">
        <v>-8.6</v>
      </c>
      <c r="G195" s="11"/>
      <c r="H195" s="11"/>
      <c r="I195" s="29" t="s">
        <v>130</v>
      </c>
      <c r="J195" s="12">
        <v>115</v>
      </c>
      <c r="K195" s="12">
        <f>IF(J195="~","~",IFERROR(J195-J194,J195-LOOKUP(9999999,$J$6:J194)))</f>
        <v>8</v>
      </c>
      <c r="L195" s="9"/>
      <c r="M195" s="45">
        <f t="shared" si="2"/>
        <v>43.149999999999991</v>
      </c>
      <c r="N195" s="151">
        <v>919.1</v>
      </c>
      <c r="O195" s="143">
        <v>84</v>
      </c>
      <c r="P195" s="181"/>
    </row>
    <row r="196" spans="1:16" x14ac:dyDescent="0.25">
      <c r="A196" s="62">
        <v>45009</v>
      </c>
      <c r="B196" s="8" t="s">
        <v>16</v>
      </c>
      <c r="C196" s="69" t="s">
        <v>43</v>
      </c>
      <c r="D196" s="12">
        <v>1</v>
      </c>
      <c r="E196" s="12">
        <v>2</v>
      </c>
      <c r="F196" s="11">
        <v>-8.4</v>
      </c>
      <c r="G196" s="11"/>
      <c r="H196" s="11"/>
      <c r="I196" s="29" t="s">
        <v>130</v>
      </c>
      <c r="J196" s="12">
        <v>130</v>
      </c>
      <c r="K196" s="12">
        <f>IF(J196="~","~",IFERROR(J196-J195,J196-LOOKUP(9999999,$J$6:J195)))</f>
        <v>15</v>
      </c>
      <c r="L196" s="9"/>
      <c r="M196" s="45">
        <f t="shared" si="2"/>
        <v>43.149999999999991</v>
      </c>
      <c r="N196" s="151">
        <v>914.5</v>
      </c>
      <c r="O196" s="143">
        <v>86</v>
      </c>
      <c r="P196" s="181"/>
    </row>
    <row r="197" spans="1:16" x14ac:dyDescent="0.25">
      <c r="A197" s="62">
        <v>45009</v>
      </c>
      <c r="B197" s="8" t="s">
        <v>17</v>
      </c>
      <c r="C197" s="69" t="s">
        <v>32</v>
      </c>
      <c r="D197" s="12">
        <v>5</v>
      </c>
      <c r="E197" s="12">
        <v>8</v>
      </c>
      <c r="F197" s="11">
        <v>-9.9</v>
      </c>
      <c r="G197" s="11"/>
      <c r="H197" s="11"/>
      <c r="I197" s="29" t="s">
        <v>130</v>
      </c>
      <c r="J197" s="12">
        <v>135</v>
      </c>
      <c r="K197" s="12">
        <f>IF(J197="~","~",IFERROR(J197-J196,J197-LOOKUP(9999999,$J$6:J196)))</f>
        <v>5</v>
      </c>
      <c r="L197" s="9"/>
      <c r="M197" s="45">
        <f t="shared" si="2"/>
        <v>43.149999999999991</v>
      </c>
      <c r="N197" s="151">
        <v>910</v>
      </c>
      <c r="O197" s="143">
        <v>80</v>
      </c>
      <c r="P197" s="181"/>
    </row>
    <row r="198" spans="1:16" x14ac:dyDescent="0.25">
      <c r="A198" s="49">
        <v>45010</v>
      </c>
      <c r="B198" s="8" t="s">
        <v>10</v>
      </c>
      <c r="C198" s="69" t="s">
        <v>32</v>
      </c>
      <c r="D198" s="12">
        <v>2</v>
      </c>
      <c r="E198" s="12">
        <v>3</v>
      </c>
      <c r="F198" s="11">
        <v>-9.6</v>
      </c>
      <c r="G198" s="11"/>
      <c r="H198" s="11"/>
      <c r="I198" s="9" t="s">
        <v>130</v>
      </c>
      <c r="J198" s="12">
        <v>132</v>
      </c>
      <c r="K198" s="12">
        <f>IF(J198="~","~",IFERROR(J198-J197,J198-LOOKUP(9999999,$J$6:J197)))</f>
        <v>-3</v>
      </c>
      <c r="L198" s="9"/>
      <c r="M198" s="45">
        <f t="shared" si="2"/>
        <v>43.149999999999991</v>
      </c>
      <c r="N198" s="151">
        <v>905.7</v>
      </c>
      <c r="O198" s="143">
        <v>80</v>
      </c>
      <c r="P198" s="181"/>
    </row>
    <row r="199" spans="1:16" x14ac:dyDescent="0.25">
      <c r="A199" s="49">
        <v>45010</v>
      </c>
      <c r="B199" s="8" t="s">
        <v>11</v>
      </c>
      <c r="C199" s="69" t="s">
        <v>43</v>
      </c>
      <c r="D199" s="12">
        <v>0</v>
      </c>
      <c r="E199" s="12">
        <v>1</v>
      </c>
      <c r="F199" s="11">
        <v>-10.4</v>
      </c>
      <c r="G199" s="11"/>
      <c r="H199" s="11"/>
      <c r="I199" s="29" t="s">
        <v>130</v>
      </c>
      <c r="J199" s="12">
        <v>132</v>
      </c>
      <c r="K199" s="12">
        <f>IF(J199="~","~",IFERROR(J199-J198,J199-LOOKUP(9999999,$J$6:J198)))</f>
        <v>0</v>
      </c>
      <c r="L199" s="9"/>
      <c r="M199" s="45">
        <f t="shared" si="2"/>
        <v>43.149999999999991</v>
      </c>
      <c r="N199" s="151">
        <v>902</v>
      </c>
      <c r="O199" s="143">
        <v>89</v>
      </c>
      <c r="P199" s="181"/>
    </row>
    <row r="200" spans="1:16" x14ac:dyDescent="0.25">
      <c r="A200" s="49">
        <v>45010</v>
      </c>
      <c r="B200" s="8" t="s">
        <v>12</v>
      </c>
      <c r="C200" s="69" t="s">
        <v>41</v>
      </c>
      <c r="D200" s="12">
        <v>2</v>
      </c>
      <c r="E200" s="12">
        <v>5</v>
      </c>
      <c r="F200" s="11">
        <v>-12.2</v>
      </c>
      <c r="G200" s="11"/>
      <c r="H200" s="11"/>
      <c r="I200" s="29" t="s">
        <v>130</v>
      </c>
      <c r="J200" s="12">
        <v>134</v>
      </c>
      <c r="K200" s="12">
        <f>IF(J200="~","~",IFERROR(J200-J199,J200-LOOKUP(9999999,$J$6:J199)))</f>
        <v>2</v>
      </c>
      <c r="L200" s="9"/>
      <c r="M200" s="45">
        <f t="shared" ref="M200:M253" si="3">IF(OR(L200="нет",L200="~"),M199,M199+L200)</f>
        <v>43.149999999999991</v>
      </c>
      <c r="N200" s="151">
        <v>898.2</v>
      </c>
      <c r="O200" s="143">
        <v>81</v>
      </c>
      <c r="P200" s="181"/>
    </row>
    <row r="201" spans="1:16" x14ac:dyDescent="0.25">
      <c r="A201" s="49">
        <v>45010</v>
      </c>
      <c r="B201" s="8" t="s">
        <v>13</v>
      </c>
      <c r="C201" s="69" t="s">
        <v>41</v>
      </c>
      <c r="D201" s="12">
        <v>2</v>
      </c>
      <c r="E201" s="12">
        <v>3</v>
      </c>
      <c r="F201" s="11">
        <v>-13.6</v>
      </c>
      <c r="G201" s="11"/>
      <c r="H201" s="11"/>
      <c r="I201" s="29" t="s">
        <v>130</v>
      </c>
      <c r="J201" s="1">
        <v>133</v>
      </c>
      <c r="K201" s="12">
        <f>IF(J201="~","~",IFERROR(J201-J200,J201-LOOKUP(9999999,$J$6:J200)))</f>
        <v>-1</v>
      </c>
      <c r="L201" s="9"/>
      <c r="M201" s="45">
        <f t="shared" si="3"/>
        <v>43.149999999999991</v>
      </c>
      <c r="N201" s="151">
        <v>895.1</v>
      </c>
      <c r="O201" s="143">
        <v>76</v>
      </c>
      <c r="P201" s="181"/>
    </row>
    <row r="202" spans="1:16" x14ac:dyDescent="0.25">
      <c r="A202" s="49">
        <v>45010</v>
      </c>
      <c r="B202" s="8" t="s">
        <v>14</v>
      </c>
      <c r="C202" s="69" t="s">
        <v>41</v>
      </c>
      <c r="D202" s="12">
        <v>7</v>
      </c>
      <c r="E202" s="12">
        <v>22</v>
      </c>
      <c r="F202" s="11">
        <v>-16.100000000000001</v>
      </c>
      <c r="G202" s="11"/>
      <c r="H202" s="11"/>
      <c r="I202" s="29" t="s">
        <v>127</v>
      </c>
      <c r="J202" s="1">
        <v>88</v>
      </c>
      <c r="K202" s="12">
        <f>IF(J202="~","~",IFERROR(J202-J201,J202-LOOKUP(9999999,$J$6:J201)))</f>
        <v>-45</v>
      </c>
      <c r="L202" s="9"/>
      <c r="M202" s="45">
        <f t="shared" si="3"/>
        <v>43.149999999999991</v>
      </c>
      <c r="N202" s="151">
        <v>893.8</v>
      </c>
      <c r="O202" s="144">
        <v>82</v>
      </c>
      <c r="P202" s="181"/>
    </row>
    <row r="203" spans="1:16" x14ac:dyDescent="0.25">
      <c r="A203" s="49">
        <v>45010</v>
      </c>
      <c r="B203" s="8" t="s">
        <v>15</v>
      </c>
      <c r="C203" s="74" t="s">
        <v>41</v>
      </c>
      <c r="D203" s="12" t="s">
        <v>45</v>
      </c>
      <c r="E203" s="12" t="s">
        <v>45</v>
      </c>
      <c r="F203" s="11">
        <v>-13.1</v>
      </c>
      <c r="G203" s="11"/>
      <c r="H203" s="11"/>
      <c r="I203" s="29" t="s">
        <v>127</v>
      </c>
      <c r="J203" s="1">
        <v>89</v>
      </c>
      <c r="K203" s="12">
        <f>IF(J203="~","~",IFERROR(J203-J202,J203-LOOKUP(9999999,$J$6:J202)))</f>
        <v>1</v>
      </c>
      <c r="L203" s="9"/>
      <c r="M203" s="45">
        <f t="shared" si="3"/>
        <v>43.149999999999991</v>
      </c>
      <c r="N203" s="151">
        <v>895</v>
      </c>
      <c r="O203" s="143">
        <v>84</v>
      </c>
      <c r="P203" s="181"/>
    </row>
    <row r="204" spans="1:16" x14ac:dyDescent="0.25">
      <c r="A204" s="49">
        <v>45010</v>
      </c>
      <c r="B204" s="8" t="s">
        <v>16</v>
      </c>
      <c r="C204" s="74" t="s">
        <v>41</v>
      </c>
      <c r="D204" s="12">
        <v>22</v>
      </c>
      <c r="E204" s="12">
        <v>29</v>
      </c>
      <c r="F204" s="11">
        <v>-15.2</v>
      </c>
      <c r="G204" s="11"/>
      <c r="H204" s="11"/>
      <c r="I204" s="31" t="s">
        <v>127</v>
      </c>
      <c r="J204" s="1">
        <v>87</v>
      </c>
      <c r="K204" s="12">
        <f>IF(J204="~","~",IFERROR(J204-J203,J204-LOOKUP(9999999,$J$6:J203)))</f>
        <v>-2</v>
      </c>
      <c r="L204" s="9"/>
      <c r="M204" s="45">
        <f t="shared" si="3"/>
        <v>43.149999999999991</v>
      </c>
      <c r="N204" s="151">
        <v>896.4</v>
      </c>
      <c r="O204" s="143">
        <v>82</v>
      </c>
      <c r="P204" s="181"/>
    </row>
    <row r="205" spans="1:16" x14ac:dyDescent="0.25">
      <c r="A205" s="49">
        <v>45010</v>
      </c>
      <c r="B205" s="8" t="s">
        <v>17</v>
      </c>
      <c r="C205" s="74" t="s">
        <v>41</v>
      </c>
      <c r="D205" s="12">
        <v>20</v>
      </c>
      <c r="E205" s="12">
        <v>26</v>
      </c>
      <c r="F205" s="9">
        <v>-16.8</v>
      </c>
      <c r="G205" s="11"/>
      <c r="H205" s="11"/>
      <c r="I205" s="29" t="s">
        <v>127</v>
      </c>
      <c r="J205" s="74">
        <v>86</v>
      </c>
      <c r="K205" s="12">
        <f>IF(J205="~","~",IFERROR(J205-J204,J205-LOOKUP(9999999,$J$6:J204)))</f>
        <v>-1</v>
      </c>
      <c r="L205" s="9"/>
      <c r="M205" s="45">
        <f t="shared" si="3"/>
        <v>43.149999999999991</v>
      </c>
      <c r="N205" s="151">
        <v>901.1</v>
      </c>
      <c r="O205" s="143">
        <v>77</v>
      </c>
      <c r="P205" s="181"/>
    </row>
    <row r="206" spans="1:16" x14ac:dyDescent="0.25">
      <c r="A206" s="51">
        <v>45011</v>
      </c>
      <c r="B206" s="8" t="s">
        <v>10</v>
      </c>
      <c r="C206" s="74" t="s">
        <v>41</v>
      </c>
      <c r="D206" s="12">
        <v>15</v>
      </c>
      <c r="E206" s="12">
        <v>22</v>
      </c>
      <c r="F206" s="11">
        <v>-17.3</v>
      </c>
      <c r="G206" s="11"/>
      <c r="H206" s="11"/>
      <c r="I206" s="29" t="s">
        <v>127</v>
      </c>
      <c r="J206" s="1">
        <v>86</v>
      </c>
      <c r="K206" s="12">
        <f>IF(J206="~","~",IFERROR(J206-J205,J206-LOOKUP(9999999,$J$6:J205)))</f>
        <v>0</v>
      </c>
      <c r="L206" s="9"/>
      <c r="M206" s="45">
        <f t="shared" si="3"/>
        <v>43.149999999999991</v>
      </c>
      <c r="N206" s="151">
        <v>905.1</v>
      </c>
      <c r="O206" s="143">
        <v>74</v>
      </c>
      <c r="P206" s="181"/>
    </row>
    <row r="207" spans="1:16" x14ac:dyDescent="0.25">
      <c r="A207" s="51">
        <v>45011</v>
      </c>
      <c r="B207" s="8" t="s">
        <v>11</v>
      </c>
      <c r="C207" s="69" t="s">
        <v>41</v>
      </c>
      <c r="D207" s="12">
        <v>21</v>
      </c>
      <c r="E207" s="12">
        <v>21</v>
      </c>
      <c r="F207" s="9">
        <v>-16.399999999999999</v>
      </c>
      <c r="G207" s="11"/>
      <c r="H207" s="11"/>
      <c r="I207" s="9" t="s">
        <v>127</v>
      </c>
      <c r="J207" s="1">
        <v>86</v>
      </c>
      <c r="K207" s="12">
        <f>IF(J207="~","~",IFERROR(J207-J206,J207-LOOKUP(9999999,$J$6:J206)))</f>
        <v>0</v>
      </c>
      <c r="L207" s="9"/>
      <c r="M207" s="45">
        <f t="shared" si="3"/>
        <v>43.149999999999991</v>
      </c>
      <c r="N207" s="151">
        <v>907.8</v>
      </c>
      <c r="O207" s="143">
        <v>68</v>
      </c>
      <c r="P207" s="181"/>
    </row>
    <row r="208" spans="1:16" x14ac:dyDescent="0.25">
      <c r="A208" s="51">
        <v>45011</v>
      </c>
      <c r="B208" s="8" t="s">
        <v>12</v>
      </c>
      <c r="C208" s="69" t="s">
        <v>41</v>
      </c>
      <c r="D208" s="12">
        <v>18</v>
      </c>
      <c r="E208" s="12">
        <v>18</v>
      </c>
      <c r="F208" s="11">
        <v>-16</v>
      </c>
      <c r="G208" s="11"/>
      <c r="H208" s="11"/>
      <c r="I208" s="9" t="s">
        <v>127</v>
      </c>
      <c r="J208" s="1">
        <v>87</v>
      </c>
      <c r="K208" s="12">
        <f>IF(J208="~","~",IFERROR(J208-J207,J208-LOOKUP(9999999,$J$6:J207)))</f>
        <v>1</v>
      </c>
      <c r="L208" s="9"/>
      <c r="M208" s="45">
        <f t="shared" si="3"/>
        <v>43.149999999999991</v>
      </c>
      <c r="N208" s="151">
        <v>910</v>
      </c>
      <c r="O208" s="143">
        <v>80</v>
      </c>
      <c r="P208" s="181"/>
    </row>
    <row r="209" spans="1:16" x14ac:dyDescent="0.25">
      <c r="A209" s="51">
        <v>45011</v>
      </c>
      <c r="B209" s="8" t="s">
        <v>13</v>
      </c>
      <c r="C209" s="69" t="s">
        <v>41</v>
      </c>
      <c r="D209" s="12" t="s">
        <v>45</v>
      </c>
      <c r="E209" s="12" t="s">
        <v>45</v>
      </c>
      <c r="F209" s="11">
        <v>-15.1</v>
      </c>
      <c r="G209" s="11"/>
      <c r="H209" s="11"/>
      <c r="I209" s="9" t="s">
        <v>127</v>
      </c>
      <c r="J209" s="1">
        <v>87</v>
      </c>
      <c r="K209" s="12">
        <f>IF(J209="~","~",IFERROR(J209-J208,J209-LOOKUP(9999999,$J$6:J208)))</f>
        <v>0</v>
      </c>
      <c r="L209" s="9"/>
      <c r="M209" s="45">
        <f t="shared" si="3"/>
        <v>43.149999999999991</v>
      </c>
      <c r="N209" s="151">
        <v>912.1</v>
      </c>
      <c r="O209" s="142">
        <v>60</v>
      </c>
      <c r="P209" s="181"/>
    </row>
    <row r="210" spans="1:16" x14ac:dyDescent="0.25">
      <c r="A210" s="51">
        <v>45011</v>
      </c>
      <c r="B210" s="8" t="s">
        <v>14</v>
      </c>
      <c r="C210" s="69" t="s">
        <v>41</v>
      </c>
      <c r="D210" s="12" t="s">
        <v>45</v>
      </c>
      <c r="E210" s="12" t="s">
        <v>45</v>
      </c>
      <c r="F210" s="11">
        <v>-13.4</v>
      </c>
      <c r="G210" s="11"/>
      <c r="H210" s="11"/>
      <c r="I210" s="9" t="s">
        <v>127</v>
      </c>
      <c r="J210" s="1">
        <v>88</v>
      </c>
      <c r="K210" s="12">
        <f>IF(J210="~","~",IFERROR(J210-J209,J210-LOOKUP(9999999,$J$6:J209)))</f>
        <v>1</v>
      </c>
      <c r="L210" s="9"/>
      <c r="M210" s="45">
        <f t="shared" si="3"/>
        <v>43.149999999999991</v>
      </c>
      <c r="N210" s="151">
        <v>914.3</v>
      </c>
      <c r="O210" s="142">
        <v>68</v>
      </c>
      <c r="P210" s="181"/>
    </row>
    <row r="211" spans="1:16" x14ac:dyDescent="0.25">
      <c r="A211" s="51">
        <v>45011</v>
      </c>
      <c r="B211" s="8" t="s">
        <v>15</v>
      </c>
      <c r="C211" s="69" t="s">
        <v>41</v>
      </c>
      <c r="D211" s="12" t="s">
        <v>45</v>
      </c>
      <c r="E211" s="12" t="s">
        <v>45</v>
      </c>
      <c r="F211" s="11">
        <v>-11.6</v>
      </c>
      <c r="G211" s="11"/>
      <c r="H211" s="11"/>
      <c r="I211" s="9" t="s">
        <v>127</v>
      </c>
      <c r="J211" s="1">
        <v>89</v>
      </c>
      <c r="K211" s="12">
        <f>IF(J211="~","~",IFERROR(J211-J210,J211-LOOKUP(9999999,$J$6:J210)))</f>
        <v>1</v>
      </c>
      <c r="L211" s="9"/>
      <c r="M211" s="45">
        <f t="shared" si="3"/>
        <v>43.149999999999991</v>
      </c>
      <c r="N211" s="151">
        <v>916.2</v>
      </c>
      <c r="O211" s="142">
        <v>60</v>
      </c>
      <c r="P211" s="181"/>
    </row>
    <row r="212" spans="1:16" x14ac:dyDescent="0.25">
      <c r="A212" s="51">
        <v>45011</v>
      </c>
      <c r="B212" s="8" t="s">
        <v>16</v>
      </c>
      <c r="C212" s="69" t="s">
        <v>41</v>
      </c>
      <c r="D212" s="12" t="s">
        <v>45</v>
      </c>
      <c r="E212" s="12" t="s">
        <v>45</v>
      </c>
      <c r="F212" s="11">
        <v>-10.9</v>
      </c>
      <c r="G212" s="11"/>
      <c r="H212" s="11"/>
      <c r="I212" s="29" t="s">
        <v>127</v>
      </c>
      <c r="J212" s="1">
        <v>89</v>
      </c>
      <c r="K212" s="12">
        <f>IF(J212="~","~",IFERROR(J212-J211,J212-LOOKUP(9999999,$J$6:J211)))</f>
        <v>0</v>
      </c>
      <c r="L212" s="9"/>
      <c r="M212" s="45">
        <f t="shared" si="3"/>
        <v>43.149999999999991</v>
      </c>
      <c r="N212" s="151">
        <v>918.6</v>
      </c>
      <c r="O212" s="142">
        <v>56</v>
      </c>
      <c r="P212" s="181"/>
    </row>
    <row r="213" spans="1:16" x14ac:dyDescent="0.25">
      <c r="A213" s="51">
        <v>45011</v>
      </c>
      <c r="B213" s="8" t="s">
        <v>17</v>
      </c>
      <c r="C213" s="69" t="s">
        <v>41</v>
      </c>
      <c r="D213" s="12" t="s">
        <v>45</v>
      </c>
      <c r="E213" s="12" t="s">
        <v>45</v>
      </c>
      <c r="F213" s="11">
        <v>-10.199999999999999</v>
      </c>
      <c r="G213" s="11"/>
      <c r="H213" s="11"/>
      <c r="I213" s="29"/>
      <c r="J213" s="1">
        <v>89</v>
      </c>
      <c r="K213" s="12">
        <f>IF(J213="~","~",IFERROR(J213-J212,J213-LOOKUP(9999999,$J$6:J212)))</f>
        <v>0</v>
      </c>
      <c r="L213" s="9"/>
      <c r="M213" s="45">
        <f t="shared" si="3"/>
        <v>43.149999999999991</v>
      </c>
      <c r="N213" s="151">
        <v>921.9</v>
      </c>
      <c r="O213" s="142">
        <v>48</v>
      </c>
      <c r="P213" s="181"/>
    </row>
    <row r="214" spans="1:16" x14ac:dyDescent="0.25">
      <c r="A214" s="63">
        <v>45012</v>
      </c>
      <c r="B214" s="8" t="s">
        <v>10</v>
      </c>
      <c r="C214" s="69" t="s">
        <v>41</v>
      </c>
      <c r="D214" s="12">
        <v>2</v>
      </c>
      <c r="E214" s="12">
        <v>4</v>
      </c>
      <c r="F214" s="11">
        <v>-10.1</v>
      </c>
      <c r="G214" s="11"/>
      <c r="H214" s="11"/>
      <c r="I214" s="29"/>
      <c r="J214" s="1">
        <v>88</v>
      </c>
      <c r="K214" s="12">
        <f>IF(J214="~","~",IFERROR(J214-J213,J214-LOOKUP(9999999,$J$6:J213)))</f>
        <v>-1</v>
      </c>
      <c r="L214" s="9"/>
      <c r="M214" s="45">
        <f t="shared" si="3"/>
        <v>43.149999999999991</v>
      </c>
      <c r="N214" s="151">
        <v>924.8</v>
      </c>
      <c r="O214" s="142">
        <v>74</v>
      </c>
      <c r="P214" s="181"/>
    </row>
    <row r="215" spans="1:16" x14ac:dyDescent="0.25">
      <c r="A215" s="63">
        <v>45012</v>
      </c>
      <c r="B215" s="8" t="s">
        <v>11</v>
      </c>
      <c r="C215" s="69" t="s">
        <v>41</v>
      </c>
      <c r="D215" s="12">
        <v>6</v>
      </c>
      <c r="E215" s="12">
        <v>8</v>
      </c>
      <c r="F215" s="11">
        <v>-9.1</v>
      </c>
      <c r="G215" s="11"/>
      <c r="H215" s="11"/>
      <c r="I215" s="29"/>
      <c r="J215" s="1">
        <v>89</v>
      </c>
      <c r="K215" s="12">
        <f>IF(J215="~","~",IFERROR(J215-J214,J215-LOOKUP(9999999,$J$6:J214)))</f>
        <v>1</v>
      </c>
      <c r="L215" s="9"/>
      <c r="M215" s="45">
        <f t="shared" si="3"/>
        <v>43.149999999999991</v>
      </c>
      <c r="N215" s="151">
        <v>927.5</v>
      </c>
      <c r="O215" s="142">
        <v>54</v>
      </c>
      <c r="P215" s="181"/>
    </row>
    <row r="216" spans="1:16" x14ac:dyDescent="0.25">
      <c r="A216" s="63">
        <v>45012</v>
      </c>
      <c r="B216" s="8" t="s">
        <v>12</v>
      </c>
      <c r="C216" s="69" t="s">
        <v>41</v>
      </c>
      <c r="D216" s="12">
        <v>4</v>
      </c>
      <c r="E216" s="12">
        <v>6</v>
      </c>
      <c r="F216" s="11">
        <v>-8.4</v>
      </c>
      <c r="G216" s="11"/>
      <c r="H216" s="11"/>
      <c r="I216" s="9"/>
      <c r="J216" s="1">
        <v>90</v>
      </c>
      <c r="K216" s="12">
        <f>IF(J216="~","~",IFERROR(J216-J215,J216-LOOKUP(9999999,$J$6:J215)))</f>
        <v>1</v>
      </c>
      <c r="L216" s="9"/>
      <c r="M216" s="45">
        <f t="shared" si="3"/>
        <v>43.149999999999991</v>
      </c>
      <c r="N216" s="151">
        <v>931.2</v>
      </c>
      <c r="O216" s="142">
        <v>43</v>
      </c>
      <c r="P216" s="181"/>
    </row>
    <row r="217" spans="1:16" x14ac:dyDescent="0.25">
      <c r="A217" s="63">
        <v>45012</v>
      </c>
      <c r="B217" s="8" t="s">
        <v>13</v>
      </c>
      <c r="C217" s="69" t="s">
        <v>41</v>
      </c>
      <c r="D217" s="12">
        <v>7</v>
      </c>
      <c r="E217" s="12">
        <v>12</v>
      </c>
      <c r="F217" s="11">
        <v>-8.6</v>
      </c>
      <c r="G217" s="11"/>
      <c r="H217" s="11"/>
      <c r="I217" s="29"/>
      <c r="J217" s="1">
        <v>90</v>
      </c>
      <c r="K217" s="12">
        <f>IF(J217="~","~",IFERROR(J217-J216,J217-LOOKUP(9999999,$J$6:J216)))</f>
        <v>0</v>
      </c>
      <c r="L217" s="9"/>
      <c r="M217" s="45">
        <f t="shared" si="3"/>
        <v>43.149999999999991</v>
      </c>
      <c r="N217" s="151">
        <v>934</v>
      </c>
      <c r="O217" s="142">
        <v>50</v>
      </c>
      <c r="P217" s="181"/>
    </row>
    <row r="218" spans="1:16" x14ac:dyDescent="0.25">
      <c r="A218" s="63">
        <v>45012</v>
      </c>
      <c r="B218" s="8" t="s">
        <v>14</v>
      </c>
      <c r="C218" s="69" t="s">
        <v>41</v>
      </c>
      <c r="D218" s="12">
        <v>6</v>
      </c>
      <c r="E218" s="12">
        <v>12</v>
      </c>
      <c r="F218" s="11">
        <v>-6.2</v>
      </c>
      <c r="G218" s="11"/>
      <c r="H218" s="11"/>
      <c r="I218" s="29"/>
      <c r="J218" s="1">
        <v>91</v>
      </c>
      <c r="K218" s="12">
        <f>IF(J218="~","~",IFERROR(J218-J217,J218-LOOKUP(9999999,$J$6:J217)))</f>
        <v>1</v>
      </c>
      <c r="L218" s="9"/>
      <c r="M218" s="45">
        <f t="shared" si="3"/>
        <v>43.149999999999991</v>
      </c>
      <c r="N218" s="151">
        <v>936.5</v>
      </c>
      <c r="O218" s="142">
        <v>51</v>
      </c>
      <c r="P218" s="181"/>
    </row>
    <row r="219" spans="1:16" x14ac:dyDescent="0.25">
      <c r="A219" s="63">
        <v>45012</v>
      </c>
      <c r="B219" s="8" t="s">
        <v>15</v>
      </c>
      <c r="C219" s="69" t="s">
        <v>41</v>
      </c>
      <c r="D219" s="12">
        <v>7</v>
      </c>
      <c r="E219" s="12">
        <v>11</v>
      </c>
      <c r="F219" s="11">
        <v>-4.5999999999999996</v>
      </c>
      <c r="G219" s="11"/>
      <c r="H219" s="11"/>
      <c r="I219" s="29"/>
      <c r="J219" s="1">
        <v>92</v>
      </c>
      <c r="K219" s="12">
        <f>IF(J219="~","~",IFERROR(J219-J218,J219-LOOKUP(9999999,$J$6:J218)))</f>
        <v>1</v>
      </c>
      <c r="L219" s="9"/>
      <c r="M219" s="45">
        <f t="shared" si="3"/>
        <v>43.149999999999991</v>
      </c>
      <c r="N219" s="151">
        <v>936.1</v>
      </c>
      <c r="O219" s="142">
        <v>54</v>
      </c>
      <c r="P219" s="181"/>
    </row>
    <row r="220" spans="1:16" x14ac:dyDescent="0.25">
      <c r="A220" s="63">
        <v>45012</v>
      </c>
      <c r="B220" s="8" t="s">
        <v>16</v>
      </c>
      <c r="C220" s="69" t="s">
        <v>41</v>
      </c>
      <c r="D220" s="12">
        <v>1</v>
      </c>
      <c r="E220" s="12">
        <v>2</v>
      </c>
      <c r="F220" s="11">
        <v>-6.1</v>
      </c>
      <c r="G220" s="11"/>
      <c r="H220" s="11"/>
      <c r="I220" s="9"/>
      <c r="J220" s="1">
        <v>92</v>
      </c>
      <c r="K220" s="12">
        <f>IF(J220="~","~",IFERROR(J220-J219,J220-LOOKUP(9999999,$J$6:J219)))</f>
        <v>0</v>
      </c>
      <c r="L220" s="9"/>
      <c r="M220" s="45">
        <f t="shared" si="3"/>
        <v>43.149999999999991</v>
      </c>
      <c r="N220" s="151">
        <v>936.5</v>
      </c>
      <c r="O220" s="142">
        <v>55</v>
      </c>
      <c r="P220" s="181"/>
    </row>
    <row r="221" spans="1:16" x14ac:dyDescent="0.25">
      <c r="A221" s="63">
        <v>45012</v>
      </c>
      <c r="B221" s="8" t="s">
        <v>17</v>
      </c>
      <c r="C221" s="69" t="s">
        <v>41</v>
      </c>
      <c r="D221" s="12">
        <v>2</v>
      </c>
      <c r="E221" s="12">
        <v>3</v>
      </c>
      <c r="F221" s="11">
        <v>-8.3000000000000007</v>
      </c>
      <c r="G221" s="11"/>
      <c r="H221" s="11"/>
      <c r="I221" s="9"/>
      <c r="J221" s="1">
        <v>91</v>
      </c>
      <c r="K221" s="12">
        <f>IF(J221="~","~",IFERROR(J221-J220,J221-LOOKUP(9999999,$J$6:J220)))</f>
        <v>-1</v>
      </c>
      <c r="L221" s="9"/>
      <c r="M221" s="45">
        <f t="shared" si="3"/>
        <v>43.149999999999991</v>
      </c>
      <c r="N221" s="151">
        <v>935.9</v>
      </c>
      <c r="O221" s="142">
        <v>58</v>
      </c>
      <c r="P221" s="181"/>
    </row>
    <row r="222" spans="1:16" x14ac:dyDescent="0.25">
      <c r="A222" s="64">
        <v>45013</v>
      </c>
      <c r="B222" s="8" t="s">
        <v>10</v>
      </c>
      <c r="C222" s="69" t="s">
        <v>41</v>
      </c>
      <c r="D222" s="12">
        <v>2</v>
      </c>
      <c r="E222" s="12">
        <v>4</v>
      </c>
      <c r="F222" s="11">
        <v>-7.8</v>
      </c>
      <c r="G222" s="11"/>
      <c r="H222" s="11"/>
      <c r="I222" s="9"/>
      <c r="J222" s="1">
        <v>92</v>
      </c>
      <c r="K222" s="12">
        <f>IF(J222="~","~",IFERROR(J222-J221,J222-LOOKUP(9999999,$J$6:J221)))</f>
        <v>1</v>
      </c>
      <c r="L222" s="9"/>
      <c r="M222" s="45">
        <f t="shared" si="3"/>
        <v>43.149999999999991</v>
      </c>
      <c r="N222" s="151">
        <v>934.4</v>
      </c>
      <c r="O222" s="142">
        <v>60</v>
      </c>
      <c r="P222" s="181"/>
    </row>
    <row r="223" spans="1:16" x14ac:dyDescent="0.25">
      <c r="A223" s="64">
        <v>45013</v>
      </c>
      <c r="B223" s="8" t="s">
        <v>11</v>
      </c>
      <c r="C223" s="69" t="s">
        <v>41</v>
      </c>
      <c r="D223" s="12">
        <v>2</v>
      </c>
      <c r="E223" s="12">
        <v>3</v>
      </c>
      <c r="F223" s="11">
        <v>-8.4</v>
      </c>
      <c r="G223" s="11"/>
      <c r="H223" s="11"/>
      <c r="I223" s="9" t="s">
        <v>130</v>
      </c>
      <c r="J223" s="1">
        <v>91</v>
      </c>
      <c r="K223" s="12">
        <f>IF(J223="~","~",IFERROR(J223-J222,J223-LOOKUP(9999999,$J$6:J222)))</f>
        <v>-1</v>
      </c>
      <c r="L223" s="9"/>
      <c r="M223" s="45">
        <f t="shared" si="3"/>
        <v>43.149999999999991</v>
      </c>
      <c r="N223" s="151">
        <v>930.6</v>
      </c>
      <c r="O223" s="142">
        <v>67</v>
      </c>
      <c r="P223" s="181"/>
    </row>
    <row r="224" spans="1:16" x14ac:dyDescent="0.25">
      <c r="A224" s="64">
        <v>45013</v>
      </c>
      <c r="B224" s="8" t="s">
        <v>12</v>
      </c>
      <c r="C224" s="69" t="s">
        <v>41</v>
      </c>
      <c r="D224" s="12">
        <v>1</v>
      </c>
      <c r="E224" s="12">
        <v>1</v>
      </c>
      <c r="F224" s="11">
        <v>-8.1999999999999993</v>
      </c>
      <c r="G224" s="11"/>
      <c r="H224" s="11"/>
      <c r="I224" s="29" t="s">
        <v>130</v>
      </c>
      <c r="J224" s="1">
        <v>90</v>
      </c>
      <c r="K224" s="12">
        <f>IF(J224="~","~",IFERROR(J224-J223,J224-LOOKUP(9999999,$J$6:J223)))</f>
        <v>-1</v>
      </c>
      <c r="L224" s="9"/>
      <c r="M224" s="45">
        <f t="shared" si="3"/>
        <v>43.149999999999991</v>
      </c>
      <c r="N224" s="151">
        <v>927.6</v>
      </c>
      <c r="O224" s="142">
        <v>88</v>
      </c>
      <c r="P224" s="181"/>
    </row>
    <row r="225" spans="1:16" x14ac:dyDescent="0.25">
      <c r="A225" s="64">
        <v>45013</v>
      </c>
      <c r="B225" s="8" t="s">
        <v>13</v>
      </c>
      <c r="C225" s="69" t="s">
        <v>29</v>
      </c>
      <c r="D225" s="12">
        <v>0</v>
      </c>
      <c r="E225" s="12">
        <v>1</v>
      </c>
      <c r="F225" s="11">
        <v>-6.9</v>
      </c>
      <c r="G225" s="11"/>
      <c r="H225" s="11"/>
      <c r="I225" s="9" t="s">
        <v>130</v>
      </c>
      <c r="J225" s="1">
        <v>93</v>
      </c>
      <c r="K225" s="12">
        <f>IF(J225="~","~",IFERROR(J225-J224,J225-LOOKUP(9999999,$J$6:J224)))</f>
        <v>3</v>
      </c>
      <c r="L225" s="9"/>
      <c r="M225" s="45">
        <f t="shared" si="3"/>
        <v>43.149999999999991</v>
      </c>
      <c r="N225" s="151">
        <v>923.2</v>
      </c>
      <c r="O225" s="142">
        <v>90</v>
      </c>
      <c r="P225" s="181"/>
    </row>
    <row r="226" spans="1:16" x14ac:dyDescent="0.25">
      <c r="A226" s="64">
        <v>45013</v>
      </c>
      <c r="B226" s="8" t="s">
        <v>14</v>
      </c>
      <c r="C226" s="69" t="s">
        <v>38</v>
      </c>
      <c r="D226" s="12">
        <v>1</v>
      </c>
      <c r="E226" s="12">
        <v>2</v>
      </c>
      <c r="F226" s="11">
        <v>-4.8</v>
      </c>
      <c r="G226" s="11"/>
      <c r="H226" s="11"/>
      <c r="I226" s="9" t="s">
        <v>130</v>
      </c>
      <c r="J226" s="1">
        <v>102</v>
      </c>
      <c r="K226" s="12">
        <f>IF(J226="~","~",IFERROR(J226-J225,J226-LOOKUP(9999999,$J$6:J225)))</f>
        <v>9</v>
      </c>
      <c r="L226" s="9"/>
      <c r="M226" s="45">
        <f t="shared" si="3"/>
        <v>43.149999999999991</v>
      </c>
      <c r="N226" s="151">
        <v>918.3</v>
      </c>
      <c r="O226" s="142">
        <v>82</v>
      </c>
      <c r="P226" s="181"/>
    </row>
    <row r="227" spans="1:16" x14ac:dyDescent="0.25">
      <c r="A227" s="64">
        <v>45013</v>
      </c>
      <c r="B227" s="8" t="s">
        <v>15</v>
      </c>
      <c r="C227" s="69" t="s">
        <v>34</v>
      </c>
      <c r="D227" s="12">
        <v>7</v>
      </c>
      <c r="E227" s="12">
        <v>10</v>
      </c>
      <c r="F227" s="11">
        <v>-3.7</v>
      </c>
      <c r="G227" s="11"/>
      <c r="H227" s="11"/>
      <c r="I227" s="9" t="s">
        <v>127</v>
      </c>
      <c r="J227" s="1">
        <v>105</v>
      </c>
      <c r="K227" s="12">
        <f>IF(J227="~","~",IFERROR(J227-J226,J227-LOOKUP(9999999,$J$6:J226)))</f>
        <v>3</v>
      </c>
      <c r="L227" s="9"/>
      <c r="M227" s="45">
        <f t="shared" si="3"/>
        <v>43.149999999999991</v>
      </c>
      <c r="N227" s="151">
        <v>916.2</v>
      </c>
      <c r="O227" s="142">
        <v>70</v>
      </c>
      <c r="P227" s="181"/>
    </row>
    <row r="228" spans="1:16" x14ac:dyDescent="0.25">
      <c r="A228" s="64">
        <v>45013</v>
      </c>
      <c r="B228" s="8" t="s">
        <v>16</v>
      </c>
      <c r="C228" s="69" t="s">
        <v>34</v>
      </c>
      <c r="D228" s="12">
        <v>6</v>
      </c>
      <c r="E228" s="12">
        <v>12</v>
      </c>
      <c r="F228" s="11">
        <v>-1.9</v>
      </c>
      <c r="G228" s="11"/>
      <c r="H228" s="11"/>
      <c r="I228" s="9"/>
      <c r="J228" s="1">
        <v>109</v>
      </c>
      <c r="K228" s="12">
        <f>IF(J228="~","~",IFERROR(J228-J227,J228-LOOKUP(9999999,$J$6:J227)))</f>
        <v>4</v>
      </c>
      <c r="L228" s="9"/>
      <c r="M228" s="45">
        <f t="shared" si="3"/>
        <v>43.149999999999991</v>
      </c>
      <c r="N228" s="151">
        <v>917</v>
      </c>
      <c r="O228" s="142">
        <v>47</v>
      </c>
      <c r="P228" s="181"/>
    </row>
    <row r="229" spans="1:16" x14ac:dyDescent="0.25">
      <c r="A229" s="64">
        <v>45013</v>
      </c>
      <c r="B229" s="8" t="s">
        <v>17</v>
      </c>
      <c r="C229" s="69" t="s">
        <v>34</v>
      </c>
      <c r="D229" s="12">
        <v>7</v>
      </c>
      <c r="E229" s="12">
        <v>11</v>
      </c>
      <c r="F229" s="11">
        <v>-4.8</v>
      </c>
      <c r="G229" s="11"/>
      <c r="H229" s="11"/>
      <c r="I229" s="9"/>
      <c r="J229" s="1">
        <v>107</v>
      </c>
      <c r="K229" s="12">
        <f>IF(J229="~","~",IFERROR(J229-J228,J229-LOOKUP(9999999,$J$6:J228)))</f>
        <v>-2</v>
      </c>
      <c r="L229" s="9"/>
      <c r="M229" s="45">
        <f t="shared" si="3"/>
        <v>43.149999999999991</v>
      </c>
      <c r="N229" s="151">
        <v>920.4</v>
      </c>
      <c r="O229" s="142">
        <v>75</v>
      </c>
      <c r="P229" s="181"/>
    </row>
    <row r="230" spans="1:16" x14ac:dyDescent="0.25">
      <c r="A230" s="65">
        <v>45014</v>
      </c>
      <c r="B230" s="8" t="s">
        <v>10</v>
      </c>
      <c r="C230" s="69" t="s">
        <v>32</v>
      </c>
      <c r="D230" s="12">
        <v>8</v>
      </c>
      <c r="E230" s="12">
        <v>10</v>
      </c>
      <c r="F230" s="11">
        <v>-5.3</v>
      </c>
      <c r="G230" s="11"/>
      <c r="H230" s="11"/>
      <c r="I230" s="9"/>
      <c r="J230" s="1">
        <v>107</v>
      </c>
      <c r="K230" s="12">
        <f>IF(J230="~","~",IFERROR(J230-J229,J230-LOOKUP(9999999,$J$6:J229)))</f>
        <v>0</v>
      </c>
      <c r="L230" s="9"/>
      <c r="M230" s="45">
        <f t="shared" si="3"/>
        <v>43.149999999999991</v>
      </c>
      <c r="N230" s="151">
        <v>923.4</v>
      </c>
      <c r="O230" s="142">
        <v>74</v>
      </c>
      <c r="P230" s="181"/>
    </row>
    <row r="231" spans="1:16" x14ac:dyDescent="0.25">
      <c r="A231" s="65">
        <v>45014</v>
      </c>
      <c r="B231" s="8" t="s">
        <v>11</v>
      </c>
      <c r="C231" s="69" t="s">
        <v>42</v>
      </c>
      <c r="D231" s="12">
        <v>7</v>
      </c>
      <c r="E231" s="12">
        <v>12</v>
      </c>
      <c r="F231" s="11">
        <v>-5.7</v>
      </c>
      <c r="G231" s="11"/>
      <c r="H231" s="11"/>
      <c r="I231" s="29" t="s">
        <v>127</v>
      </c>
      <c r="J231" s="1">
        <v>106</v>
      </c>
      <c r="K231" s="12">
        <f>IF(J231="~","~",IFERROR(J231-J230,J231-LOOKUP(9999999,$J$6:J230)))</f>
        <v>-1</v>
      </c>
      <c r="L231" s="9"/>
      <c r="M231" s="45">
        <f t="shared" si="3"/>
        <v>43.149999999999991</v>
      </c>
      <c r="N231" s="151">
        <v>925</v>
      </c>
      <c r="O231" s="142">
        <v>79</v>
      </c>
      <c r="P231" s="181"/>
    </row>
    <row r="232" spans="1:16" x14ac:dyDescent="0.25">
      <c r="A232" s="65">
        <v>45014</v>
      </c>
      <c r="B232" s="8" t="s">
        <v>12</v>
      </c>
      <c r="C232" s="69" t="s">
        <v>41</v>
      </c>
      <c r="D232" s="12">
        <v>9</v>
      </c>
      <c r="E232" s="12">
        <v>15</v>
      </c>
      <c r="F232" s="11">
        <v>-7</v>
      </c>
      <c r="G232" s="11"/>
      <c r="H232" s="11"/>
      <c r="I232" s="29" t="s">
        <v>127</v>
      </c>
      <c r="J232" s="1">
        <v>94</v>
      </c>
      <c r="K232" s="12">
        <f>IF(J232="~","~",IFERROR(J232-J231,J232-LOOKUP(9999999,$J$6:J231)))</f>
        <v>-12</v>
      </c>
      <c r="L232" s="9"/>
      <c r="M232" s="45">
        <f t="shared" si="3"/>
        <v>43.149999999999991</v>
      </c>
      <c r="N232" s="151">
        <v>926.7</v>
      </c>
      <c r="O232" s="142">
        <v>72</v>
      </c>
      <c r="P232" s="181"/>
    </row>
    <row r="233" spans="1:16" x14ac:dyDescent="0.25">
      <c r="A233" s="65">
        <v>45014</v>
      </c>
      <c r="B233" s="8" t="s">
        <v>13</v>
      </c>
      <c r="C233" s="69" t="s">
        <v>38</v>
      </c>
      <c r="D233" s="12">
        <v>12</v>
      </c>
      <c r="E233" s="12">
        <v>17</v>
      </c>
      <c r="F233" s="11">
        <v>-8.4</v>
      </c>
      <c r="G233" s="11"/>
      <c r="H233" s="11"/>
      <c r="I233" s="9"/>
      <c r="J233" s="1">
        <v>89</v>
      </c>
      <c r="K233" s="12">
        <f>IF(J233="~","~",IFERROR(J233-J232,J233-LOOKUP(9999999,$J$6:J232)))</f>
        <v>-5</v>
      </c>
      <c r="L233" s="9"/>
      <c r="M233" s="45">
        <f t="shared" si="3"/>
        <v>43.149999999999991</v>
      </c>
      <c r="N233" s="151">
        <v>928</v>
      </c>
      <c r="O233" s="142">
        <v>71</v>
      </c>
      <c r="P233" s="181"/>
    </row>
    <row r="234" spans="1:16" x14ac:dyDescent="0.25">
      <c r="A234" s="65">
        <v>45014</v>
      </c>
      <c r="B234" s="8" t="s">
        <v>14</v>
      </c>
      <c r="C234" s="69" t="s">
        <v>38</v>
      </c>
      <c r="D234" s="12">
        <v>10</v>
      </c>
      <c r="E234" s="12">
        <v>14</v>
      </c>
      <c r="F234" s="11">
        <v>-6.6</v>
      </c>
      <c r="G234" s="11"/>
      <c r="H234" s="11"/>
      <c r="I234" s="9"/>
      <c r="J234" s="1">
        <v>91</v>
      </c>
      <c r="K234" s="12">
        <f>IF(J234="~","~",IFERROR(J234-J233,J234-LOOKUP(9999999,$J$6:J233)))</f>
        <v>2</v>
      </c>
      <c r="L234" s="9"/>
      <c r="M234" s="45">
        <f t="shared" si="3"/>
        <v>43.149999999999991</v>
      </c>
      <c r="N234" s="151">
        <v>929.4</v>
      </c>
      <c r="O234" s="142">
        <v>57</v>
      </c>
      <c r="P234" s="181"/>
    </row>
    <row r="235" spans="1:16" x14ac:dyDescent="0.25">
      <c r="A235" s="65">
        <v>45014</v>
      </c>
      <c r="B235" s="8" t="s">
        <v>15</v>
      </c>
      <c r="C235" s="69" t="s">
        <v>38</v>
      </c>
      <c r="D235" s="12">
        <v>11</v>
      </c>
      <c r="E235" s="12">
        <v>16</v>
      </c>
      <c r="F235" s="11">
        <v>-6</v>
      </c>
      <c r="G235" s="11"/>
      <c r="H235" s="11"/>
      <c r="I235" s="9"/>
      <c r="J235" s="1">
        <v>91</v>
      </c>
      <c r="K235" s="12">
        <f>IF(J235="~","~",IFERROR(J235-J234,J235-LOOKUP(9999999,$J$6:J234)))</f>
        <v>0</v>
      </c>
      <c r="L235" s="9"/>
      <c r="M235" s="45">
        <f t="shared" si="3"/>
        <v>43.149999999999991</v>
      </c>
      <c r="N235" s="151">
        <v>929.3</v>
      </c>
      <c r="O235" s="142">
        <v>57</v>
      </c>
      <c r="P235" s="181"/>
    </row>
    <row r="236" spans="1:16" x14ac:dyDescent="0.25">
      <c r="A236" s="65">
        <v>45014</v>
      </c>
      <c r="B236" s="8" t="s">
        <v>16</v>
      </c>
      <c r="C236" s="69" t="s">
        <v>38</v>
      </c>
      <c r="D236" s="12">
        <v>9</v>
      </c>
      <c r="E236" s="12">
        <v>13</v>
      </c>
      <c r="F236" s="11">
        <v>-5.6</v>
      </c>
      <c r="G236" s="11"/>
      <c r="H236" s="11"/>
      <c r="I236" s="9"/>
      <c r="J236" s="12">
        <v>92</v>
      </c>
      <c r="K236" s="12">
        <f>IF(J236="~","~",IFERROR(J236-J235,J236-LOOKUP(9999999,$J$6:J235)))</f>
        <v>1</v>
      </c>
      <c r="L236" s="9"/>
      <c r="M236" s="45">
        <f t="shared" si="3"/>
        <v>43.149999999999991</v>
      </c>
      <c r="N236" s="150">
        <v>929.9</v>
      </c>
      <c r="O236" s="142">
        <v>49</v>
      </c>
      <c r="P236" s="181"/>
    </row>
    <row r="237" spans="1:16" x14ac:dyDescent="0.25">
      <c r="A237" s="65">
        <v>45014</v>
      </c>
      <c r="B237" s="8" t="s">
        <v>17</v>
      </c>
      <c r="C237" s="69" t="s">
        <v>38</v>
      </c>
      <c r="D237" s="12">
        <v>9</v>
      </c>
      <c r="E237" s="12">
        <v>13</v>
      </c>
      <c r="F237" s="11">
        <v>-5.7</v>
      </c>
      <c r="G237" s="11"/>
      <c r="H237" s="11"/>
      <c r="I237" s="9"/>
      <c r="J237" s="12">
        <v>91</v>
      </c>
      <c r="K237" s="12">
        <f>IF(J237="~","~",IFERROR(J237-J236,J237-LOOKUP(9999999,$J$6:J236)))</f>
        <v>-1</v>
      </c>
      <c r="L237" s="9"/>
      <c r="M237" s="45">
        <f t="shared" si="3"/>
        <v>43.149999999999991</v>
      </c>
      <c r="N237" s="150">
        <v>931.2</v>
      </c>
      <c r="O237" s="142">
        <v>51</v>
      </c>
      <c r="P237" s="181"/>
    </row>
    <row r="238" spans="1:16" x14ac:dyDescent="0.25">
      <c r="A238" s="58">
        <v>45015</v>
      </c>
      <c r="B238" s="8" t="s">
        <v>10</v>
      </c>
      <c r="C238" s="69" t="s">
        <v>38</v>
      </c>
      <c r="D238" s="12">
        <v>9</v>
      </c>
      <c r="E238" s="12">
        <v>16</v>
      </c>
      <c r="F238" s="11">
        <v>-6.2</v>
      </c>
      <c r="G238" s="11"/>
      <c r="H238" s="11"/>
      <c r="I238" s="29"/>
      <c r="J238" s="12">
        <v>91</v>
      </c>
      <c r="K238" s="12">
        <f>IF(J238="~","~",IFERROR(J238-J237,J238-LOOKUP(9999999,$J$6:J237)))</f>
        <v>0</v>
      </c>
      <c r="L238" s="9"/>
      <c r="M238" s="45">
        <f t="shared" si="3"/>
        <v>43.149999999999991</v>
      </c>
      <c r="N238" s="150">
        <v>932</v>
      </c>
      <c r="O238" s="142">
        <v>49</v>
      </c>
      <c r="P238" s="181"/>
    </row>
    <row r="239" spans="1:16" x14ac:dyDescent="0.25">
      <c r="A239" s="58">
        <v>45015</v>
      </c>
      <c r="B239" s="8" t="s">
        <v>11</v>
      </c>
      <c r="C239" s="69" t="s">
        <v>38</v>
      </c>
      <c r="D239" s="12">
        <v>10</v>
      </c>
      <c r="E239" s="12">
        <v>15</v>
      </c>
      <c r="F239" s="11">
        <v>-6.6</v>
      </c>
      <c r="G239" s="11"/>
      <c r="H239" s="11"/>
      <c r="I239" s="9"/>
      <c r="J239" s="12">
        <v>90</v>
      </c>
      <c r="K239" s="12">
        <f>IF(J239="~","~",IFERROR(J239-J238,J239-LOOKUP(9999999,$J$6:J238)))</f>
        <v>-1</v>
      </c>
      <c r="L239" s="9"/>
      <c r="M239" s="45">
        <f t="shared" si="3"/>
        <v>43.149999999999991</v>
      </c>
      <c r="N239" s="150">
        <v>932.1</v>
      </c>
      <c r="O239" s="142">
        <v>52</v>
      </c>
      <c r="P239" s="181"/>
    </row>
    <row r="240" spans="1:16" x14ac:dyDescent="0.25">
      <c r="A240" s="58">
        <v>45015</v>
      </c>
      <c r="B240" s="8" t="s">
        <v>12</v>
      </c>
      <c r="C240" s="69" t="s">
        <v>38</v>
      </c>
      <c r="D240" s="12">
        <v>9</v>
      </c>
      <c r="E240" s="12">
        <v>13</v>
      </c>
      <c r="F240" s="11">
        <v>-6.6</v>
      </c>
      <c r="G240" s="11"/>
      <c r="H240" s="11"/>
      <c r="I240" s="9"/>
      <c r="J240" s="12">
        <v>91</v>
      </c>
      <c r="K240" s="12">
        <f>IF(J240="~","~",IFERROR(J240-J239,J240-LOOKUP(9999999,$J$6:J239)))</f>
        <v>1</v>
      </c>
      <c r="L240" s="9"/>
      <c r="M240" s="45">
        <f t="shared" si="3"/>
        <v>43.149999999999991</v>
      </c>
      <c r="N240" s="150">
        <v>932.8</v>
      </c>
      <c r="O240" s="142">
        <v>47</v>
      </c>
      <c r="P240" s="181"/>
    </row>
    <row r="241" spans="1:16" x14ac:dyDescent="0.25">
      <c r="A241" s="58">
        <v>45015</v>
      </c>
      <c r="B241" s="8" t="s">
        <v>13</v>
      </c>
      <c r="C241" s="69" t="s">
        <v>38</v>
      </c>
      <c r="D241" s="12">
        <v>3</v>
      </c>
      <c r="E241" s="12">
        <v>7</v>
      </c>
      <c r="F241" s="11">
        <v>-7.4</v>
      </c>
      <c r="G241" s="11"/>
      <c r="H241" s="11"/>
      <c r="I241" s="9"/>
      <c r="J241" s="12">
        <v>90</v>
      </c>
      <c r="K241" s="12">
        <f>IF(J241="~","~",IFERROR(J241-J240,J241-LOOKUP(9999999,$J$6:J240)))</f>
        <v>-1</v>
      </c>
      <c r="L241" s="9"/>
      <c r="M241" s="45">
        <f t="shared" si="3"/>
        <v>43.149999999999991</v>
      </c>
      <c r="N241" s="150">
        <v>933.9</v>
      </c>
      <c r="O241" s="142">
        <v>45</v>
      </c>
      <c r="P241" s="181"/>
    </row>
    <row r="242" spans="1:16" x14ac:dyDescent="0.25">
      <c r="A242" s="58">
        <v>45015</v>
      </c>
      <c r="B242" s="8" t="s">
        <v>14</v>
      </c>
      <c r="C242" s="69" t="s">
        <v>38</v>
      </c>
      <c r="D242" s="12">
        <v>4</v>
      </c>
      <c r="E242" s="12">
        <v>8</v>
      </c>
      <c r="F242" s="11">
        <v>-3.8</v>
      </c>
      <c r="G242" s="11"/>
      <c r="H242" s="11"/>
      <c r="I242" s="9"/>
      <c r="J242" s="1">
        <v>92</v>
      </c>
      <c r="K242" s="12">
        <f>IF(J242="~","~",IFERROR(J242-J241,J242-LOOKUP(9999999,$J$6:J241)))</f>
        <v>2</v>
      </c>
      <c r="L242" s="9"/>
      <c r="M242" s="45">
        <f t="shared" si="3"/>
        <v>43.149999999999991</v>
      </c>
      <c r="N242" s="151">
        <v>934.4</v>
      </c>
      <c r="O242" s="142">
        <v>49</v>
      </c>
      <c r="P242" s="181"/>
    </row>
    <row r="243" spans="1:16" x14ac:dyDescent="0.25">
      <c r="A243" s="58">
        <v>45015</v>
      </c>
      <c r="B243" s="8" t="s">
        <v>15</v>
      </c>
      <c r="C243" s="69" t="s">
        <v>38</v>
      </c>
      <c r="D243" s="12">
        <v>1</v>
      </c>
      <c r="E243" s="12">
        <v>2</v>
      </c>
      <c r="F243" s="11">
        <v>-3.7</v>
      </c>
      <c r="G243" s="11"/>
      <c r="H243" s="11"/>
      <c r="I243" s="9"/>
      <c r="J243" s="1">
        <v>93</v>
      </c>
      <c r="K243" s="12">
        <f>IF(J243="~","~",IFERROR(J243-J242,J243-LOOKUP(9999999,$J$6:J242)))</f>
        <v>1</v>
      </c>
      <c r="L243" s="9"/>
      <c r="M243" s="45">
        <f t="shared" si="3"/>
        <v>43.149999999999991</v>
      </c>
      <c r="N243" s="151">
        <v>934.6</v>
      </c>
      <c r="O243" s="142">
        <v>52</v>
      </c>
      <c r="P243" s="181"/>
    </row>
    <row r="244" spans="1:16" x14ac:dyDescent="0.25">
      <c r="A244" s="58">
        <v>45015</v>
      </c>
      <c r="B244" s="8" t="s">
        <v>16</v>
      </c>
      <c r="C244" s="69" t="s">
        <v>38</v>
      </c>
      <c r="D244" s="12">
        <v>1</v>
      </c>
      <c r="E244" s="12">
        <v>2</v>
      </c>
      <c r="F244" s="11">
        <v>-4.4000000000000004</v>
      </c>
      <c r="G244" s="11"/>
      <c r="H244" s="11"/>
      <c r="I244" s="9"/>
      <c r="J244" s="1">
        <v>92</v>
      </c>
      <c r="K244" s="12">
        <f>IF(J244="~","~",IFERROR(J244-J243,J244-LOOKUP(9999999,$J$6:J243)))</f>
        <v>-1</v>
      </c>
      <c r="L244" s="9"/>
      <c r="M244" s="45">
        <f t="shared" si="3"/>
        <v>43.149999999999991</v>
      </c>
      <c r="N244" s="151">
        <v>935.7</v>
      </c>
      <c r="O244" s="145">
        <v>64</v>
      </c>
      <c r="P244" s="181"/>
    </row>
    <row r="245" spans="1:16" x14ac:dyDescent="0.25">
      <c r="A245" s="58">
        <v>45015</v>
      </c>
      <c r="B245" s="8" t="s">
        <v>17</v>
      </c>
      <c r="C245" s="69" t="s">
        <v>38</v>
      </c>
      <c r="D245" s="12">
        <v>1</v>
      </c>
      <c r="E245" s="12">
        <v>2</v>
      </c>
      <c r="F245" s="11">
        <v>-7.5</v>
      </c>
      <c r="G245" s="11"/>
      <c r="H245" s="11"/>
      <c r="I245" s="9"/>
      <c r="J245" s="1">
        <v>91</v>
      </c>
      <c r="K245" s="12">
        <f>IF(J245="~","~",IFERROR(J245-J244,J245-LOOKUP(9999999,$J$6:J244)))</f>
        <v>-1</v>
      </c>
      <c r="L245" s="9"/>
      <c r="M245" s="45">
        <f t="shared" si="3"/>
        <v>43.149999999999991</v>
      </c>
      <c r="N245" s="151">
        <v>937.6</v>
      </c>
      <c r="O245" s="142">
        <v>67</v>
      </c>
      <c r="P245" s="181"/>
    </row>
    <row r="246" spans="1:16" x14ac:dyDescent="0.25">
      <c r="A246" s="48">
        <v>45016</v>
      </c>
      <c r="B246" s="8" t="s">
        <v>10</v>
      </c>
      <c r="C246" s="77" t="s">
        <v>38</v>
      </c>
      <c r="D246" s="76">
        <v>1</v>
      </c>
      <c r="E246" s="76">
        <v>2</v>
      </c>
      <c r="F246" s="11">
        <v>-7.1</v>
      </c>
      <c r="G246" s="35"/>
      <c r="H246" s="35"/>
      <c r="I246" s="9"/>
      <c r="J246" s="77">
        <v>91</v>
      </c>
      <c r="K246" s="12">
        <f>IF(J246="~","~",IFERROR(J246-J245,J246-LOOKUP(9999999,$J$6:J245)))</f>
        <v>0</v>
      </c>
      <c r="L246" s="9"/>
      <c r="M246" s="45">
        <f t="shared" si="3"/>
        <v>43.149999999999991</v>
      </c>
      <c r="N246" s="151">
        <v>938.6</v>
      </c>
      <c r="O246" s="142">
        <v>59</v>
      </c>
      <c r="P246" s="182"/>
    </row>
    <row r="247" spans="1:16" x14ac:dyDescent="0.25">
      <c r="A247" s="48">
        <v>45016</v>
      </c>
      <c r="B247" s="8" t="s">
        <v>11</v>
      </c>
      <c r="C247" s="77" t="s">
        <v>38</v>
      </c>
      <c r="D247" s="76">
        <v>1</v>
      </c>
      <c r="E247" s="76">
        <v>3</v>
      </c>
      <c r="F247" s="11">
        <v>-7.2</v>
      </c>
      <c r="G247" s="11"/>
      <c r="H247" s="11"/>
      <c r="I247" s="9"/>
      <c r="J247" s="77">
        <v>91</v>
      </c>
      <c r="K247" s="12">
        <f>IF(J247="~","~",IFERROR(J247-J246,J247-LOOKUP(9999999,$J$6:J246)))</f>
        <v>0</v>
      </c>
      <c r="L247" s="9"/>
      <c r="M247" s="45">
        <f t="shared" si="3"/>
        <v>43.149999999999991</v>
      </c>
      <c r="N247" s="151">
        <v>939.3</v>
      </c>
      <c r="O247" s="142">
        <v>58</v>
      </c>
      <c r="P247" s="182"/>
    </row>
    <row r="248" spans="1:16" x14ac:dyDescent="0.25">
      <c r="A248" s="48">
        <v>45016</v>
      </c>
      <c r="B248" s="8" t="s">
        <v>12</v>
      </c>
      <c r="C248" s="77" t="s">
        <v>38</v>
      </c>
      <c r="D248" s="76">
        <v>1</v>
      </c>
      <c r="E248" s="76">
        <v>2</v>
      </c>
      <c r="F248" s="11">
        <v>-6.5</v>
      </c>
      <c r="G248" s="11"/>
      <c r="H248" s="11"/>
      <c r="I248" s="9"/>
      <c r="J248" s="77">
        <v>91</v>
      </c>
      <c r="K248" s="12">
        <f>IF(J248="~","~",IFERROR(J248-J247,J248-LOOKUP(9999999,$J$6:J247)))</f>
        <v>0</v>
      </c>
      <c r="L248" s="9"/>
      <c r="M248" s="45">
        <f t="shared" si="3"/>
        <v>43.149999999999991</v>
      </c>
      <c r="N248" s="151">
        <v>939.7</v>
      </c>
      <c r="O248" s="142">
        <v>59</v>
      </c>
      <c r="P248" s="182"/>
    </row>
    <row r="249" spans="1:16" x14ac:dyDescent="0.25">
      <c r="A249" s="48">
        <v>45016</v>
      </c>
      <c r="B249" s="8" t="s">
        <v>13</v>
      </c>
      <c r="C249" s="77" t="s">
        <v>38</v>
      </c>
      <c r="D249" s="76">
        <v>2</v>
      </c>
      <c r="E249" s="76">
        <v>4</v>
      </c>
      <c r="F249" s="11">
        <v>-6.6</v>
      </c>
      <c r="G249" s="11"/>
      <c r="H249" s="11"/>
      <c r="I249" s="9"/>
      <c r="J249" s="77">
        <v>91</v>
      </c>
      <c r="K249" s="12">
        <f>IF(J249="~","~",IFERROR(J249-J248,J249-LOOKUP(9999999,$J$6:J248)))</f>
        <v>0</v>
      </c>
      <c r="L249" s="9"/>
      <c r="M249" s="45">
        <f t="shared" si="3"/>
        <v>43.149999999999991</v>
      </c>
      <c r="N249" s="151">
        <v>940.7</v>
      </c>
      <c r="O249" s="142">
        <v>60</v>
      </c>
      <c r="P249" s="182"/>
    </row>
    <row r="250" spans="1:16" x14ac:dyDescent="0.25">
      <c r="A250" s="48">
        <v>45016</v>
      </c>
      <c r="B250" s="8" t="s">
        <v>14</v>
      </c>
      <c r="C250" s="77" t="s">
        <v>38</v>
      </c>
      <c r="D250" s="76">
        <v>1</v>
      </c>
      <c r="E250" s="76">
        <v>3</v>
      </c>
      <c r="F250" s="11">
        <v>-0.9</v>
      </c>
      <c r="G250" s="11"/>
      <c r="H250" s="11"/>
      <c r="I250" s="9"/>
      <c r="J250" s="77">
        <v>94</v>
      </c>
      <c r="K250" s="12">
        <f>IF(J250="~","~",IFERROR(J250-J249,J250-LOOKUP(9999999,$J$6:J249)))</f>
        <v>3</v>
      </c>
      <c r="L250" s="9"/>
      <c r="M250" s="45">
        <f t="shared" si="3"/>
        <v>43.149999999999991</v>
      </c>
      <c r="N250" s="151">
        <v>941</v>
      </c>
      <c r="O250" s="142">
        <v>51</v>
      </c>
      <c r="P250" s="182"/>
    </row>
    <row r="251" spans="1:16" x14ac:dyDescent="0.25">
      <c r="A251" s="48">
        <v>45016</v>
      </c>
      <c r="B251" s="8" t="s">
        <v>15</v>
      </c>
      <c r="C251" s="77" t="s">
        <v>38</v>
      </c>
      <c r="D251" s="76">
        <v>4</v>
      </c>
      <c r="E251" s="76">
        <v>9</v>
      </c>
      <c r="F251" s="11">
        <v>0.8</v>
      </c>
      <c r="G251" s="11"/>
      <c r="H251" s="11"/>
      <c r="I251" s="9"/>
      <c r="J251" s="77">
        <v>95</v>
      </c>
      <c r="K251" s="12">
        <f>IF(J251="~","~",IFERROR(J251-J250,J251-LOOKUP(9999999,$J$6:J250)))</f>
        <v>1</v>
      </c>
      <c r="L251" s="9"/>
      <c r="M251" s="45">
        <f t="shared" si="3"/>
        <v>43.149999999999991</v>
      </c>
      <c r="N251" s="151">
        <v>941.1</v>
      </c>
      <c r="O251" s="145">
        <v>50</v>
      </c>
      <c r="P251" s="182"/>
    </row>
    <row r="252" spans="1:16" x14ac:dyDescent="0.25">
      <c r="A252" s="48">
        <v>45016</v>
      </c>
      <c r="B252" s="8" t="s">
        <v>16</v>
      </c>
      <c r="C252" s="77" t="s">
        <v>38</v>
      </c>
      <c r="D252" s="76">
        <v>3</v>
      </c>
      <c r="E252" s="76">
        <v>5</v>
      </c>
      <c r="F252" s="11">
        <v>0.2</v>
      </c>
      <c r="G252" s="11"/>
      <c r="H252" s="11"/>
      <c r="I252" s="9"/>
      <c r="J252" s="77">
        <v>95</v>
      </c>
      <c r="K252" s="12">
        <f>IF(J252="~","~",IFERROR(J252-J251,J252-LOOKUP(9999999,$J$6:J251)))</f>
        <v>0</v>
      </c>
      <c r="L252" s="9"/>
      <c r="M252" s="45">
        <f t="shared" si="3"/>
        <v>43.149999999999991</v>
      </c>
      <c r="N252" s="151">
        <v>941.2</v>
      </c>
      <c r="O252" s="145">
        <v>52</v>
      </c>
      <c r="P252" s="182"/>
    </row>
    <row r="253" spans="1:16" x14ac:dyDescent="0.25">
      <c r="A253" s="183">
        <v>45016</v>
      </c>
      <c r="B253" s="102" t="s">
        <v>17</v>
      </c>
      <c r="C253" s="184" t="s">
        <v>38</v>
      </c>
      <c r="D253" s="185">
        <v>3</v>
      </c>
      <c r="E253" s="185">
        <v>7</v>
      </c>
      <c r="F253" s="186">
        <v>1.8</v>
      </c>
      <c r="G253" s="186"/>
      <c r="H253" s="186"/>
      <c r="I253" s="187"/>
      <c r="J253" s="184">
        <v>95</v>
      </c>
      <c r="K253" s="188">
        <f>IF(J253="~","~",IFERROR(J253-J252,J253-LOOKUP(9999999,$J$6:J252)))</f>
        <v>0</v>
      </c>
      <c r="L253" s="187"/>
      <c r="M253" s="45">
        <f t="shared" si="3"/>
        <v>43.149999999999991</v>
      </c>
      <c r="N253" s="189">
        <v>941.9</v>
      </c>
      <c r="O253" s="190">
        <v>37</v>
      </c>
      <c r="P253" s="191"/>
    </row>
  </sheetData>
  <phoneticPr fontId="15" type="noConversion"/>
  <conditionalFormatting sqref="D1:D2">
    <cfRule type="cellIs" dxfId="25" priority="1" operator="greaterThanOrEqual">
      <formula>15</formula>
    </cfRule>
  </conditionalFormatting>
  <conditionalFormatting sqref="D6:E243 E245:E251 D245:D253 D256:D1048576">
    <cfRule type="cellIs" dxfId="24" priority="13" operator="greaterThanOrEqual">
      <formula>15</formula>
    </cfRule>
  </conditionalFormatting>
  <conditionalFormatting sqref="F205">
    <cfRule type="cellIs" dxfId="23" priority="3" operator="greaterThanOrEqual">
      <formula>15</formula>
    </cfRule>
  </conditionalFormatting>
  <conditionalFormatting sqref="F207">
    <cfRule type="cellIs" dxfId="22" priority="4" operator="greaterThanOrEqual">
      <formula>15</formula>
    </cfRule>
  </conditionalFormatting>
  <conditionalFormatting sqref="F4:H4 F5:F204 F6:H6 G7:H53 H54:H61 G62:H245 F206 F208:F253 G247:H255 F256:H1048576">
    <cfRule type="cellIs" dxfId="21" priority="14" operator="lessThan">
      <formula>0</formula>
    </cfRule>
  </conditionalFormatting>
  <conditionalFormatting sqref="G1:G2">
    <cfRule type="cellIs" dxfId="20" priority="2" operator="lessThan">
      <formula>0</formula>
    </cfRule>
  </conditionalFormatting>
  <conditionalFormatting sqref="G5">
    <cfRule type="cellIs" dxfId="19" priority="11" operator="lessThan">
      <formula>0</formula>
    </cfRule>
  </conditionalFormatting>
  <conditionalFormatting sqref="H5">
    <cfRule type="cellIs" dxfId="18" priority="10" operator="lessThan">
      <formula>0</formula>
    </cfRule>
  </conditionalFormatting>
  <conditionalFormatting sqref="K6:K1048576">
    <cfRule type="cellIs" dxfId="17" priority="15" operator="notBetween">
      <formula>30</formula>
      <formula>-30</formula>
    </cfRule>
  </conditionalFormatting>
  <conditionalFormatting sqref="N6:N235 N242:N253">
    <cfRule type="cellIs" dxfId="16" priority="8" operator="lessThan">
      <formula>0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9C3AD4-49C9-4933-9CFC-80EE6DDBE134}">
          <x14:formula1>
            <xm:f>'Сводная Круча'!$R$58:$R$75</xm:f>
          </x14:formula1>
          <xm:sqref>C245:C251 C6:C243 J84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EA4C-FE61-486B-8471-1B18C3FEA6BF}">
  <sheetPr codeName="Лист6"/>
  <dimension ref="A1:P249"/>
  <sheetViews>
    <sheetView zoomScale="70" zoomScaleNormal="70" workbookViewId="0">
      <selection activeCell="A2" sqref="A2"/>
    </sheetView>
  </sheetViews>
  <sheetFormatPr defaultRowHeight="15" x14ac:dyDescent="0.25"/>
  <cols>
    <col min="1" max="1" width="10.7109375" style="81" bestFit="1" customWidth="1"/>
    <col min="2" max="2" width="7.140625" style="192" bestFit="1" customWidth="1"/>
    <col min="3" max="3" width="19.42578125" style="153" bestFit="1" customWidth="1"/>
    <col min="4" max="4" width="16.42578125" style="3" bestFit="1" customWidth="1"/>
    <col min="5" max="5" width="16.5703125" style="3" bestFit="1" customWidth="1"/>
    <col min="6" max="6" width="12.140625" style="2" bestFit="1" customWidth="1"/>
    <col min="7" max="7" width="11.140625" style="2" bestFit="1" customWidth="1"/>
    <col min="8" max="8" width="10.5703125" style="2" bestFit="1" customWidth="1"/>
    <col min="9" max="9" width="8.85546875" style="153" bestFit="1" customWidth="1"/>
    <col min="10" max="10" width="15.85546875" style="3" bestFit="1" customWidth="1"/>
    <col min="11" max="11" width="18.140625" style="3" bestFit="1" customWidth="1"/>
    <col min="12" max="12" width="17.5703125" style="88" bestFit="1" customWidth="1"/>
    <col min="13" max="13" width="30" style="193" bestFit="1" customWidth="1"/>
    <col min="14" max="14" width="13.85546875" style="2" bestFit="1" customWidth="1"/>
    <col min="15" max="15" width="12.85546875" style="3" bestFit="1" customWidth="1"/>
    <col min="16" max="16" width="15.140625" style="153" bestFit="1" customWidth="1"/>
  </cols>
  <sheetData>
    <row r="1" spans="1:16" x14ac:dyDescent="0.25">
      <c r="A1" s="81" t="s">
        <v>0</v>
      </c>
      <c r="B1" s="192" t="s">
        <v>1</v>
      </c>
      <c r="C1" s="153" t="s">
        <v>169</v>
      </c>
      <c r="D1" s="3" t="s">
        <v>170</v>
      </c>
      <c r="E1" s="3" t="s">
        <v>171</v>
      </c>
      <c r="F1" s="2" t="s">
        <v>172</v>
      </c>
      <c r="G1" s="2" t="s">
        <v>173</v>
      </c>
      <c r="H1" s="2" t="s">
        <v>174</v>
      </c>
      <c r="I1" s="153" t="s">
        <v>175</v>
      </c>
      <c r="J1" s="3" t="s">
        <v>176</v>
      </c>
      <c r="K1" s="3" t="s">
        <v>177</v>
      </c>
      <c r="L1" s="88" t="s">
        <v>178</v>
      </c>
      <c r="M1" s="193" t="s">
        <v>179</v>
      </c>
      <c r="N1" s="2" t="s">
        <v>180</v>
      </c>
      <c r="O1" s="3" t="s">
        <v>181</v>
      </c>
      <c r="P1" s="153" t="s">
        <v>182</v>
      </c>
    </row>
    <row r="2" spans="1:16" x14ac:dyDescent="0.25">
      <c r="A2" s="81">
        <v>44986</v>
      </c>
      <c r="B2" s="192" t="s">
        <v>10</v>
      </c>
      <c r="C2" s="153" t="s">
        <v>41</v>
      </c>
      <c r="D2">
        <v>31</v>
      </c>
      <c r="E2">
        <v>9</v>
      </c>
      <c r="F2">
        <v>-14.8</v>
      </c>
      <c r="G2"/>
      <c r="H2"/>
      <c r="I2" s="153" t="s">
        <v>45</v>
      </c>
      <c r="J2">
        <v>91</v>
      </c>
      <c r="K2">
        <v>0</v>
      </c>
      <c r="L2" s="4">
        <v>0</v>
      </c>
      <c r="M2">
        <v>0</v>
      </c>
      <c r="N2">
        <v>914.7</v>
      </c>
      <c r="O2">
        <v>46</v>
      </c>
      <c r="P2" s="153" t="s">
        <v>131</v>
      </c>
    </row>
    <row r="3" spans="1:16" x14ac:dyDescent="0.25">
      <c r="A3" s="81">
        <v>44986</v>
      </c>
      <c r="B3" s="192" t="s">
        <v>11</v>
      </c>
      <c r="C3" s="153" t="s">
        <v>41</v>
      </c>
      <c r="D3">
        <v>32</v>
      </c>
      <c r="E3">
        <v>12</v>
      </c>
      <c r="F3">
        <v>-14.1</v>
      </c>
      <c r="G3"/>
      <c r="H3"/>
      <c r="I3" s="153" t="s">
        <v>127</v>
      </c>
      <c r="J3">
        <v>91</v>
      </c>
      <c r="K3">
        <v>0</v>
      </c>
      <c r="L3" s="4">
        <v>10</v>
      </c>
      <c r="M3">
        <v>10</v>
      </c>
      <c r="N3">
        <v>914.8</v>
      </c>
      <c r="O3">
        <v>54</v>
      </c>
      <c r="P3" s="153" t="s">
        <v>131</v>
      </c>
    </row>
    <row r="4" spans="1:16" x14ac:dyDescent="0.25">
      <c r="A4" s="81">
        <v>44986</v>
      </c>
      <c r="B4" s="192" t="s">
        <v>12</v>
      </c>
      <c r="C4" s="153" t="s">
        <v>29</v>
      </c>
      <c r="D4">
        <v>33</v>
      </c>
      <c r="E4">
        <v>9</v>
      </c>
      <c r="F4">
        <v>-13.5</v>
      </c>
      <c r="G4"/>
      <c r="H4"/>
      <c r="I4" s="153" t="s">
        <v>127</v>
      </c>
      <c r="J4">
        <v>92</v>
      </c>
      <c r="K4">
        <v>1</v>
      </c>
      <c r="L4" s="4">
        <v>0.1</v>
      </c>
      <c r="M4">
        <v>10.1</v>
      </c>
      <c r="N4">
        <v>915.6</v>
      </c>
      <c r="O4">
        <v>68</v>
      </c>
      <c r="P4" s="153" t="s">
        <v>131</v>
      </c>
    </row>
    <row r="5" spans="1:16" x14ac:dyDescent="0.25">
      <c r="A5" s="81">
        <v>44986</v>
      </c>
      <c r="B5" s="192" t="s">
        <v>13</v>
      </c>
      <c r="C5" s="153" t="s">
        <v>29</v>
      </c>
      <c r="D5">
        <v>34</v>
      </c>
      <c r="E5">
        <v>10</v>
      </c>
      <c r="F5">
        <v>-13.9</v>
      </c>
      <c r="G5"/>
      <c r="H5"/>
      <c r="I5" s="153" t="s">
        <v>127</v>
      </c>
      <c r="J5">
        <v>91</v>
      </c>
      <c r="K5">
        <v>-1</v>
      </c>
      <c r="L5" s="4">
        <v>0.2</v>
      </c>
      <c r="M5">
        <v>10.299999999999999</v>
      </c>
      <c r="N5">
        <v>916.6</v>
      </c>
      <c r="O5">
        <v>67</v>
      </c>
      <c r="P5" s="153" t="s">
        <v>131</v>
      </c>
    </row>
    <row r="6" spans="1:16" x14ac:dyDescent="0.25">
      <c r="A6" s="81">
        <v>44986</v>
      </c>
      <c r="B6" s="192" t="s">
        <v>14</v>
      </c>
      <c r="C6" s="153" t="s">
        <v>29</v>
      </c>
      <c r="D6">
        <v>35</v>
      </c>
      <c r="E6">
        <v>9</v>
      </c>
      <c r="F6">
        <v>-13.2</v>
      </c>
      <c r="G6"/>
      <c r="H6"/>
      <c r="I6" s="153" t="s">
        <v>127</v>
      </c>
      <c r="J6">
        <v>90</v>
      </c>
      <c r="K6">
        <v>-1</v>
      </c>
      <c r="L6" s="4">
        <v>0.3</v>
      </c>
      <c r="M6">
        <v>10.6</v>
      </c>
      <c r="N6">
        <v>917.1</v>
      </c>
      <c r="O6">
        <v>58</v>
      </c>
      <c r="P6" s="153" t="s">
        <v>131</v>
      </c>
    </row>
    <row r="7" spans="1:16" x14ac:dyDescent="0.25">
      <c r="A7" s="81">
        <v>44986</v>
      </c>
      <c r="B7" s="192" t="s">
        <v>15</v>
      </c>
      <c r="C7" s="153" t="s">
        <v>41</v>
      </c>
      <c r="D7">
        <v>36</v>
      </c>
      <c r="E7">
        <v>7</v>
      </c>
      <c r="F7">
        <v>-12.8</v>
      </c>
      <c r="G7"/>
      <c r="H7"/>
      <c r="I7" s="153" t="s">
        <v>45</v>
      </c>
      <c r="J7">
        <v>91</v>
      </c>
      <c r="K7">
        <v>1</v>
      </c>
      <c r="L7" s="4">
        <v>0.2</v>
      </c>
      <c r="M7">
        <v>10.799999999999999</v>
      </c>
      <c r="N7">
        <v>916.4</v>
      </c>
      <c r="O7">
        <v>46</v>
      </c>
      <c r="P7" s="153" t="s">
        <v>131</v>
      </c>
    </row>
    <row r="8" spans="1:16" x14ac:dyDescent="0.25">
      <c r="A8" s="81">
        <v>44986</v>
      </c>
      <c r="B8" s="192" t="s">
        <v>16</v>
      </c>
      <c r="C8" s="153" t="s">
        <v>41</v>
      </c>
      <c r="D8">
        <v>37</v>
      </c>
      <c r="E8">
        <v>2</v>
      </c>
      <c r="F8">
        <v>-13.3</v>
      </c>
      <c r="G8"/>
      <c r="H8"/>
      <c r="I8" s="153" t="s">
        <v>45</v>
      </c>
      <c r="J8">
        <v>91</v>
      </c>
      <c r="K8">
        <v>0</v>
      </c>
      <c r="L8" s="4">
        <v>0.5</v>
      </c>
      <c r="M8">
        <v>11.299999999999999</v>
      </c>
      <c r="N8">
        <v>916.5</v>
      </c>
      <c r="O8">
        <v>49</v>
      </c>
      <c r="P8" s="153" t="s">
        <v>131</v>
      </c>
    </row>
    <row r="9" spans="1:16" x14ac:dyDescent="0.25">
      <c r="A9" s="81">
        <v>44986</v>
      </c>
      <c r="B9" s="192" t="s">
        <v>17</v>
      </c>
      <c r="C9" s="153" t="s">
        <v>41</v>
      </c>
      <c r="D9">
        <v>38</v>
      </c>
      <c r="E9">
        <v>7</v>
      </c>
      <c r="F9">
        <v>-13.5</v>
      </c>
      <c r="G9"/>
      <c r="H9"/>
      <c r="I9" s="153" t="s">
        <v>45</v>
      </c>
      <c r="J9">
        <v>91</v>
      </c>
      <c r="K9">
        <v>0</v>
      </c>
      <c r="L9" s="4">
        <v>0.6</v>
      </c>
      <c r="M9">
        <v>11.899999999999999</v>
      </c>
      <c r="N9">
        <v>916.8</v>
      </c>
      <c r="O9">
        <v>60</v>
      </c>
      <c r="P9" s="153" t="s">
        <v>131</v>
      </c>
    </row>
    <row r="10" spans="1:16" x14ac:dyDescent="0.25">
      <c r="A10" s="81">
        <v>44987</v>
      </c>
      <c r="B10" s="192" t="s">
        <v>10</v>
      </c>
      <c r="C10" s="153" t="s">
        <v>41</v>
      </c>
      <c r="D10">
        <v>39</v>
      </c>
      <c r="E10">
        <v>10</v>
      </c>
      <c r="F10">
        <v>-13.6</v>
      </c>
      <c r="G10"/>
      <c r="H10"/>
      <c r="I10" s="153" t="s">
        <v>127</v>
      </c>
      <c r="J10">
        <v>91</v>
      </c>
      <c r="K10">
        <v>0</v>
      </c>
      <c r="L10" s="4">
        <v>0.1</v>
      </c>
      <c r="M10">
        <v>11.999999999999998</v>
      </c>
      <c r="N10">
        <v>917.3</v>
      </c>
      <c r="O10">
        <v>68</v>
      </c>
      <c r="P10" s="153" t="s">
        <v>131</v>
      </c>
    </row>
    <row r="11" spans="1:16" x14ac:dyDescent="0.25">
      <c r="A11" s="81">
        <v>44987</v>
      </c>
      <c r="B11" s="192" t="s">
        <v>11</v>
      </c>
      <c r="C11" s="153" t="s">
        <v>41</v>
      </c>
      <c r="D11">
        <v>40</v>
      </c>
      <c r="E11">
        <v>10</v>
      </c>
      <c r="F11">
        <v>-14.6</v>
      </c>
      <c r="G11"/>
      <c r="H11"/>
      <c r="I11" s="153" t="s">
        <v>127</v>
      </c>
      <c r="J11">
        <v>90</v>
      </c>
      <c r="K11">
        <v>-1</v>
      </c>
      <c r="L11" s="4">
        <v>0.85</v>
      </c>
      <c r="M11">
        <v>12.849999999999998</v>
      </c>
      <c r="N11">
        <v>918.2</v>
      </c>
      <c r="O11">
        <v>66</v>
      </c>
      <c r="P11" s="153" t="s">
        <v>131</v>
      </c>
    </row>
    <row r="12" spans="1:16" x14ac:dyDescent="0.25">
      <c r="A12" s="81">
        <v>44987</v>
      </c>
      <c r="B12" s="192" t="s">
        <v>12</v>
      </c>
      <c r="C12" s="153" t="s">
        <v>41</v>
      </c>
      <c r="D12">
        <v>3</v>
      </c>
      <c r="E12">
        <v>11</v>
      </c>
      <c r="F12">
        <v>-15.8</v>
      </c>
      <c r="G12"/>
      <c r="H12"/>
      <c r="I12" s="153" t="s">
        <v>127</v>
      </c>
      <c r="J12">
        <v>90</v>
      </c>
      <c r="K12">
        <v>0</v>
      </c>
      <c r="L12" s="4">
        <v>0</v>
      </c>
      <c r="M12">
        <v>12.849999999999998</v>
      </c>
      <c r="N12">
        <v>919.1</v>
      </c>
      <c r="O12">
        <v>55</v>
      </c>
      <c r="P12" s="153" t="s">
        <v>131</v>
      </c>
    </row>
    <row r="13" spans="1:16" x14ac:dyDescent="0.25">
      <c r="A13" s="81">
        <v>44987</v>
      </c>
      <c r="B13" s="192" t="s">
        <v>13</v>
      </c>
      <c r="C13" s="153" t="s">
        <v>41</v>
      </c>
      <c r="D13">
        <v>10</v>
      </c>
      <c r="E13">
        <v>13</v>
      </c>
      <c r="F13">
        <v>-16.7</v>
      </c>
      <c r="G13"/>
      <c r="H13"/>
      <c r="I13" s="153" t="s">
        <v>127</v>
      </c>
      <c r="J13">
        <v>89</v>
      </c>
      <c r="K13">
        <v>-1</v>
      </c>
      <c r="L13" s="4">
        <v>0</v>
      </c>
      <c r="M13">
        <v>12.849999999999998</v>
      </c>
      <c r="N13">
        <v>921.6</v>
      </c>
      <c r="O13">
        <v>54</v>
      </c>
      <c r="P13" s="153" t="s">
        <v>131</v>
      </c>
    </row>
    <row r="14" spans="1:16" x14ac:dyDescent="0.25">
      <c r="A14" s="81">
        <v>44987</v>
      </c>
      <c r="B14" s="192" t="s">
        <v>14</v>
      </c>
      <c r="C14" s="153" t="s">
        <v>41</v>
      </c>
      <c r="D14">
        <v>17</v>
      </c>
      <c r="E14">
        <v>13</v>
      </c>
      <c r="F14">
        <v>-15.6</v>
      </c>
      <c r="G14"/>
      <c r="H14"/>
      <c r="I14" s="153" t="s">
        <v>127</v>
      </c>
      <c r="J14">
        <v>90</v>
      </c>
      <c r="K14">
        <v>1</v>
      </c>
      <c r="L14" s="4">
        <v>0.5</v>
      </c>
      <c r="M14">
        <v>13.349999999999998</v>
      </c>
      <c r="N14">
        <v>924.5</v>
      </c>
      <c r="O14">
        <v>53</v>
      </c>
      <c r="P14" s="153" t="s">
        <v>131</v>
      </c>
    </row>
    <row r="15" spans="1:16" x14ac:dyDescent="0.25">
      <c r="A15" s="81">
        <v>44987</v>
      </c>
      <c r="B15" s="192" t="s">
        <v>15</v>
      </c>
      <c r="C15" s="153" t="s">
        <v>41</v>
      </c>
      <c r="D15">
        <v>7</v>
      </c>
      <c r="E15">
        <v>10</v>
      </c>
      <c r="F15">
        <v>-14.6</v>
      </c>
      <c r="G15"/>
      <c r="H15"/>
      <c r="I15" s="153" t="s">
        <v>127</v>
      </c>
      <c r="J15">
        <v>90</v>
      </c>
      <c r="K15">
        <v>0</v>
      </c>
      <c r="L15" s="4">
        <v>0.6</v>
      </c>
      <c r="M15">
        <v>13.949999999999998</v>
      </c>
      <c r="N15">
        <v>926.1</v>
      </c>
      <c r="O15">
        <v>52</v>
      </c>
      <c r="P15" s="153" t="s">
        <v>131</v>
      </c>
    </row>
    <row r="16" spans="1:16" x14ac:dyDescent="0.25">
      <c r="A16" s="81">
        <v>44987</v>
      </c>
      <c r="B16" s="192" t="s">
        <v>16</v>
      </c>
      <c r="C16" s="153" t="s">
        <v>41</v>
      </c>
      <c r="D16">
        <v>18</v>
      </c>
      <c r="E16">
        <v>17</v>
      </c>
      <c r="F16">
        <v>-13.9</v>
      </c>
      <c r="G16"/>
      <c r="H16"/>
      <c r="I16" s="153" t="s">
        <v>127</v>
      </c>
      <c r="J16">
        <v>91</v>
      </c>
      <c r="K16">
        <v>1</v>
      </c>
      <c r="L16" s="4">
        <v>0.5</v>
      </c>
      <c r="M16">
        <v>14.449999999999998</v>
      </c>
      <c r="N16">
        <v>928.1</v>
      </c>
      <c r="O16">
        <v>60</v>
      </c>
      <c r="P16" s="153" t="s">
        <v>131</v>
      </c>
    </row>
    <row r="17" spans="1:16" x14ac:dyDescent="0.25">
      <c r="A17" s="81">
        <v>44987</v>
      </c>
      <c r="B17" s="192" t="s">
        <v>17</v>
      </c>
      <c r="C17" s="153" t="s">
        <v>41</v>
      </c>
      <c r="D17">
        <v>19</v>
      </c>
      <c r="E17">
        <v>10</v>
      </c>
      <c r="F17">
        <v>-14.5</v>
      </c>
      <c r="G17"/>
      <c r="H17"/>
      <c r="I17" s="153" t="s">
        <v>127</v>
      </c>
      <c r="J17">
        <v>91</v>
      </c>
      <c r="K17">
        <v>0</v>
      </c>
      <c r="L17" s="4">
        <v>6</v>
      </c>
      <c r="M17">
        <v>20.449999999999996</v>
      </c>
      <c r="N17">
        <v>931.1</v>
      </c>
      <c r="O17">
        <v>48</v>
      </c>
      <c r="P17" s="153" t="s">
        <v>131</v>
      </c>
    </row>
    <row r="18" spans="1:16" x14ac:dyDescent="0.25">
      <c r="A18" s="81">
        <v>44988</v>
      </c>
      <c r="B18" s="192" t="s">
        <v>10</v>
      </c>
      <c r="C18" s="153" t="s">
        <v>41</v>
      </c>
      <c r="D18">
        <v>20</v>
      </c>
      <c r="E18">
        <v>7</v>
      </c>
      <c r="F18">
        <v>-14.6</v>
      </c>
      <c r="G18"/>
      <c r="H18"/>
      <c r="I18" s="153" t="s">
        <v>45</v>
      </c>
      <c r="J18">
        <v>90</v>
      </c>
      <c r="K18">
        <v>-1</v>
      </c>
      <c r="L18" s="4">
        <v>5.2</v>
      </c>
      <c r="M18">
        <v>25.649999999999995</v>
      </c>
      <c r="N18">
        <v>932.7</v>
      </c>
      <c r="O18">
        <v>45</v>
      </c>
      <c r="P18" s="153" t="s">
        <v>131</v>
      </c>
    </row>
    <row r="19" spans="1:16" x14ac:dyDescent="0.25">
      <c r="A19" s="81">
        <v>44988</v>
      </c>
      <c r="B19" s="192" t="s">
        <v>11</v>
      </c>
      <c r="C19" s="153" t="s">
        <v>41</v>
      </c>
      <c r="D19">
        <v>21</v>
      </c>
      <c r="E19">
        <v>6</v>
      </c>
      <c r="F19">
        <v>-13.6</v>
      </c>
      <c r="G19"/>
      <c r="H19"/>
      <c r="I19" s="153" t="s">
        <v>45</v>
      </c>
      <c r="J19">
        <v>91</v>
      </c>
      <c r="K19">
        <v>1</v>
      </c>
      <c r="L19" s="4">
        <v>0</v>
      </c>
      <c r="M19">
        <v>25.649999999999995</v>
      </c>
      <c r="N19">
        <v>932.3</v>
      </c>
      <c r="O19">
        <v>41</v>
      </c>
      <c r="P19" s="153" t="s">
        <v>131</v>
      </c>
    </row>
    <row r="20" spans="1:16" x14ac:dyDescent="0.25">
      <c r="A20" s="81">
        <v>44988</v>
      </c>
      <c r="B20" s="192" t="s">
        <v>12</v>
      </c>
      <c r="C20" s="153" t="s">
        <v>41</v>
      </c>
      <c r="D20">
        <v>22</v>
      </c>
      <c r="E20">
        <v>8</v>
      </c>
      <c r="F20">
        <v>-12.8</v>
      </c>
      <c r="G20"/>
      <c r="H20"/>
      <c r="I20" s="153" t="s">
        <v>45</v>
      </c>
      <c r="J20">
        <v>91</v>
      </c>
      <c r="K20">
        <v>0</v>
      </c>
      <c r="L20" s="4">
        <v>0.5</v>
      </c>
      <c r="M20">
        <v>26.149999999999995</v>
      </c>
      <c r="N20">
        <v>930.7</v>
      </c>
      <c r="O20">
        <v>38</v>
      </c>
      <c r="P20" s="153" t="s">
        <v>131</v>
      </c>
    </row>
    <row r="21" spans="1:16" x14ac:dyDescent="0.25">
      <c r="A21" s="81">
        <v>44988</v>
      </c>
      <c r="B21" s="192" t="s">
        <v>13</v>
      </c>
      <c r="C21" s="153" t="s">
        <v>41</v>
      </c>
      <c r="D21">
        <v>23</v>
      </c>
      <c r="E21">
        <v>7</v>
      </c>
      <c r="F21">
        <v>-12.4</v>
      </c>
      <c r="G21"/>
      <c r="H21"/>
      <c r="I21" s="153" t="s">
        <v>45</v>
      </c>
      <c r="J21">
        <v>92</v>
      </c>
      <c r="K21">
        <v>1</v>
      </c>
      <c r="L21" s="4">
        <v>0</v>
      </c>
      <c r="M21">
        <v>26.149999999999995</v>
      </c>
      <c r="N21">
        <v>929.5</v>
      </c>
      <c r="O21">
        <v>39</v>
      </c>
      <c r="P21" s="153" t="s">
        <v>131</v>
      </c>
    </row>
    <row r="22" spans="1:16" x14ac:dyDescent="0.25">
      <c r="A22" s="81">
        <v>44988</v>
      </c>
      <c r="B22" s="192" t="s">
        <v>14</v>
      </c>
      <c r="C22" s="153" t="s">
        <v>41</v>
      </c>
      <c r="D22">
        <v>24</v>
      </c>
      <c r="E22">
        <v>2</v>
      </c>
      <c r="F22">
        <v>-12.3</v>
      </c>
      <c r="G22"/>
      <c r="H22"/>
      <c r="I22" s="153" t="s">
        <v>45</v>
      </c>
      <c r="J22">
        <v>92</v>
      </c>
      <c r="K22">
        <v>0</v>
      </c>
      <c r="L22" s="4">
        <v>0</v>
      </c>
      <c r="M22">
        <v>26.149999999999995</v>
      </c>
      <c r="N22">
        <v>927.9</v>
      </c>
      <c r="O22">
        <v>49</v>
      </c>
      <c r="P22" s="153" t="s">
        <v>131</v>
      </c>
    </row>
    <row r="23" spans="1:16" x14ac:dyDescent="0.25">
      <c r="A23" s="81">
        <v>44988</v>
      </c>
      <c r="B23" s="192" t="s">
        <v>15</v>
      </c>
      <c r="C23" s="153" t="s">
        <v>41</v>
      </c>
      <c r="D23">
        <v>25</v>
      </c>
      <c r="E23">
        <v>1</v>
      </c>
      <c r="F23">
        <v>-11.6</v>
      </c>
      <c r="G23"/>
      <c r="H23"/>
      <c r="I23" s="153" t="s">
        <v>45</v>
      </c>
      <c r="J23">
        <v>92</v>
      </c>
      <c r="K23">
        <v>0</v>
      </c>
      <c r="L23" s="4">
        <v>0</v>
      </c>
      <c r="M23">
        <v>26.149999999999995</v>
      </c>
      <c r="N23">
        <v>925</v>
      </c>
      <c r="O23">
        <v>46</v>
      </c>
      <c r="P23" s="153" t="s">
        <v>131</v>
      </c>
    </row>
    <row r="24" spans="1:16" x14ac:dyDescent="0.25">
      <c r="A24" s="81">
        <v>44988</v>
      </c>
      <c r="B24" s="192" t="s">
        <v>16</v>
      </c>
      <c r="C24" s="153" t="s">
        <v>41</v>
      </c>
      <c r="D24">
        <v>26</v>
      </c>
      <c r="E24">
        <v>2</v>
      </c>
      <c r="F24">
        <v>-13</v>
      </c>
      <c r="G24"/>
      <c r="H24"/>
      <c r="I24" s="153" t="s">
        <v>130</v>
      </c>
      <c r="J24">
        <v>90</v>
      </c>
      <c r="K24">
        <v>-2</v>
      </c>
      <c r="L24" s="4">
        <v>0</v>
      </c>
      <c r="M24">
        <v>26.149999999999995</v>
      </c>
      <c r="N24">
        <v>922.9</v>
      </c>
      <c r="O24">
        <v>76</v>
      </c>
      <c r="P24" s="153" t="s">
        <v>131</v>
      </c>
    </row>
    <row r="25" spans="1:16" x14ac:dyDescent="0.25">
      <c r="A25" s="81">
        <v>44988</v>
      </c>
      <c r="B25" s="192" t="s">
        <v>17</v>
      </c>
      <c r="C25" s="153" t="s">
        <v>43</v>
      </c>
      <c r="D25">
        <v>27</v>
      </c>
      <c r="E25">
        <v>3</v>
      </c>
      <c r="F25">
        <v>-12.3</v>
      </c>
      <c r="G25"/>
      <c r="H25"/>
      <c r="I25" s="153" t="s">
        <v>130</v>
      </c>
      <c r="J25">
        <v>91</v>
      </c>
      <c r="K25">
        <v>1</v>
      </c>
      <c r="L25" s="4">
        <v>0</v>
      </c>
      <c r="M25">
        <v>26.149999999999995</v>
      </c>
      <c r="N25">
        <v>921.6</v>
      </c>
      <c r="O25">
        <v>79</v>
      </c>
      <c r="P25" s="153" t="s">
        <v>131</v>
      </c>
    </row>
    <row r="26" spans="1:16" x14ac:dyDescent="0.25">
      <c r="A26" s="81">
        <v>44989</v>
      </c>
      <c r="B26" s="192" t="s">
        <v>10</v>
      </c>
      <c r="C26" s="153" t="s">
        <v>43</v>
      </c>
      <c r="D26">
        <v>28</v>
      </c>
      <c r="E26">
        <v>3</v>
      </c>
      <c r="F26">
        <v>-12.1</v>
      </c>
      <c r="G26"/>
      <c r="H26"/>
      <c r="I26" s="153" t="s">
        <v>130</v>
      </c>
      <c r="J26">
        <v>92</v>
      </c>
      <c r="K26">
        <v>1</v>
      </c>
      <c r="L26" s="4">
        <v>0</v>
      </c>
      <c r="M26">
        <v>26.149999999999995</v>
      </c>
      <c r="N26">
        <v>920.2</v>
      </c>
      <c r="O26">
        <v>73</v>
      </c>
      <c r="P26" s="153" t="s">
        <v>131</v>
      </c>
    </row>
    <row r="27" spans="1:16" x14ac:dyDescent="0.25">
      <c r="A27" s="81">
        <v>44989</v>
      </c>
      <c r="B27" s="192" t="s">
        <v>11</v>
      </c>
      <c r="C27" s="153" t="s">
        <v>43</v>
      </c>
      <c r="D27">
        <v>29</v>
      </c>
      <c r="E27">
        <v>6</v>
      </c>
      <c r="F27">
        <v>-12.8</v>
      </c>
      <c r="G27"/>
      <c r="H27"/>
      <c r="I27" s="153" t="s">
        <v>45</v>
      </c>
      <c r="J27">
        <v>92</v>
      </c>
      <c r="K27">
        <v>0</v>
      </c>
      <c r="L27" s="4">
        <v>0</v>
      </c>
      <c r="M27">
        <v>26.149999999999995</v>
      </c>
      <c r="N27">
        <v>920.3</v>
      </c>
      <c r="O27">
        <v>69</v>
      </c>
      <c r="P27" s="153" t="s">
        <v>131</v>
      </c>
    </row>
    <row r="28" spans="1:16" x14ac:dyDescent="0.25">
      <c r="A28" s="81">
        <v>44989</v>
      </c>
      <c r="B28" s="192" t="s">
        <v>12</v>
      </c>
      <c r="C28" s="153" t="s">
        <v>43</v>
      </c>
      <c r="D28">
        <v>30</v>
      </c>
      <c r="E28">
        <v>13</v>
      </c>
      <c r="F28">
        <v>-12.9</v>
      </c>
      <c r="G28"/>
      <c r="H28"/>
      <c r="I28" s="153" t="s">
        <v>127</v>
      </c>
      <c r="J28">
        <v>90</v>
      </c>
      <c r="K28">
        <v>-2</v>
      </c>
      <c r="L28" s="4">
        <v>0</v>
      </c>
      <c r="M28">
        <v>26.149999999999995</v>
      </c>
      <c r="N28">
        <v>920.5</v>
      </c>
      <c r="O28">
        <v>68</v>
      </c>
      <c r="P28" s="153" t="s">
        <v>131</v>
      </c>
    </row>
    <row r="29" spans="1:16" x14ac:dyDescent="0.25">
      <c r="A29" s="81">
        <v>44989</v>
      </c>
      <c r="B29" s="192" t="s">
        <v>13</v>
      </c>
      <c r="C29" s="153" t="s">
        <v>43</v>
      </c>
      <c r="D29">
        <v>8</v>
      </c>
      <c r="E29">
        <v>12</v>
      </c>
      <c r="F29">
        <v>-15.5</v>
      </c>
      <c r="G29"/>
      <c r="H29"/>
      <c r="I29" s="153" t="s">
        <v>127</v>
      </c>
      <c r="J29">
        <v>90</v>
      </c>
      <c r="K29">
        <v>0</v>
      </c>
      <c r="L29" s="4">
        <v>0</v>
      </c>
      <c r="M29">
        <v>26.149999999999995</v>
      </c>
      <c r="N29">
        <v>921.5</v>
      </c>
      <c r="O29">
        <v>64</v>
      </c>
      <c r="P29" s="153" t="s">
        <v>131</v>
      </c>
    </row>
    <row r="30" spans="1:16" x14ac:dyDescent="0.25">
      <c r="A30" s="81">
        <v>44989</v>
      </c>
      <c r="B30" s="192" t="s">
        <v>14</v>
      </c>
      <c r="C30" s="153" t="s">
        <v>43</v>
      </c>
      <c r="D30">
        <v>9</v>
      </c>
      <c r="E30">
        <v>18</v>
      </c>
      <c r="F30">
        <v>-16</v>
      </c>
      <c r="G30"/>
      <c r="H30"/>
      <c r="I30" s="153" t="s">
        <v>127</v>
      </c>
      <c r="J30">
        <v>89</v>
      </c>
      <c r="K30">
        <v>-1</v>
      </c>
      <c r="L30" s="4">
        <v>1</v>
      </c>
      <c r="M30">
        <v>27.149999999999995</v>
      </c>
      <c r="N30">
        <v>921.6</v>
      </c>
      <c r="O30">
        <v>67</v>
      </c>
      <c r="P30" s="153" t="s">
        <v>131</v>
      </c>
    </row>
    <row r="31" spans="1:16" x14ac:dyDescent="0.25">
      <c r="A31" s="81">
        <v>44989</v>
      </c>
      <c r="B31" s="192" t="s">
        <v>15</v>
      </c>
      <c r="C31" s="153" t="s">
        <v>43</v>
      </c>
      <c r="D31">
        <v>9</v>
      </c>
      <c r="E31">
        <v>15</v>
      </c>
      <c r="F31">
        <v>-15</v>
      </c>
      <c r="G31"/>
      <c r="H31"/>
      <c r="I31" s="153" t="s">
        <v>127</v>
      </c>
      <c r="J31">
        <v>89</v>
      </c>
      <c r="K31">
        <v>0</v>
      </c>
      <c r="L31" s="4">
        <v>0</v>
      </c>
      <c r="M31">
        <v>27.149999999999995</v>
      </c>
      <c r="N31">
        <v>921.4</v>
      </c>
      <c r="O31">
        <v>64</v>
      </c>
      <c r="P31" s="153" t="s">
        <v>131</v>
      </c>
    </row>
    <row r="32" spans="1:16" x14ac:dyDescent="0.25">
      <c r="A32" s="81">
        <v>44989</v>
      </c>
      <c r="B32" s="192" t="s">
        <v>16</v>
      </c>
      <c r="C32" s="153" t="s">
        <v>43</v>
      </c>
      <c r="D32">
        <v>9</v>
      </c>
      <c r="E32">
        <v>14</v>
      </c>
      <c r="F32">
        <v>-14.7</v>
      </c>
      <c r="G32"/>
      <c r="H32"/>
      <c r="I32" s="153" t="s">
        <v>45</v>
      </c>
      <c r="J32">
        <v>89</v>
      </c>
      <c r="K32">
        <v>0</v>
      </c>
      <c r="L32" s="4">
        <v>0</v>
      </c>
      <c r="M32">
        <v>27.149999999999995</v>
      </c>
      <c r="N32">
        <v>922.3</v>
      </c>
      <c r="O32">
        <v>55</v>
      </c>
      <c r="P32" s="153" t="s">
        <v>131</v>
      </c>
    </row>
    <row r="33" spans="1:16" x14ac:dyDescent="0.25">
      <c r="A33" s="81">
        <v>44989</v>
      </c>
      <c r="B33" s="192" t="s">
        <v>17</v>
      </c>
      <c r="C33" s="153" t="s">
        <v>42</v>
      </c>
      <c r="D33">
        <v>2</v>
      </c>
      <c r="E33">
        <v>4</v>
      </c>
      <c r="F33">
        <v>-15.7</v>
      </c>
      <c r="G33"/>
      <c r="H33"/>
      <c r="I33" s="153" t="s">
        <v>45</v>
      </c>
      <c r="J33">
        <v>90</v>
      </c>
      <c r="K33">
        <v>1</v>
      </c>
      <c r="L33" s="4">
        <v>0</v>
      </c>
      <c r="M33">
        <v>27.149999999999995</v>
      </c>
      <c r="N33">
        <v>923.5</v>
      </c>
      <c r="O33">
        <v>50</v>
      </c>
      <c r="P33" s="153" t="s">
        <v>131</v>
      </c>
    </row>
    <row r="34" spans="1:16" x14ac:dyDescent="0.25">
      <c r="A34" s="81">
        <v>44990</v>
      </c>
      <c r="B34" s="192" t="s">
        <v>10</v>
      </c>
      <c r="C34" s="153" t="s">
        <v>42</v>
      </c>
      <c r="D34">
        <v>1</v>
      </c>
      <c r="E34">
        <v>2</v>
      </c>
      <c r="F34">
        <v>-19.3</v>
      </c>
      <c r="G34"/>
      <c r="H34"/>
      <c r="I34" s="153" t="s">
        <v>45</v>
      </c>
      <c r="J34">
        <v>88</v>
      </c>
      <c r="K34">
        <v>-2</v>
      </c>
      <c r="L34" s="4">
        <v>0</v>
      </c>
      <c r="M34">
        <v>27.149999999999995</v>
      </c>
      <c r="N34">
        <v>923.8</v>
      </c>
      <c r="O34">
        <v>56</v>
      </c>
      <c r="P34" s="153" t="s">
        <v>131</v>
      </c>
    </row>
    <row r="35" spans="1:16" x14ac:dyDescent="0.25">
      <c r="A35" s="81">
        <v>44990</v>
      </c>
      <c r="B35" s="192" t="s">
        <v>11</v>
      </c>
      <c r="C35" s="153" t="s">
        <v>42</v>
      </c>
      <c r="D35">
        <v>3</v>
      </c>
      <c r="E35">
        <v>5</v>
      </c>
      <c r="F35">
        <v>-17.899999999999999</v>
      </c>
      <c r="G35"/>
      <c r="H35"/>
      <c r="I35" s="153" t="s">
        <v>45</v>
      </c>
      <c r="J35">
        <v>88</v>
      </c>
      <c r="K35">
        <v>0</v>
      </c>
      <c r="L35" s="4">
        <v>0</v>
      </c>
      <c r="M35">
        <v>27.149999999999995</v>
      </c>
      <c r="N35">
        <v>923.2</v>
      </c>
      <c r="O35">
        <v>54</v>
      </c>
      <c r="P35" s="153" t="s">
        <v>131</v>
      </c>
    </row>
    <row r="36" spans="1:16" x14ac:dyDescent="0.25">
      <c r="A36" s="81">
        <v>44990</v>
      </c>
      <c r="B36" s="192" t="s">
        <v>12</v>
      </c>
      <c r="C36" s="153" t="s">
        <v>41</v>
      </c>
      <c r="D36">
        <v>6</v>
      </c>
      <c r="E36">
        <v>9</v>
      </c>
      <c r="F36">
        <v>-18.600000000000001</v>
      </c>
      <c r="G36"/>
      <c r="H36"/>
      <c r="I36" s="153" t="s">
        <v>45</v>
      </c>
      <c r="J36">
        <v>88</v>
      </c>
      <c r="K36">
        <v>0</v>
      </c>
      <c r="L36" s="4">
        <v>0</v>
      </c>
      <c r="M36">
        <v>27.149999999999995</v>
      </c>
      <c r="N36">
        <v>922.9</v>
      </c>
      <c r="O36">
        <v>55</v>
      </c>
      <c r="P36" s="153" t="s">
        <v>131</v>
      </c>
    </row>
    <row r="37" spans="1:16" x14ac:dyDescent="0.25">
      <c r="A37" s="81">
        <v>44990</v>
      </c>
      <c r="B37" s="192" t="s">
        <v>13</v>
      </c>
      <c r="C37" s="153" t="s">
        <v>41</v>
      </c>
      <c r="D37">
        <v>6</v>
      </c>
      <c r="E37">
        <v>10</v>
      </c>
      <c r="F37">
        <v>-18.899999999999999</v>
      </c>
      <c r="G37"/>
      <c r="H37"/>
      <c r="I37" s="153" t="s">
        <v>45</v>
      </c>
      <c r="J37">
        <v>87</v>
      </c>
      <c r="K37">
        <v>-1</v>
      </c>
      <c r="L37" s="4">
        <v>0</v>
      </c>
      <c r="M37">
        <v>27.149999999999995</v>
      </c>
      <c r="N37">
        <v>922.9</v>
      </c>
      <c r="O37">
        <v>54</v>
      </c>
      <c r="P37" s="153" t="s">
        <v>131</v>
      </c>
    </row>
    <row r="38" spans="1:16" x14ac:dyDescent="0.25">
      <c r="A38" s="81">
        <v>44990</v>
      </c>
      <c r="B38" s="192" t="s">
        <v>14</v>
      </c>
      <c r="C38" s="153" t="s">
        <v>41</v>
      </c>
      <c r="D38">
        <v>6</v>
      </c>
      <c r="E38">
        <v>9</v>
      </c>
      <c r="F38">
        <v>-17.8</v>
      </c>
      <c r="G38"/>
      <c r="H38"/>
      <c r="I38" s="153" t="s">
        <v>45</v>
      </c>
      <c r="J38">
        <v>88</v>
      </c>
      <c r="K38">
        <v>1</v>
      </c>
      <c r="L38" s="4">
        <v>0</v>
      </c>
      <c r="M38">
        <v>27.149999999999995</v>
      </c>
      <c r="N38">
        <v>922.5</v>
      </c>
      <c r="O38">
        <v>53</v>
      </c>
      <c r="P38" s="153" t="s">
        <v>131</v>
      </c>
    </row>
    <row r="39" spans="1:16" x14ac:dyDescent="0.25">
      <c r="A39" s="81">
        <v>44990</v>
      </c>
      <c r="B39" s="192" t="s">
        <v>15</v>
      </c>
      <c r="C39" s="153" t="s">
        <v>41</v>
      </c>
      <c r="D39">
        <v>8</v>
      </c>
      <c r="E39">
        <v>12</v>
      </c>
      <c r="F39">
        <v>-17.100000000000001</v>
      </c>
      <c r="G39"/>
      <c r="H39"/>
      <c r="I39" s="153" t="s">
        <v>45</v>
      </c>
      <c r="J39">
        <v>88</v>
      </c>
      <c r="K39">
        <v>0</v>
      </c>
      <c r="L39" s="4">
        <v>5</v>
      </c>
      <c r="M39">
        <v>32.149999999999991</v>
      </c>
      <c r="N39">
        <v>921.4</v>
      </c>
      <c r="O39">
        <v>64</v>
      </c>
      <c r="P39" s="153" t="s">
        <v>131</v>
      </c>
    </row>
    <row r="40" spans="1:16" x14ac:dyDescent="0.25">
      <c r="A40" s="81">
        <v>44990</v>
      </c>
      <c r="B40" s="192" t="s">
        <v>16</v>
      </c>
      <c r="C40" s="153" t="s">
        <v>41</v>
      </c>
      <c r="D40">
        <v>9</v>
      </c>
      <c r="E40">
        <v>13</v>
      </c>
      <c r="F40">
        <v>-16.7</v>
      </c>
      <c r="G40"/>
      <c r="H40"/>
      <c r="I40" s="153" t="s">
        <v>45</v>
      </c>
      <c r="J40">
        <v>88</v>
      </c>
      <c r="K40">
        <v>0</v>
      </c>
      <c r="L40" s="4">
        <v>0</v>
      </c>
      <c r="M40">
        <v>32.149999999999991</v>
      </c>
      <c r="N40">
        <v>921.2</v>
      </c>
      <c r="O40">
        <v>48</v>
      </c>
      <c r="P40" s="153" t="s">
        <v>131</v>
      </c>
    </row>
    <row r="41" spans="1:16" x14ac:dyDescent="0.25">
      <c r="A41" s="81">
        <v>44990</v>
      </c>
      <c r="B41" s="192" t="s">
        <v>17</v>
      </c>
      <c r="C41" s="153" t="s">
        <v>41</v>
      </c>
      <c r="D41">
        <v>6</v>
      </c>
      <c r="E41">
        <v>12</v>
      </c>
      <c r="F41">
        <v>-16.3</v>
      </c>
      <c r="G41"/>
      <c r="H41"/>
      <c r="I41" s="153" t="s">
        <v>127</v>
      </c>
      <c r="J41">
        <v>89</v>
      </c>
      <c r="K41">
        <v>1</v>
      </c>
      <c r="L41" s="4">
        <v>0</v>
      </c>
      <c r="M41">
        <v>32.149999999999991</v>
      </c>
      <c r="N41">
        <v>922.3</v>
      </c>
      <c r="O41">
        <v>44</v>
      </c>
      <c r="P41" s="153" t="s">
        <v>131</v>
      </c>
    </row>
    <row r="42" spans="1:16" x14ac:dyDescent="0.25">
      <c r="A42" s="81">
        <v>44991</v>
      </c>
      <c r="B42" s="192" t="s">
        <v>10</v>
      </c>
      <c r="C42" s="153" t="s">
        <v>41</v>
      </c>
      <c r="D42">
        <v>2</v>
      </c>
      <c r="E42">
        <v>6</v>
      </c>
      <c r="F42">
        <v>-17.5</v>
      </c>
      <c r="G42"/>
      <c r="H42"/>
      <c r="I42" s="153" t="s">
        <v>45</v>
      </c>
      <c r="J42">
        <v>88</v>
      </c>
      <c r="K42">
        <v>-1</v>
      </c>
      <c r="L42" s="4">
        <v>0</v>
      </c>
      <c r="M42">
        <v>32.149999999999991</v>
      </c>
      <c r="N42">
        <v>922.3</v>
      </c>
      <c r="O42">
        <v>43</v>
      </c>
      <c r="P42" s="153" t="s">
        <v>131</v>
      </c>
    </row>
    <row r="43" spans="1:16" x14ac:dyDescent="0.25">
      <c r="A43" s="81">
        <v>44991</v>
      </c>
      <c r="B43" s="192" t="s">
        <v>11</v>
      </c>
      <c r="C43" s="153" t="s">
        <v>41</v>
      </c>
      <c r="D43">
        <v>3</v>
      </c>
      <c r="E43">
        <v>10</v>
      </c>
      <c r="F43">
        <v>-16.2</v>
      </c>
      <c r="G43"/>
      <c r="H43"/>
      <c r="I43" s="153" t="s">
        <v>45</v>
      </c>
      <c r="J43">
        <v>89</v>
      </c>
      <c r="K43">
        <v>1</v>
      </c>
      <c r="L43" s="4">
        <v>0</v>
      </c>
      <c r="M43">
        <v>32.149999999999991</v>
      </c>
      <c r="N43">
        <v>922</v>
      </c>
      <c r="O43">
        <v>42</v>
      </c>
      <c r="P43" s="153" t="s">
        <v>131</v>
      </c>
    </row>
    <row r="44" spans="1:16" x14ac:dyDescent="0.25">
      <c r="A44" s="81">
        <v>44991</v>
      </c>
      <c r="B44" s="192" t="s">
        <v>12</v>
      </c>
      <c r="C44" s="153" t="s">
        <v>41</v>
      </c>
      <c r="D44">
        <v>3</v>
      </c>
      <c r="E44">
        <v>7</v>
      </c>
      <c r="F44">
        <v>-14.5</v>
      </c>
      <c r="G44"/>
      <c r="H44"/>
      <c r="I44" s="153" t="s">
        <v>45</v>
      </c>
      <c r="J44">
        <v>90</v>
      </c>
      <c r="K44">
        <v>1</v>
      </c>
      <c r="L44" s="4">
        <v>11</v>
      </c>
      <c r="M44">
        <v>43.149999999999991</v>
      </c>
      <c r="N44">
        <v>922.4</v>
      </c>
      <c r="O44">
        <v>39</v>
      </c>
      <c r="P44" s="153" t="s">
        <v>131</v>
      </c>
    </row>
    <row r="45" spans="1:16" x14ac:dyDescent="0.25">
      <c r="A45" s="81">
        <v>44991</v>
      </c>
      <c r="B45" s="192" t="s">
        <v>13</v>
      </c>
      <c r="C45" s="153" t="s">
        <v>29</v>
      </c>
      <c r="D45">
        <v>1</v>
      </c>
      <c r="E45">
        <v>1</v>
      </c>
      <c r="F45">
        <v>-13.8</v>
      </c>
      <c r="G45"/>
      <c r="H45"/>
      <c r="I45" s="153" t="s">
        <v>45</v>
      </c>
      <c r="J45">
        <v>91</v>
      </c>
      <c r="K45">
        <v>1</v>
      </c>
      <c r="L45" s="4">
        <v>0</v>
      </c>
      <c r="M45">
        <v>43.149999999999991</v>
      </c>
      <c r="N45">
        <v>922.1</v>
      </c>
      <c r="O45">
        <v>40</v>
      </c>
      <c r="P45" s="153" t="s">
        <v>131</v>
      </c>
    </row>
    <row r="46" spans="1:16" x14ac:dyDescent="0.25">
      <c r="A46" s="81">
        <v>44991</v>
      </c>
      <c r="B46" s="192" t="s">
        <v>14</v>
      </c>
      <c r="C46" s="153" t="s">
        <v>29</v>
      </c>
      <c r="D46">
        <v>1</v>
      </c>
      <c r="E46">
        <v>2</v>
      </c>
      <c r="F46">
        <v>-14.4</v>
      </c>
      <c r="G46"/>
      <c r="H46"/>
      <c r="I46" s="153" t="s">
        <v>45</v>
      </c>
      <c r="J46">
        <v>90</v>
      </c>
      <c r="K46">
        <v>-1</v>
      </c>
      <c r="L46" s="4">
        <v>0</v>
      </c>
      <c r="M46">
        <v>43.149999999999991</v>
      </c>
      <c r="N46">
        <v>920.8</v>
      </c>
      <c r="O46">
        <v>44</v>
      </c>
      <c r="P46" s="153" t="s">
        <v>131</v>
      </c>
    </row>
    <row r="47" spans="1:16" x14ac:dyDescent="0.25">
      <c r="A47" s="81">
        <v>44991</v>
      </c>
      <c r="B47" s="192" t="s">
        <v>15</v>
      </c>
      <c r="C47" s="153" t="s">
        <v>29</v>
      </c>
      <c r="D47">
        <v>1</v>
      </c>
      <c r="E47">
        <v>2</v>
      </c>
      <c r="F47">
        <v>-12.7</v>
      </c>
      <c r="G47"/>
      <c r="H47"/>
      <c r="I47" s="153" t="s">
        <v>130</v>
      </c>
      <c r="J47">
        <v>91</v>
      </c>
      <c r="K47">
        <v>1</v>
      </c>
      <c r="L47" s="4">
        <v>0</v>
      </c>
      <c r="M47">
        <v>43.149999999999991</v>
      </c>
      <c r="N47">
        <v>919.7</v>
      </c>
      <c r="O47">
        <v>46</v>
      </c>
      <c r="P47" s="153" t="s">
        <v>131</v>
      </c>
    </row>
    <row r="48" spans="1:16" x14ac:dyDescent="0.25">
      <c r="A48" s="81">
        <v>44991</v>
      </c>
      <c r="B48" s="192" t="s">
        <v>16</v>
      </c>
      <c r="C48" s="153" t="s">
        <v>41</v>
      </c>
      <c r="D48">
        <v>1</v>
      </c>
      <c r="E48">
        <v>2</v>
      </c>
      <c r="F48">
        <v>-13.1</v>
      </c>
      <c r="G48"/>
      <c r="H48"/>
      <c r="I48" s="153" t="s">
        <v>45</v>
      </c>
      <c r="J48">
        <v>91</v>
      </c>
      <c r="K48">
        <v>0</v>
      </c>
      <c r="L48" s="4">
        <v>0</v>
      </c>
      <c r="M48">
        <v>43.149999999999991</v>
      </c>
      <c r="N48">
        <v>919.8</v>
      </c>
      <c r="O48">
        <v>57</v>
      </c>
      <c r="P48" s="153" t="s">
        <v>131</v>
      </c>
    </row>
    <row r="49" spans="1:16" x14ac:dyDescent="0.25">
      <c r="A49" s="81">
        <v>44991</v>
      </c>
      <c r="B49" s="192" t="s">
        <v>17</v>
      </c>
      <c r="C49" s="153" t="s">
        <v>41</v>
      </c>
      <c r="D49">
        <v>2</v>
      </c>
      <c r="E49">
        <v>3</v>
      </c>
      <c r="F49">
        <v>-13.3</v>
      </c>
      <c r="G49"/>
      <c r="H49"/>
      <c r="I49" s="153" t="s">
        <v>45</v>
      </c>
      <c r="J49">
        <v>91</v>
      </c>
      <c r="K49">
        <v>0</v>
      </c>
      <c r="L49" s="4">
        <v>0</v>
      </c>
      <c r="M49">
        <v>43.149999999999991</v>
      </c>
      <c r="N49">
        <v>920.5</v>
      </c>
      <c r="O49">
        <v>56</v>
      </c>
      <c r="P49" s="153" t="s">
        <v>131</v>
      </c>
    </row>
    <row r="50" spans="1:16" x14ac:dyDescent="0.25">
      <c r="A50" s="81">
        <v>44992</v>
      </c>
      <c r="B50" s="192" t="s">
        <v>10</v>
      </c>
      <c r="C50" s="153" t="s">
        <v>41</v>
      </c>
      <c r="D50">
        <v>5</v>
      </c>
      <c r="E50">
        <v>8</v>
      </c>
      <c r="F50">
        <v>-4</v>
      </c>
      <c r="G50"/>
      <c r="H50"/>
      <c r="I50" s="153" t="s">
        <v>127</v>
      </c>
      <c r="J50">
        <v>91</v>
      </c>
      <c r="K50">
        <v>0</v>
      </c>
      <c r="L50" s="4">
        <v>0</v>
      </c>
      <c r="M50">
        <v>43.149999999999991</v>
      </c>
      <c r="N50">
        <v>920.9</v>
      </c>
      <c r="O50">
        <v>59</v>
      </c>
      <c r="P50" s="153" t="s">
        <v>131</v>
      </c>
    </row>
    <row r="51" spans="1:16" x14ac:dyDescent="0.25">
      <c r="A51" s="81">
        <v>44992</v>
      </c>
      <c r="B51" s="192" t="s">
        <v>11</v>
      </c>
      <c r="C51" s="153" t="s">
        <v>41</v>
      </c>
      <c r="D51">
        <v>2</v>
      </c>
      <c r="E51">
        <v>2</v>
      </c>
      <c r="F51">
        <v>-11.7</v>
      </c>
      <c r="G51"/>
      <c r="H51"/>
      <c r="I51" s="153" t="s">
        <v>45</v>
      </c>
      <c r="J51">
        <v>92</v>
      </c>
      <c r="K51">
        <v>1</v>
      </c>
      <c r="L51" s="4">
        <v>0</v>
      </c>
      <c r="M51">
        <v>43.149999999999991</v>
      </c>
      <c r="N51">
        <v>921.8</v>
      </c>
      <c r="O51">
        <v>63</v>
      </c>
      <c r="P51" s="153" t="s">
        <v>131</v>
      </c>
    </row>
    <row r="52" spans="1:16" x14ac:dyDescent="0.25">
      <c r="A52" s="81">
        <v>44992</v>
      </c>
      <c r="B52" s="192" t="s">
        <v>12</v>
      </c>
      <c r="C52" s="153" t="s">
        <v>41</v>
      </c>
      <c r="D52">
        <v>3</v>
      </c>
      <c r="E52">
        <v>4</v>
      </c>
      <c r="F52">
        <v>-9.9</v>
      </c>
      <c r="G52"/>
      <c r="H52"/>
      <c r="I52" s="153" t="s">
        <v>45</v>
      </c>
      <c r="J52">
        <v>93</v>
      </c>
      <c r="K52">
        <v>1</v>
      </c>
      <c r="L52" s="4">
        <v>0</v>
      </c>
      <c r="M52">
        <v>43.149999999999991</v>
      </c>
      <c r="N52">
        <v>922.2</v>
      </c>
      <c r="O52">
        <v>67</v>
      </c>
      <c r="P52" s="153" t="s">
        <v>131</v>
      </c>
    </row>
    <row r="53" spans="1:16" x14ac:dyDescent="0.25">
      <c r="A53" s="81">
        <v>44992</v>
      </c>
      <c r="B53" s="192" t="s">
        <v>13</v>
      </c>
      <c r="C53" s="153" t="s">
        <v>29</v>
      </c>
      <c r="D53">
        <v>3</v>
      </c>
      <c r="E53">
        <v>4</v>
      </c>
      <c r="F53">
        <v>-7.6</v>
      </c>
      <c r="G53"/>
      <c r="H53"/>
      <c r="I53" s="153" t="s">
        <v>45</v>
      </c>
      <c r="J53">
        <v>94</v>
      </c>
      <c r="K53">
        <v>1</v>
      </c>
      <c r="L53" s="4">
        <v>0</v>
      </c>
      <c r="M53">
        <v>43.149999999999991</v>
      </c>
      <c r="N53">
        <v>922</v>
      </c>
      <c r="O53">
        <v>71</v>
      </c>
      <c r="P53" s="153" t="s">
        <v>131</v>
      </c>
    </row>
    <row r="54" spans="1:16" x14ac:dyDescent="0.25">
      <c r="A54" s="81">
        <v>44992</v>
      </c>
      <c r="B54" s="192" t="s">
        <v>14</v>
      </c>
      <c r="C54" s="153" t="s">
        <v>40</v>
      </c>
      <c r="D54">
        <v>1</v>
      </c>
      <c r="E54">
        <v>2</v>
      </c>
      <c r="F54">
        <v>-9.1</v>
      </c>
      <c r="G54"/>
      <c r="H54"/>
      <c r="I54" s="153" t="s">
        <v>45</v>
      </c>
      <c r="J54">
        <v>91</v>
      </c>
      <c r="K54">
        <v>-3</v>
      </c>
      <c r="L54" s="4">
        <v>0</v>
      </c>
      <c r="M54">
        <v>43.149999999999991</v>
      </c>
      <c r="N54">
        <v>922.2</v>
      </c>
      <c r="O54">
        <v>69</v>
      </c>
      <c r="P54" s="153" t="s">
        <v>131</v>
      </c>
    </row>
    <row r="55" spans="1:16" x14ac:dyDescent="0.25">
      <c r="A55" s="81">
        <v>44992</v>
      </c>
      <c r="B55" s="192" t="s">
        <v>15</v>
      </c>
      <c r="C55" s="153" t="s">
        <v>29</v>
      </c>
      <c r="D55">
        <v>8</v>
      </c>
      <c r="E55">
        <v>12</v>
      </c>
      <c r="F55">
        <v>-3.1</v>
      </c>
      <c r="G55"/>
      <c r="H55"/>
      <c r="I55" s="153" t="s">
        <v>127</v>
      </c>
      <c r="J55">
        <v>95</v>
      </c>
      <c r="K55">
        <v>4</v>
      </c>
      <c r="L55" s="4">
        <v>0</v>
      </c>
      <c r="M55">
        <v>43.149999999999991</v>
      </c>
      <c r="N55">
        <v>922.7</v>
      </c>
      <c r="O55">
        <v>69</v>
      </c>
      <c r="P55" s="153" t="s">
        <v>131</v>
      </c>
    </row>
    <row r="56" spans="1:16" x14ac:dyDescent="0.25">
      <c r="A56" s="81">
        <v>44992</v>
      </c>
      <c r="B56" s="192" t="s">
        <v>16</v>
      </c>
      <c r="C56" s="153" t="s">
        <v>29</v>
      </c>
      <c r="D56">
        <v>6</v>
      </c>
      <c r="E56">
        <v>10</v>
      </c>
      <c r="F56">
        <v>-4.2</v>
      </c>
      <c r="G56"/>
      <c r="H56"/>
      <c r="I56" s="153" t="s">
        <v>45</v>
      </c>
      <c r="J56">
        <v>95</v>
      </c>
      <c r="K56">
        <v>0</v>
      </c>
      <c r="L56" s="4">
        <v>0</v>
      </c>
      <c r="M56">
        <v>43.149999999999991</v>
      </c>
      <c r="N56">
        <v>925.5</v>
      </c>
      <c r="O56">
        <v>69</v>
      </c>
      <c r="P56" s="153" t="s">
        <v>131</v>
      </c>
    </row>
    <row r="57" spans="1:16" x14ac:dyDescent="0.25">
      <c r="A57" s="81">
        <v>44992</v>
      </c>
      <c r="B57" s="192" t="s">
        <v>17</v>
      </c>
      <c r="C57" s="153" t="s">
        <v>41</v>
      </c>
      <c r="D57">
        <v>6</v>
      </c>
      <c r="E57">
        <v>8</v>
      </c>
      <c r="F57">
        <v>-5.8</v>
      </c>
      <c r="G57"/>
      <c r="H57"/>
      <c r="I57" s="153" t="s">
        <v>45</v>
      </c>
      <c r="J57">
        <v>94</v>
      </c>
      <c r="K57">
        <v>-1</v>
      </c>
      <c r="L57" s="4">
        <v>0</v>
      </c>
      <c r="M57">
        <v>43.149999999999991</v>
      </c>
      <c r="N57">
        <v>928.2</v>
      </c>
      <c r="O57">
        <v>66</v>
      </c>
      <c r="P57" s="153" t="s">
        <v>131</v>
      </c>
    </row>
    <row r="58" spans="1:16" x14ac:dyDescent="0.25">
      <c r="A58" s="81">
        <v>44993</v>
      </c>
      <c r="B58" s="192" t="s">
        <v>10</v>
      </c>
      <c r="C58" s="153" t="s">
        <v>41</v>
      </c>
      <c r="D58">
        <v>10</v>
      </c>
      <c r="E58">
        <v>15</v>
      </c>
      <c r="F58">
        <v>-6.7</v>
      </c>
      <c r="G58"/>
      <c r="H58"/>
      <c r="I58" s="153" t="s">
        <v>45</v>
      </c>
      <c r="J58">
        <v>93</v>
      </c>
      <c r="K58">
        <v>-1</v>
      </c>
      <c r="L58" s="4">
        <v>0</v>
      </c>
      <c r="M58">
        <v>43.149999999999991</v>
      </c>
      <c r="N58">
        <v>929</v>
      </c>
      <c r="O58">
        <v>57</v>
      </c>
      <c r="P58" s="153" t="s">
        <v>131</v>
      </c>
    </row>
    <row r="59" spans="1:16" x14ac:dyDescent="0.25">
      <c r="A59" s="81">
        <v>44993</v>
      </c>
      <c r="B59" s="192" t="s">
        <v>11</v>
      </c>
      <c r="C59" s="153" t="s">
        <v>29</v>
      </c>
      <c r="D59">
        <v>9</v>
      </c>
      <c r="E59">
        <v>12</v>
      </c>
      <c r="F59">
        <v>-7.1</v>
      </c>
      <c r="G59"/>
      <c r="H59"/>
      <c r="I59" s="153" t="s">
        <v>45</v>
      </c>
      <c r="J59">
        <v>93</v>
      </c>
      <c r="K59">
        <v>0</v>
      </c>
      <c r="L59" s="4">
        <v>0</v>
      </c>
      <c r="M59">
        <v>43.149999999999991</v>
      </c>
      <c r="N59">
        <v>930.3</v>
      </c>
      <c r="O59">
        <v>52</v>
      </c>
      <c r="P59" s="153" t="s">
        <v>131</v>
      </c>
    </row>
    <row r="60" spans="1:16" x14ac:dyDescent="0.25">
      <c r="A60" s="81">
        <v>44993</v>
      </c>
      <c r="B60" s="192" t="s">
        <v>12</v>
      </c>
      <c r="C60" s="153" t="s">
        <v>29</v>
      </c>
      <c r="D60">
        <v>1</v>
      </c>
      <c r="E60">
        <v>3</v>
      </c>
      <c r="F60">
        <v>-11.5</v>
      </c>
      <c r="G60"/>
      <c r="H60"/>
      <c r="I60" s="153" t="s">
        <v>45</v>
      </c>
      <c r="J60">
        <v>90</v>
      </c>
      <c r="K60">
        <v>-3</v>
      </c>
      <c r="L60" s="4">
        <v>0</v>
      </c>
      <c r="M60">
        <v>43.149999999999991</v>
      </c>
      <c r="N60">
        <v>931.9</v>
      </c>
      <c r="O60">
        <v>71</v>
      </c>
      <c r="P60" s="153" t="s">
        <v>131</v>
      </c>
    </row>
    <row r="61" spans="1:16" x14ac:dyDescent="0.25">
      <c r="A61" s="81">
        <v>44993</v>
      </c>
      <c r="B61" s="192" t="s">
        <v>13</v>
      </c>
      <c r="C61" s="153" t="s">
        <v>40</v>
      </c>
      <c r="D61">
        <v>1</v>
      </c>
      <c r="E61">
        <v>2</v>
      </c>
      <c r="F61">
        <v>-10.3</v>
      </c>
      <c r="G61"/>
      <c r="H61"/>
      <c r="I61" s="153" t="s">
        <v>45</v>
      </c>
      <c r="J61">
        <v>91</v>
      </c>
      <c r="K61">
        <v>1</v>
      </c>
      <c r="L61" s="4">
        <v>0</v>
      </c>
      <c r="M61">
        <v>43.149999999999991</v>
      </c>
      <c r="N61">
        <v>932.8</v>
      </c>
      <c r="O61">
        <v>66</v>
      </c>
      <c r="P61" s="153" t="s">
        <v>131</v>
      </c>
    </row>
    <row r="62" spans="1:16" x14ac:dyDescent="0.25">
      <c r="A62" s="81">
        <v>44993</v>
      </c>
      <c r="B62" s="192" t="s">
        <v>14</v>
      </c>
      <c r="C62" s="153" t="s">
        <v>39</v>
      </c>
      <c r="D62">
        <v>1</v>
      </c>
      <c r="E62">
        <v>2</v>
      </c>
      <c r="F62">
        <v>-6.9</v>
      </c>
      <c r="G62"/>
      <c r="H62"/>
      <c r="I62" s="153" t="s">
        <v>45</v>
      </c>
      <c r="J62">
        <v>93</v>
      </c>
      <c r="K62">
        <v>2</v>
      </c>
      <c r="L62" s="4">
        <v>0</v>
      </c>
      <c r="M62">
        <v>43.149999999999991</v>
      </c>
      <c r="N62">
        <v>932.9</v>
      </c>
      <c r="O62">
        <v>70</v>
      </c>
      <c r="P62" s="153" t="s">
        <v>131</v>
      </c>
    </row>
    <row r="63" spans="1:16" x14ac:dyDescent="0.25">
      <c r="A63" s="81">
        <v>44993</v>
      </c>
      <c r="B63" s="192" t="s">
        <v>15</v>
      </c>
      <c r="C63" s="153" t="s">
        <v>36</v>
      </c>
      <c r="D63">
        <v>1</v>
      </c>
      <c r="E63">
        <v>2</v>
      </c>
      <c r="F63">
        <v>-7</v>
      </c>
      <c r="G63"/>
      <c r="H63"/>
      <c r="I63" s="153" t="s">
        <v>45</v>
      </c>
      <c r="J63">
        <v>93</v>
      </c>
      <c r="K63">
        <v>0</v>
      </c>
      <c r="L63" s="4">
        <v>0</v>
      </c>
      <c r="M63">
        <v>43.149999999999991</v>
      </c>
      <c r="N63">
        <v>932.3</v>
      </c>
      <c r="O63">
        <v>73</v>
      </c>
      <c r="P63" s="153" t="s">
        <v>131</v>
      </c>
    </row>
    <row r="64" spans="1:16" x14ac:dyDescent="0.25">
      <c r="A64" s="81">
        <v>44993</v>
      </c>
      <c r="B64" s="192" t="s">
        <v>16</v>
      </c>
      <c r="C64" s="153" t="s">
        <v>36</v>
      </c>
      <c r="D64">
        <v>0</v>
      </c>
      <c r="E64">
        <v>1</v>
      </c>
      <c r="F64">
        <v>-8.1</v>
      </c>
      <c r="G64"/>
      <c r="H64"/>
      <c r="I64" s="153" t="s">
        <v>130</v>
      </c>
      <c r="J64">
        <v>90</v>
      </c>
      <c r="K64">
        <v>-3</v>
      </c>
      <c r="L64" s="4">
        <v>0</v>
      </c>
      <c r="M64">
        <v>43.149999999999991</v>
      </c>
      <c r="N64">
        <v>931.7</v>
      </c>
      <c r="O64">
        <v>91</v>
      </c>
      <c r="P64" s="153" t="s">
        <v>131</v>
      </c>
    </row>
    <row r="65" spans="1:16" x14ac:dyDescent="0.25">
      <c r="A65" s="81">
        <v>44993</v>
      </c>
      <c r="B65" s="192" t="s">
        <v>17</v>
      </c>
      <c r="C65" s="153" t="s">
        <v>36</v>
      </c>
      <c r="D65">
        <v>1</v>
      </c>
      <c r="E65">
        <v>1</v>
      </c>
      <c r="F65">
        <v>-7.8</v>
      </c>
      <c r="G65"/>
      <c r="H65"/>
      <c r="I65" s="153" t="s">
        <v>130</v>
      </c>
      <c r="J65">
        <v>95</v>
      </c>
      <c r="K65">
        <v>5</v>
      </c>
      <c r="L65" s="4">
        <v>0</v>
      </c>
      <c r="M65">
        <v>43.149999999999991</v>
      </c>
      <c r="N65">
        <v>931.4</v>
      </c>
      <c r="O65">
        <v>91</v>
      </c>
      <c r="P65" s="153" t="s">
        <v>131</v>
      </c>
    </row>
    <row r="66" spans="1:16" x14ac:dyDescent="0.25">
      <c r="A66" s="81">
        <v>44994</v>
      </c>
      <c r="B66" s="192" t="s">
        <v>10</v>
      </c>
      <c r="C66" s="153" t="s">
        <v>40</v>
      </c>
      <c r="D66">
        <v>0</v>
      </c>
      <c r="E66">
        <v>1</v>
      </c>
      <c r="F66">
        <v>-7.1</v>
      </c>
      <c r="G66"/>
      <c r="H66"/>
      <c r="I66" s="153" t="s">
        <v>130</v>
      </c>
      <c r="J66">
        <v>99</v>
      </c>
      <c r="K66">
        <v>4</v>
      </c>
      <c r="L66" s="4">
        <v>0</v>
      </c>
      <c r="M66">
        <v>43.149999999999991</v>
      </c>
      <c r="N66">
        <v>930.8</v>
      </c>
      <c r="O66">
        <v>89</v>
      </c>
      <c r="P66" s="153" t="s">
        <v>131</v>
      </c>
    </row>
    <row r="67" spans="1:16" x14ac:dyDescent="0.25">
      <c r="A67" s="81">
        <v>44994</v>
      </c>
      <c r="B67" s="192" t="s">
        <v>11</v>
      </c>
      <c r="C67" s="153" t="s">
        <v>41</v>
      </c>
      <c r="D67">
        <v>2</v>
      </c>
      <c r="E67">
        <v>3</v>
      </c>
      <c r="F67">
        <v>-10.4</v>
      </c>
      <c r="G67"/>
      <c r="H67"/>
      <c r="I67" s="153" t="s">
        <v>45</v>
      </c>
      <c r="J67">
        <v>98</v>
      </c>
      <c r="K67">
        <v>-1</v>
      </c>
      <c r="L67" s="4">
        <v>0</v>
      </c>
      <c r="M67">
        <v>43.149999999999991</v>
      </c>
      <c r="N67">
        <v>930.9</v>
      </c>
      <c r="O67">
        <v>86</v>
      </c>
      <c r="P67" s="153" t="s">
        <v>131</v>
      </c>
    </row>
    <row r="68" spans="1:16" x14ac:dyDescent="0.25">
      <c r="A68" s="81">
        <v>44994</v>
      </c>
      <c r="B68" s="192" t="s">
        <v>12</v>
      </c>
      <c r="C68" s="153" t="s">
        <v>42</v>
      </c>
      <c r="D68">
        <v>1</v>
      </c>
      <c r="E68">
        <v>3</v>
      </c>
      <c r="F68">
        <v>-9.6999999999999993</v>
      </c>
      <c r="G68"/>
      <c r="H68"/>
      <c r="I68" s="153" t="s">
        <v>45</v>
      </c>
      <c r="J68">
        <v>98</v>
      </c>
      <c r="K68">
        <v>0</v>
      </c>
      <c r="L68" s="4">
        <v>0</v>
      </c>
      <c r="M68">
        <v>43.149999999999991</v>
      </c>
      <c r="N68">
        <v>932</v>
      </c>
      <c r="O68">
        <v>83</v>
      </c>
      <c r="P68" s="153" t="s">
        <v>131</v>
      </c>
    </row>
    <row r="69" spans="1:16" x14ac:dyDescent="0.25">
      <c r="A69" s="81">
        <v>44994</v>
      </c>
      <c r="B69" s="192" t="s">
        <v>13</v>
      </c>
      <c r="C69" s="153" t="s">
        <v>41</v>
      </c>
      <c r="D69">
        <v>6</v>
      </c>
      <c r="E69">
        <v>9</v>
      </c>
      <c r="F69">
        <v>-6.1</v>
      </c>
      <c r="G69"/>
      <c r="H69"/>
      <c r="I69" s="153" t="s">
        <v>127</v>
      </c>
      <c r="J69">
        <v>101</v>
      </c>
      <c r="K69">
        <v>3</v>
      </c>
      <c r="L69" s="4">
        <v>0</v>
      </c>
      <c r="M69">
        <v>43.149999999999991</v>
      </c>
      <c r="N69">
        <v>934</v>
      </c>
      <c r="O69">
        <v>71</v>
      </c>
      <c r="P69" s="153" t="s">
        <v>131</v>
      </c>
    </row>
    <row r="70" spans="1:16" x14ac:dyDescent="0.25">
      <c r="A70" s="81">
        <v>44994</v>
      </c>
      <c r="B70" s="192" t="s">
        <v>14</v>
      </c>
      <c r="C70" s="153" t="s">
        <v>41</v>
      </c>
      <c r="D70">
        <v>0</v>
      </c>
      <c r="E70">
        <v>1</v>
      </c>
      <c r="F70">
        <v>-7.3</v>
      </c>
      <c r="G70"/>
      <c r="H70"/>
      <c r="I70" s="153" t="s">
        <v>45</v>
      </c>
      <c r="J70">
        <v>100</v>
      </c>
      <c r="K70">
        <v>-1</v>
      </c>
      <c r="L70" s="4">
        <v>0</v>
      </c>
      <c r="M70">
        <v>43.149999999999991</v>
      </c>
      <c r="N70">
        <v>935.6</v>
      </c>
      <c r="O70">
        <v>88</v>
      </c>
      <c r="P70" s="153" t="s">
        <v>131</v>
      </c>
    </row>
    <row r="71" spans="1:16" x14ac:dyDescent="0.25">
      <c r="A71" s="81">
        <v>44994</v>
      </c>
      <c r="B71" s="192" t="s">
        <v>15</v>
      </c>
      <c r="C71" s="153" t="s">
        <v>29</v>
      </c>
      <c r="D71">
        <v>0</v>
      </c>
      <c r="E71">
        <v>1</v>
      </c>
      <c r="F71">
        <v>-5.5</v>
      </c>
      <c r="G71"/>
      <c r="H71"/>
      <c r="I71" s="153" t="s">
        <v>45</v>
      </c>
      <c r="J71">
        <v>101</v>
      </c>
      <c r="K71">
        <v>1</v>
      </c>
      <c r="L71" s="4">
        <v>0</v>
      </c>
      <c r="M71">
        <v>43.149999999999991</v>
      </c>
      <c r="N71">
        <v>935.6</v>
      </c>
      <c r="O71">
        <v>78</v>
      </c>
      <c r="P71" s="153" t="s">
        <v>131</v>
      </c>
    </row>
    <row r="72" spans="1:16" x14ac:dyDescent="0.25">
      <c r="A72" s="81">
        <v>44994</v>
      </c>
      <c r="B72" s="192" t="s">
        <v>16</v>
      </c>
      <c r="C72" s="153" t="s">
        <v>29</v>
      </c>
      <c r="D72">
        <v>2</v>
      </c>
      <c r="E72">
        <v>2</v>
      </c>
      <c r="F72">
        <v>-7</v>
      </c>
      <c r="G72"/>
      <c r="H72"/>
      <c r="I72" s="153" t="s">
        <v>45</v>
      </c>
      <c r="J72">
        <v>100</v>
      </c>
      <c r="K72">
        <v>-1</v>
      </c>
      <c r="L72" s="4">
        <v>0</v>
      </c>
      <c r="M72">
        <v>43.149999999999991</v>
      </c>
      <c r="N72">
        <v>936.7</v>
      </c>
      <c r="O72">
        <v>93</v>
      </c>
      <c r="P72" s="153" t="s">
        <v>131</v>
      </c>
    </row>
    <row r="73" spans="1:16" x14ac:dyDescent="0.25">
      <c r="A73" s="81">
        <v>44994</v>
      </c>
      <c r="B73" s="192" t="s">
        <v>17</v>
      </c>
      <c r="C73" s="153" t="s">
        <v>29</v>
      </c>
      <c r="D73">
        <v>1</v>
      </c>
      <c r="E73">
        <v>3</v>
      </c>
      <c r="F73">
        <v>-7.7</v>
      </c>
      <c r="G73"/>
      <c r="H73"/>
      <c r="I73" s="153" t="s">
        <v>45</v>
      </c>
      <c r="J73">
        <v>97</v>
      </c>
      <c r="K73">
        <v>-3</v>
      </c>
      <c r="L73" s="4">
        <v>0</v>
      </c>
      <c r="M73">
        <v>43.149999999999991</v>
      </c>
      <c r="N73">
        <v>938.5</v>
      </c>
      <c r="O73">
        <v>93</v>
      </c>
      <c r="P73" s="153" t="s">
        <v>131</v>
      </c>
    </row>
    <row r="74" spans="1:16" x14ac:dyDescent="0.25">
      <c r="A74" s="81">
        <v>44995</v>
      </c>
      <c r="B74" s="192" t="s">
        <v>10</v>
      </c>
      <c r="C74" s="153" t="s">
        <v>41</v>
      </c>
      <c r="D74">
        <v>2</v>
      </c>
      <c r="E74">
        <v>4</v>
      </c>
      <c r="F74">
        <v>-8.1999999999999993</v>
      </c>
      <c r="G74"/>
      <c r="H74"/>
      <c r="I74" s="153" t="s">
        <v>127</v>
      </c>
      <c r="J74">
        <v>102</v>
      </c>
      <c r="K74">
        <v>5</v>
      </c>
      <c r="L74" s="4">
        <v>0</v>
      </c>
      <c r="M74">
        <v>43.149999999999991</v>
      </c>
      <c r="N74">
        <v>940.6</v>
      </c>
      <c r="O74">
        <v>71</v>
      </c>
      <c r="P74" s="153" t="s">
        <v>131</v>
      </c>
    </row>
    <row r="75" spans="1:16" x14ac:dyDescent="0.25">
      <c r="A75" s="81">
        <v>44995</v>
      </c>
      <c r="B75" s="192" t="s">
        <v>11</v>
      </c>
      <c r="C75" s="153" t="s">
        <v>41</v>
      </c>
      <c r="D75">
        <v>3</v>
      </c>
      <c r="E75">
        <v>4</v>
      </c>
      <c r="F75">
        <v>-11.6</v>
      </c>
      <c r="G75"/>
      <c r="H75"/>
      <c r="I75" s="153" t="s">
        <v>127</v>
      </c>
      <c r="J75">
        <v>99</v>
      </c>
      <c r="K75">
        <v>-3</v>
      </c>
      <c r="L75" s="4">
        <v>0</v>
      </c>
      <c r="M75">
        <v>43.149999999999991</v>
      </c>
      <c r="N75">
        <v>942.8</v>
      </c>
      <c r="O75">
        <v>79</v>
      </c>
      <c r="P75" s="153" t="s">
        <v>131</v>
      </c>
    </row>
    <row r="76" spans="1:16" x14ac:dyDescent="0.25">
      <c r="A76" s="81">
        <v>44995</v>
      </c>
      <c r="B76" s="192" t="s">
        <v>12</v>
      </c>
      <c r="C76" s="153" t="s">
        <v>41</v>
      </c>
      <c r="D76">
        <v>4</v>
      </c>
      <c r="E76">
        <v>4</v>
      </c>
      <c r="F76">
        <v>-12</v>
      </c>
      <c r="G76"/>
      <c r="H76"/>
      <c r="I76" s="153" t="s">
        <v>45</v>
      </c>
      <c r="J76">
        <v>99</v>
      </c>
      <c r="K76">
        <v>0</v>
      </c>
      <c r="L76" s="4">
        <v>0</v>
      </c>
      <c r="M76">
        <v>43.149999999999991</v>
      </c>
      <c r="N76">
        <v>944.4</v>
      </c>
      <c r="O76">
        <v>71</v>
      </c>
      <c r="P76" s="153" t="s">
        <v>131</v>
      </c>
    </row>
    <row r="77" spans="1:16" x14ac:dyDescent="0.25">
      <c r="A77" s="81">
        <v>44995</v>
      </c>
      <c r="B77" s="192" t="s">
        <v>13</v>
      </c>
      <c r="C77" s="153" t="s">
        <v>41</v>
      </c>
      <c r="D77">
        <v>3</v>
      </c>
      <c r="E77">
        <v>4</v>
      </c>
      <c r="F77">
        <v>-9.6999999999999993</v>
      </c>
      <c r="G77"/>
      <c r="H77"/>
      <c r="I77" s="153" t="s">
        <v>45</v>
      </c>
      <c r="J77">
        <v>101</v>
      </c>
      <c r="K77">
        <v>2</v>
      </c>
      <c r="L77" s="4">
        <v>0</v>
      </c>
      <c r="M77">
        <v>43.149999999999991</v>
      </c>
      <c r="N77">
        <v>945.9</v>
      </c>
      <c r="O77">
        <v>65</v>
      </c>
      <c r="P77" s="153" t="s">
        <v>131</v>
      </c>
    </row>
    <row r="78" spans="1:16" x14ac:dyDescent="0.25">
      <c r="A78" s="81">
        <v>44995</v>
      </c>
      <c r="B78" s="192" t="s">
        <v>14</v>
      </c>
      <c r="C78" s="153" t="s">
        <v>40</v>
      </c>
      <c r="D78">
        <v>2</v>
      </c>
      <c r="E78">
        <v>3</v>
      </c>
      <c r="F78">
        <v>-7.8</v>
      </c>
      <c r="G78"/>
      <c r="H78"/>
      <c r="I78" s="153" t="s">
        <v>45</v>
      </c>
      <c r="J78">
        <v>102</v>
      </c>
      <c r="K78">
        <v>1</v>
      </c>
      <c r="L78" s="4">
        <v>0</v>
      </c>
      <c r="M78">
        <v>43.149999999999991</v>
      </c>
      <c r="N78">
        <v>946.8</v>
      </c>
      <c r="O78">
        <v>67</v>
      </c>
      <c r="P78" s="153" t="s">
        <v>131</v>
      </c>
    </row>
    <row r="79" spans="1:16" x14ac:dyDescent="0.25">
      <c r="A79" s="81">
        <v>44995</v>
      </c>
      <c r="B79" s="192" t="s">
        <v>15</v>
      </c>
      <c r="C79" s="153" t="s">
        <v>40</v>
      </c>
      <c r="D79">
        <v>1</v>
      </c>
      <c r="E79">
        <v>1</v>
      </c>
      <c r="F79">
        <v>-6.6</v>
      </c>
      <c r="G79"/>
      <c r="H79"/>
      <c r="I79" s="153" t="s">
        <v>45</v>
      </c>
      <c r="J79">
        <v>102</v>
      </c>
      <c r="K79">
        <v>0</v>
      </c>
      <c r="L79" s="4">
        <v>0</v>
      </c>
      <c r="M79">
        <v>43.149999999999991</v>
      </c>
      <c r="N79">
        <v>947</v>
      </c>
      <c r="O79">
        <v>65</v>
      </c>
      <c r="P79" s="153" t="s">
        <v>131</v>
      </c>
    </row>
    <row r="80" spans="1:16" x14ac:dyDescent="0.25">
      <c r="A80" s="81">
        <v>44995</v>
      </c>
      <c r="B80" s="192" t="s">
        <v>16</v>
      </c>
      <c r="C80" s="153" t="s">
        <v>37</v>
      </c>
      <c r="D80">
        <v>1</v>
      </c>
      <c r="E80">
        <v>1</v>
      </c>
      <c r="F80">
        <v>-7.8</v>
      </c>
      <c r="G80"/>
      <c r="H80"/>
      <c r="I80" s="153" t="s">
        <v>130</v>
      </c>
      <c r="J80">
        <v>102</v>
      </c>
      <c r="K80">
        <v>0</v>
      </c>
      <c r="L80" s="4">
        <v>0</v>
      </c>
      <c r="M80">
        <v>43.149999999999991</v>
      </c>
      <c r="N80">
        <v>947.7</v>
      </c>
      <c r="O80">
        <v>85</v>
      </c>
      <c r="P80" s="153" t="s">
        <v>131</v>
      </c>
    </row>
    <row r="81" spans="1:16" x14ac:dyDescent="0.25">
      <c r="A81" s="81">
        <v>44995</v>
      </c>
      <c r="B81" s="192" t="s">
        <v>17</v>
      </c>
      <c r="C81" s="153" t="s">
        <v>131</v>
      </c>
      <c r="D81">
        <v>0</v>
      </c>
      <c r="E81">
        <v>0</v>
      </c>
      <c r="F81">
        <v>-8.3000000000000007</v>
      </c>
      <c r="G81"/>
      <c r="H81"/>
      <c r="I81" s="153" t="s">
        <v>130</v>
      </c>
      <c r="J81">
        <v>96</v>
      </c>
      <c r="K81">
        <v>-6</v>
      </c>
      <c r="L81" s="4">
        <v>0</v>
      </c>
      <c r="M81">
        <v>43.149999999999991</v>
      </c>
      <c r="N81">
        <v>948.4</v>
      </c>
      <c r="O81">
        <v>88</v>
      </c>
      <c r="P81" s="153" t="s">
        <v>131</v>
      </c>
    </row>
    <row r="82" spans="1:16" x14ac:dyDescent="0.25">
      <c r="A82" s="81">
        <v>44996</v>
      </c>
      <c r="B82" s="192" t="s">
        <v>10</v>
      </c>
      <c r="C82" s="153" t="s">
        <v>36</v>
      </c>
      <c r="D82">
        <v>2</v>
      </c>
      <c r="E82">
        <v>3</v>
      </c>
      <c r="F82">
        <v>-8.1999999999999993</v>
      </c>
      <c r="G82"/>
      <c r="H82"/>
      <c r="I82" s="153" t="s">
        <v>130</v>
      </c>
      <c r="J82">
        <v>101</v>
      </c>
      <c r="K82">
        <v>5</v>
      </c>
      <c r="L82" s="4">
        <v>0</v>
      </c>
      <c r="M82">
        <v>43.149999999999991</v>
      </c>
      <c r="N82">
        <v>948.4</v>
      </c>
      <c r="O82">
        <v>86</v>
      </c>
      <c r="P82" s="153" t="s">
        <v>131</v>
      </c>
    </row>
    <row r="83" spans="1:16" x14ac:dyDescent="0.25">
      <c r="A83" s="81">
        <v>44996</v>
      </c>
      <c r="B83" s="192" t="s">
        <v>11</v>
      </c>
      <c r="C83" s="153" t="s">
        <v>36</v>
      </c>
      <c r="D83">
        <v>1</v>
      </c>
      <c r="E83">
        <v>2</v>
      </c>
      <c r="F83">
        <v>-8.3000000000000007</v>
      </c>
      <c r="G83"/>
      <c r="H83"/>
      <c r="I83" s="153" t="s">
        <v>45</v>
      </c>
      <c r="J83">
        <v>101</v>
      </c>
      <c r="K83">
        <v>0</v>
      </c>
      <c r="L83" s="4">
        <v>0</v>
      </c>
      <c r="M83">
        <v>43.149999999999991</v>
      </c>
      <c r="N83">
        <v>947.9</v>
      </c>
      <c r="O83">
        <v>85</v>
      </c>
      <c r="P83" s="153" t="s">
        <v>131</v>
      </c>
    </row>
    <row r="84" spans="1:16" x14ac:dyDescent="0.25">
      <c r="A84" s="81">
        <v>44996</v>
      </c>
      <c r="B84" s="192" t="s">
        <v>12</v>
      </c>
      <c r="C84" s="153" t="s">
        <v>40</v>
      </c>
      <c r="D84">
        <v>1</v>
      </c>
      <c r="E84">
        <v>2</v>
      </c>
      <c r="F84">
        <v>-9.6</v>
      </c>
      <c r="G84"/>
      <c r="H84"/>
      <c r="I84" s="153" t="s">
        <v>45</v>
      </c>
      <c r="J84">
        <v>100</v>
      </c>
      <c r="K84">
        <v>-1</v>
      </c>
      <c r="L84" s="4">
        <v>0</v>
      </c>
      <c r="M84">
        <v>43.149999999999991</v>
      </c>
      <c r="N84">
        <v>948.3</v>
      </c>
      <c r="O84">
        <v>86</v>
      </c>
      <c r="P84" s="153" t="s">
        <v>131</v>
      </c>
    </row>
    <row r="85" spans="1:16" x14ac:dyDescent="0.25">
      <c r="A85" s="81">
        <v>44996</v>
      </c>
      <c r="B85" s="192" t="s">
        <v>13</v>
      </c>
      <c r="C85" s="153" t="s">
        <v>41</v>
      </c>
      <c r="D85">
        <v>3</v>
      </c>
      <c r="E85">
        <v>4</v>
      </c>
      <c r="F85">
        <v>-12.2</v>
      </c>
      <c r="G85"/>
      <c r="H85"/>
      <c r="I85" s="153" t="s">
        <v>45</v>
      </c>
      <c r="J85">
        <v>99</v>
      </c>
      <c r="K85">
        <v>-1</v>
      </c>
      <c r="L85" s="4">
        <v>0</v>
      </c>
      <c r="M85">
        <v>43.149999999999991</v>
      </c>
      <c r="N85">
        <v>948.7</v>
      </c>
      <c r="O85">
        <v>84</v>
      </c>
      <c r="P85" s="153" t="s">
        <v>131</v>
      </c>
    </row>
    <row r="86" spans="1:16" x14ac:dyDescent="0.25">
      <c r="A86" s="81">
        <v>44996</v>
      </c>
      <c r="B86" s="192" t="s">
        <v>14</v>
      </c>
      <c r="C86" s="153" t="s">
        <v>41</v>
      </c>
      <c r="D86">
        <v>3</v>
      </c>
      <c r="E86">
        <v>3</v>
      </c>
      <c r="F86">
        <v>-8.6999999999999993</v>
      </c>
      <c r="G86"/>
      <c r="H86"/>
      <c r="I86" s="153" t="s">
        <v>45</v>
      </c>
      <c r="J86">
        <v>99</v>
      </c>
      <c r="K86">
        <v>0</v>
      </c>
      <c r="L86" s="4">
        <v>0</v>
      </c>
      <c r="M86">
        <v>43.149999999999991</v>
      </c>
      <c r="N86">
        <v>948.7</v>
      </c>
      <c r="O86">
        <v>75</v>
      </c>
      <c r="P86" s="153" t="s">
        <v>131</v>
      </c>
    </row>
    <row r="87" spans="1:16" x14ac:dyDescent="0.25">
      <c r="A87" s="81">
        <v>44996</v>
      </c>
      <c r="B87" s="192" t="s">
        <v>15</v>
      </c>
      <c r="C87" s="153" t="s">
        <v>41</v>
      </c>
      <c r="D87">
        <v>0</v>
      </c>
      <c r="E87">
        <v>1</v>
      </c>
      <c r="F87">
        <v>-7.3</v>
      </c>
      <c r="G87"/>
      <c r="H87"/>
      <c r="I87" s="153" t="s">
        <v>45</v>
      </c>
      <c r="J87">
        <v>100</v>
      </c>
      <c r="K87">
        <v>1</v>
      </c>
      <c r="L87" s="4">
        <v>0</v>
      </c>
      <c r="M87">
        <v>43.149999999999991</v>
      </c>
      <c r="N87">
        <v>948.1</v>
      </c>
      <c r="O87">
        <v>70</v>
      </c>
      <c r="P87" s="153" t="s">
        <v>131</v>
      </c>
    </row>
    <row r="88" spans="1:16" x14ac:dyDescent="0.25">
      <c r="A88" s="81">
        <v>44996</v>
      </c>
      <c r="B88" s="192" t="s">
        <v>16</v>
      </c>
      <c r="C88" s="153" t="s">
        <v>41</v>
      </c>
      <c r="D88">
        <v>2</v>
      </c>
      <c r="E88">
        <v>3</v>
      </c>
      <c r="F88">
        <v>-10.4</v>
      </c>
      <c r="G88"/>
      <c r="H88"/>
      <c r="I88" s="153" t="s">
        <v>45</v>
      </c>
      <c r="J88">
        <v>100</v>
      </c>
      <c r="K88">
        <v>0</v>
      </c>
      <c r="L88" s="4">
        <v>0</v>
      </c>
      <c r="M88">
        <v>43.149999999999991</v>
      </c>
      <c r="N88">
        <v>949.1</v>
      </c>
      <c r="O88">
        <v>74</v>
      </c>
      <c r="P88" s="153" t="s">
        <v>131</v>
      </c>
    </row>
    <row r="89" spans="1:16" x14ac:dyDescent="0.25">
      <c r="A89" s="81">
        <v>44996</v>
      </c>
      <c r="B89" s="192" t="s">
        <v>17</v>
      </c>
      <c r="C89" s="153" t="s">
        <v>41</v>
      </c>
      <c r="D89">
        <v>3</v>
      </c>
      <c r="E89">
        <v>3</v>
      </c>
      <c r="F89">
        <v>-11</v>
      </c>
      <c r="G89"/>
      <c r="H89"/>
      <c r="I89" s="153" t="s">
        <v>45</v>
      </c>
      <c r="J89">
        <v>100</v>
      </c>
      <c r="K89">
        <v>0</v>
      </c>
      <c r="L89" s="4">
        <v>0</v>
      </c>
      <c r="M89">
        <v>43.149999999999991</v>
      </c>
      <c r="N89">
        <v>950.5</v>
      </c>
      <c r="O89">
        <v>73</v>
      </c>
      <c r="P89" s="153" t="s">
        <v>131</v>
      </c>
    </row>
    <row r="90" spans="1:16" x14ac:dyDescent="0.25">
      <c r="A90" s="81">
        <v>44997</v>
      </c>
      <c r="B90" s="192" t="s">
        <v>10</v>
      </c>
      <c r="C90" s="153" t="s">
        <v>41</v>
      </c>
      <c r="D90">
        <v>3</v>
      </c>
      <c r="E90">
        <v>4</v>
      </c>
      <c r="F90">
        <v>-10.9</v>
      </c>
      <c r="G90"/>
      <c r="H90"/>
      <c r="I90" s="153" t="s">
        <v>45</v>
      </c>
      <c r="J90">
        <v>100</v>
      </c>
      <c r="K90">
        <v>0</v>
      </c>
      <c r="L90" s="4">
        <v>0</v>
      </c>
      <c r="M90">
        <v>43.149999999999991</v>
      </c>
      <c r="N90">
        <v>950.6</v>
      </c>
      <c r="O90">
        <v>63</v>
      </c>
      <c r="P90" s="153" t="s">
        <v>131</v>
      </c>
    </row>
    <row r="91" spans="1:16" x14ac:dyDescent="0.25">
      <c r="A91" s="81">
        <v>44997</v>
      </c>
      <c r="B91" s="192" t="s">
        <v>11</v>
      </c>
      <c r="C91" s="153" t="s">
        <v>42</v>
      </c>
      <c r="D91">
        <v>4</v>
      </c>
      <c r="E91">
        <v>4</v>
      </c>
      <c r="F91">
        <v>-12.1</v>
      </c>
      <c r="G91"/>
      <c r="H91"/>
      <c r="I91" s="153" t="s">
        <v>45</v>
      </c>
      <c r="J91">
        <v>99</v>
      </c>
      <c r="K91">
        <v>-1</v>
      </c>
      <c r="L91" s="4">
        <v>0</v>
      </c>
      <c r="M91">
        <v>43.149999999999991</v>
      </c>
      <c r="N91">
        <v>950.3</v>
      </c>
      <c r="O91">
        <v>55</v>
      </c>
      <c r="P91" s="153" t="s">
        <v>131</v>
      </c>
    </row>
    <row r="92" spans="1:16" x14ac:dyDescent="0.25">
      <c r="A92" s="81">
        <v>44997</v>
      </c>
      <c r="B92" s="192" t="s">
        <v>12</v>
      </c>
      <c r="C92" s="153" t="s">
        <v>42</v>
      </c>
      <c r="D92">
        <v>3</v>
      </c>
      <c r="E92">
        <v>4</v>
      </c>
      <c r="F92">
        <v>-13</v>
      </c>
      <c r="G92"/>
      <c r="H92"/>
      <c r="I92" s="153" t="s">
        <v>45</v>
      </c>
      <c r="J92">
        <v>97</v>
      </c>
      <c r="K92">
        <v>-2</v>
      </c>
      <c r="L92" s="4">
        <v>0</v>
      </c>
      <c r="M92">
        <v>43.149999999999991</v>
      </c>
      <c r="N92">
        <v>950.8</v>
      </c>
      <c r="O92">
        <v>55</v>
      </c>
      <c r="P92" s="153" t="s">
        <v>131</v>
      </c>
    </row>
    <row r="93" spans="1:16" x14ac:dyDescent="0.25">
      <c r="A93" s="81">
        <v>44997</v>
      </c>
      <c r="B93" s="192" t="s">
        <v>13</v>
      </c>
      <c r="C93" s="153" t="s">
        <v>41</v>
      </c>
      <c r="D93">
        <v>3</v>
      </c>
      <c r="E93">
        <v>4</v>
      </c>
      <c r="F93">
        <v>-12.6</v>
      </c>
      <c r="G93"/>
      <c r="H93"/>
      <c r="I93" s="153" t="s">
        <v>45</v>
      </c>
      <c r="J93">
        <v>97</v>
      </c>
      <c r="K93">
        <v>0</v>
      </c>
      <c r="L93" s="4">
        <v>0</v>
      </c>
      <c r="M93">
        <v>43.149999999999991</v>
      </c>
      <c r="N93">
        <v>951.7</v>
      </c>
      <c r="O93">
        <v>50</v>
      </c>
      <c r="P93" s="153" t="s">
        <v>131</v>
      </c>
    </row>
    <row r="94" spans="1:16" x14ac:dyDescent="0.25">
      <c r="A94" s="81">
        <v>44997</v>
      </c>
      <c r="B94" s="192" t="s">
        <v>14</v>
      </c>
      <c r="C94" s="153" t="s">
        <v>41</v>
      </c>
      <c r="D94">
        <v>2</v>
      </c>
      <c r="E94">
        <v>3</v>
      </c>
      <c r="F94">
        <v>-10.3</v>
      </c>
      <c r="G94"/>
      <c r="H94"/>
      <c r="I94" s="153" t="s">
        <v>45</v>
      </c>
      <c r="J94">
        <v>99</v>
      </c>
      <c r="K94">
        <v>2</v>
      </c>
      <c r="L94" s="4">
        <v>0</v>
      </c>
      <c r="M94">
        <v>43.149999999999991</v>
      </c>
      <c r="N94">
        <v>951.5</v>
      </c>
      <c r="O94">
        <v>50</v>
      </c>
      <c r="P94" s="153" t="s">
        <v>131</v>
      </c>
    </row>
    <row r="95" spans="1:16" x14ac:dyDescent="0.25">
      <c r="A95" s="81">
        <v>44997</v>
      </c>
      <c r="B95" s="192" t="s">
        <v>15</v>
      </c>
      <c r="C95" s="153" t="s">
        <v>41</v>
      </c>
      <c r="D95">
        <v>2</v>
      </c>
      <c r="E95">
        <v>3</v>
      </c>
      <c r="F95">
        <v>-8.1999999999999993</v>
      </c>
      <c r="G95"/>
      <c r="H95"/>
      <c r="I95" s="153" t="s">
        <v>45</v>
      </c>
      <c r="J95">
        <v>98</v>
      </c>
      <c r="K95">
        <v>-1</v>
      </c>
      <c r="L95" s="4">
        <v>0</v>
      </c>
      <c r="M95">
        <v>43.149999999999991</v>
      </c>
      <c r="N95">
        <v>950.7</v>
      </c>
      <c r="O95">
        <v>52</v>
      </c>
      <c r="P95" s="153" t="s">
        <v>131</v>
      </c>
    </row>
    <row r="96" spans="1:16" x14ac:dyDescent="0.25">
      <c r="A96" s="81">
        <v>44997</v>
      </c>
      <c r="B96" s="192" t="s">
        <v>16</v>
      </c>
      <c r="C96" s="153" t="s">
        <v>41</v>
      </c>
      <c r="D96">
        <v>4</v>
      </c>
      <c r="E96">
        <v>5</v>
      </c>
      <c r="F96">
        <v>-11.3</v>
      </c>
      <c r="G96"/>
      <c r="H96"/>
      <c r="I96" s="153" t="s">
        <v>45</v>
      </c>
      <c r="J96">
        <v>95</v>
      </c>
      <c r="K96">
        <v>-3</v>
      </c>
      <c r="L96" s="4">
        <v>0</v>
      </c>
      <c r="M96">
        <v>43.149999999999991</v>
      </c>
      <c r="N96">
        <v>951.5</v>
      </c>
      <c r="O96">
        <v>57</v>
      </c>
      <c r="P96" s="153" t="s">
        <v>131</v>
      </c>
    </row>
    <row r="97" spans="1:16" x14ac:dyDescent="0.25">
      <c r="A97" s="81">
        <v>44997</v>
      </c>
      <c r="B97" s="192" t="s">
        <v>17</v>
      </c>
      <c r="C97" s="153" t="s">
        <v>41</v>
      </c>
      <c r="D97">
        <v>1</v>
      </c>
      <c r="E97">
        <v>2</v>
      </c>
      <c r="F97">
        <v>-12.7</v>
      </c>
      <c r="G97"/>
      <c r="H97"/>
      <c r="I97" s="153" t="s">
        <v>45</v>
      </c>
      <c r="J97">
        <v>95</v>
      </c>
      <c r="K97">
        <v>0</v>
      </c>
      <c r="L97" s="4">
        <v>0</v>
      </c>
      <c r="M97">
        <v>43.149999999999991</v>
      </c>
      <c r="N97">
        <v>952.3</v>
      </c>
      <c r="O97">
        <v>65</v>
      </c>
      <c r="P97" s="153" t="s">
        <v>131</v>
      </c>
    </row>
    <row r="98" spans="1:16" x14ac:dyDescent="0.25">
      <c r="A98" s="81">
        <v>44998</v>
      </c>
      <c r="B98" s="192" t="s">
        <v>10</v>
      </c>
      <c r="C98" s="153" t="s">
        <v>29</v>
      </c>
      <c r="D98">
        <v>2</v>
      </c>
      <c r="E98">
        <v>3</v>
      </c>
      <c r="F98">
        <v>-13.4</v>
      </c>
      <c r="G98"/>
      <c r="H98"/>
      <c r="I98" s="153" t="s">
        <v>45</v>
      </c>
      <c r="J98">
        <v>94</v>
      </c>
      <c r="K98">
        <v>-1</v>
      </c>
      <c r="L98" s="4">
        <v>0</v>
      </c>
      <c r="M98">
        <v>43.149999999999991</v>
      </c>
      <c r="N98">
        <v>952</v>
      </c>
      <c r="O98">
        <v>67</v>
      </c>
      <c r="P98" s="153" t="s">
        <v>131</v>
      </c>
    </row>
    <row r="99" spans="1:16" x14ac:dyDescent="0.25">
      <c r="A99" s="81">
        <v>44998</v>
      </c>
      <c r="B99" s="192" t="s">
        <v>11</v>
      </c>
      <c r="C99" s="153" t="s">
        <v>29</v>
      </c>
      <c r="D99">
        <v>2</v>
      </c>
      <c r="E99">
        <v>4</v>
      </c>
      <c r="F99">
        <v>-11.7</v>
      </c>
      <c r="G99"/>
      <c r="H99"/>
      <c r="I99" s="153" t="s">
        <v>45</v>
      </c>
      <c r="J99">
        <v>96</v>
      </c>
      <c r="K99">
        <v>2</v>
      </c>
      <c r="L99" s="4">
        <v>0</v>
      </c>
      <c r="M99">
        <v>43.149999999999991</v>
      </c>
      <c r="N99">
        <v>951.3</v>
      </c>
      <c r="O99">
        <v>70</v>
      </c>
      <c r="P99" s="153" t="s">
        <v>131</v>
      </c>
    </row>
    <row r="100" spans="1:16" x14ac:dyDescent="0.25">
      <c r="A100" s="81">
        <v>44998</v>
      </c>
      <c r="B100" s="192" t="s">
        <v>12</v>
      </c>
      <c r="C100" s="153" t="s">
        <v>41</v>
      </c>
      <c r="D100">
        <v>1</v>
      </c>
      <c r="E100">
        <v>2</v>
      </c>
      <c r="F100">
        <v>-11.4</v>
      </c>
      <c r="G100"/>
      <c r="H100"/>
      <c r="I100" s="153" t="s">
        <v>45</v>
      </c>
      <c r="J100">
        <v>97</v>
      </c>
      <c r="K100">
        <v>1</v>
      </c>
      <c r="L100" s="4">
        <v>0</v>
      </c>
      <c r="M100">
        <v>43.149999999999991</v>
      </c>
      <c r="N100">
        <v>951.6</v>
      </c>
      <c r="O100">
        <v>70</v>
      </c>
      <c r="P100" s="153" t="s">
        <v>131</v>
      </c>
    </row>
    <row r="101" spans="1:16" x14ac:dyDescent="0.25">
      <c r="A101" s="81">
        <v>44998</v>
      </c>
      <c r="B101" s="192" t="s">
        <v>13</v>
      </c>
      <c r="C101" s="153" t="s">
        <v>41</v>
      </c>
      <c r="D101">
        <v>1</v>
      </c>
      <c r="E101">
        <v>1</v>
      </c>
      <c r="F101">
        <v>-9.6999999999999993</v>
      </c>
      <c r="G101"/>
      <c r="H101"/>
      <c r="I101" s="153" t="s">
        <v>45</v>
      </c>
      <c r="J101">
        <v>100</v>
      </c>
      <c r="K101">
        <v>3</v>
      </c>
      <c r="L101" s="4">
        <v>0</v>
      </c>
      <c r="M101">
        <v>43.149999999999991</v>
      </c>
      <c r="N101">
        <v>952.7</v>
      </c>
      <c r="O101">
        <v>64</v>
      </c>
      <c r="P101" s="153" t="s">
        <v>131</v>
      </c>
    </row>
    <row r="102" spans="1:16" x14ac:dyDescent="0.25">
      <c r="A102" s="81">
        <v>44998</v>
      </c>
      <c r="B102" s="192" t="s">
        <v>14</v>
      </c>
      <c r="C102" s="153" t="s">
        <v>30</v>
      </c>
      <c r="D102">
        <v>1</v>
      </c>
      <c r="E102">
        <v>2</v>
      </c>
      <c r="F102">
        <v>-5.8</v>
      </c>
      <c r="G102"/>
      <c r="H102"/>
      <c r="I102" s="153" t="s">
        <v>45</v>
      </c>
      <c r="J102">
        <v>102</v>
      </c>
      <c r="K102">
        <v>2</v>
      </c>
      <c r="L102" s="4">
        <v>0</v>
      </c>
      <c r="M102">
        <v>43.149999999999991</v>
      </c>
      <c r="N102">
        <v>953</v>
      </c>
      <c r="O102">
        <v>60</v>
      </c>
      <c r="P102" s="153" t="s">
        <v>131</v>
      </c>
    </row>
    <row r="103" spans="1:16" x14ac:dyDescent="0.25">
      <c r="A103" s="81">
        <v>44998</v>
      </c>
      <c r="B103" s="192" t="s">
        <v>15</v>
      </c>
      <c r="C103" s="153" t="s">
        <v>41</v>
      </c>
      <c r="D103">
        <v>1</v>
      </c>
      <c r="E103">
        <v>2</v>
      </c>
      <c r="F103">
        <v>-4.8</v>
      </c>
      <c r="G103"/>
      <c r="H103"/>
      <c r="I103" s="153" t="s">
        <v>45</v>
      </c>
      <c r="J103">
        <v>102</v>
      </c>
      <c r="K103">
        <v>0</v>
      </c>
      <c r="L103" s="4">
        <v>0</v>
      </c>
      <c r="M103">
        <v>43.149999999999991</v>
      </c>
      <c r="N103">
        <v>952.4</v>
      </c>
      <c r="O103">
        <v>70</v>
      </c>
      <c r="P103" s="153" t="s">
        <v>131</v>
      </c>
    </row>
    <row r="104" spans="1:16" x14ac:dyDescent="0.25">
      <c r="A104" s="81">
        <v>44998</v>
      </c>
      <c r="B104" s="192" t="s">
        <v>16</v>
      </c>
      <c r="C104" s="153" t="s">
        <v>41</v>
      </c>
      <c r="D104">
        <v>1</v>
      </c>
      <c r="E104">
        <v>2</v>
      </c>
      <c r="F104">
        <v>-4.3</v>
      </c>
      <c r="G104"/>
      <c r="H104"/>
      <c r="I104" s="153" t="s">
        <v>45</v>
      </c>
      <c r="J104">
        <v>103</v>
      </c>
      <c r="K104">
        <v>1</v>
      </c>
      <c r="L104" s="4">
        <v>0</v>
      </c>
      <c r="M104">
        <v>43.149999999999991</v>
      </c>
      <c r="N104">
        <v>952.3</v>
      </c>
      <c r="O104">
        <v>76</v>
      </c>
      <c r="P104" s="153" t="s">
        <v>131</v>
      </c>
    </row>
    <row r="105" spans="1:16" x14ac:dyDescent="0.25">
      <c r="A105" s="81">
        <v>44998</v>
      </c>
      <c r="B105" s="192" t="s">
        <v>17</v>
      </c>
      <c r="C105" s="153" t="s">
        <v>41</v>
      </c>
      <c r="D105">
        <v>2</v>
      </c>
      <c r="E105">
        <v>3</v>
      </c>
      <c r="F105">
        <v>-4.8</v>
      </c>
      <c r="G105"/>
      <c r="H105"/>
      <c r="I105" s="153" t="s">
        <v>45</v>
      </c>
      <c r="J105">
        <v>102</v>
      </c>
      <c r="K105">
        <v>-1</v>
      </c>
      <c r="L105" s="4">
        <v>0</v>
      </c>
      <c r="M105">
        <v>43.149999999999991</v>
      </c>
      <c r="N105">
        <v>953.7</v>
      </c>
      <c r="O105">
        <v>74</v>
      </c>
      <c r="P105" s="153" t="s">
        <v>131</v>
      </c>
    </row>
    <row r="106" spans="1:16" x14ac:dyDescent="0.25">
      <c r="A106" s="81">
        <v>44999</v>
      </c>
      <c r="B106" s="192" t="s">
        <v>10</v>
      </c>
      <c r="C106" s="153" t="s">
        <v>41</v>
      </c>
      <c r="D106">
        <v>3</v>
      </c>
      <c r="E106">
        <v>5</v>
      </c>
      <c r="F106">
        <v>-5.7</v>
      </c>
      <c r="G106"/>
      <c r="H106"/>
      <c r="I106" s="153" t="s">
        <v>45</v>
      </c>
      <c r="J106">
        <v>101</v>
      </c>
      <c r="K106">
        <v>-1</v>
      </c>
      <c r="L106" s="4">
        <v>0</v>
      </c>
      <c r="M106">
        <v>43.149999999999991</v>
      </c>
      <c r="N106">
        <v>953.9</v>
      </c>
      <c r="O106">
        <v>77</v>
      </c>
      <c r="P106" s="153" t="s">
        <v>131</v>
      </c>
    </row>
    <row r="107" spans="1:16" x14ac:dyDescent="0.25">
      <c r="A107" s="81">
        <v>44999</v>
      </c>
      <c r="B107" s="192" t="s">
        <v>11</v>
      </c>
      <c r="C107" s="153" t="s">
        <v>41</v>
      </c>
      <c r="D107">
        <v>3</v>
      </c>
      <c r="E107">
        <v>4</v>
      </c>
      <c r="F107">
        <v>-3.9</v>
      </c>
      <c r="G107"/>
      <c r="H107"/>
      <c r="I107" s="153" t="s">
        <v>45</v>
      </c>
      <c r="J107">
        <v>103</v>
      </c>
      <c r="K107">
        <v>2</v>
      </c>
      <c r="L107" s="4">
        <v>0</v>
      </c>
      <c r="M107">
        <v>43.149999999999991</v>
      </c>
      <c r="N107">
        <v>954.4</v>
      </c>
      <c r="O107">
        <v>72</v>
      </c>
      <c r="P107" s="153" t="s">
        <v>131</v>
      </c>
    </row>
    <row r="108" spans="1:16" x14ac:dyDescent="0.25">
      <c r="A108" s="81">
        <v>44999</v>
      </c>
      <c r="B108" s="192" t="s">
        <v>12</v>
      </c>
      <c r="C108" s="153" t="s">
        <v>41</v>
      </c>
      <c r="D108">
        <v>3</v>
      </c>
      <c r="E108">
        <v>3</v>
      </c>
      <c r="F108">
        <v>-3.2</v>
      </c>
      <c r="G108"/>
      <c r="H108"/>
      <c r="I108" s="153" t="s">
        <v>45</v>
      </c>
      <c r="J108">
        <v>102</v>
      </c>
      <c r="K108">
        <v>-1</v>
      </c>
      <c r="L108" s="4">
        <v>0</v>
      </c>
      <c r="M108">
        <v>43.149999999999991</v>
      </c>
      <c r="N108">
        <v>954.6</v>
      </c>
      <c r="O108">
        <v>69</v>
      </c>
      <c r="P108" s="153" t="s">
        <v>131</v>
      </c>
    </row>
    <row r="109" spans="1:16" x14ac:dyDescent="0.25">
      <c r="A109" s="81">
        <v>44999</v>
      </c>
      <c r="B109" s="192" t="s">
        <v>13</v>
      </c>
      <c r="C109" s="153" t="s">
        <v>41</v>
      </c>
      <c r="D109">
        <v>3</v>
      </c>
      <c r="E109">
        <v>4</v>
      </c>
      <c r="F109">
        <v>-3.2</v>
      </c>
      <c r="G109"/>
      <c r="H109"/>
      <c r="I109" s="153" t="s">
        <v>45</v>
      </c>
      <c r="J109">
        <v>102</v>
      </c>
      <c r="K109">
        <v>0</v>
      </c>
      <c r="L109" s="4">
        <v>0</v>
      </c>
      <c r="M109">
        <v>43.149999999999991</v>
      </c>
      <c r="N109">
        <v>955.3</v>
      </c>
      <c r="O109">
        <v>69</v>
      </c>
      <c r="P109" s="153" t="s">
        <v>131</v>
      </c>
    </row>
    <row r="110" spans="1:16" x14ac:dyDescent="0.25">
      <c r="A110" s="81">
        <v>44999</v>
      </c>
      <c r="B110" s="192" t="s">
        <v>14</v>
      </c>
      <c r="C110" s="153" t="s">
        <v>41</v>
      </c>
      <c r="D110">
        <v>1</v>
      </c>
      <c r="E110">
        <v>2</v>
      </c>
      <c r="F110">
        <v>-1.8</v>
      </c>
      <c r="G110"/>
      <c r="H110"/>
      <c r="I110" s="153" t="s">
        <v>45</v>
      </c>
      <c r="J110">
        <v>102</v>
      </c>
      <c r="K110">
        <v>0</v>
      </c>
      <c r="L110" s="4">
        <v>0</v>
      </c>
      <c r="M110">
        <v>43.149999999999991</v>
      </c>
      <c r="N110">
        <v>955.8</v>
      </c>
      <c r="O110">
        <v>68</v>
      </c>
      <c r="P110" s="153" t="s">
        <v>131</v>
      </c>
    </row>
    <row r="111" spans="1:16" x14ac:dyDescent="0.25">
      <c r="A111" s="81">
        <v>44999</v>
      </c>
      <c r="B111" s="192" t="s">
        <v>15</v>
      </c>
      <c r="C111" s="153" t="s">
        <v>41</v>
      </c>
      <c r="D111">
        <v>0</v>
      </c>
      <c r="E111">
        <v>1</v>
      </c>
      <c r="F111">
        <v>1.5</v>
      </c>
      <c r="G111"/>
      <c r="H111"/>
      <c r="I111" s="153" t="s">
        <v>45</v>
      </c>
      <c r="J111">
        <v>104</v>
      </c>
      <c r="K111">
        <v>2</v>
      </c>
      <c r="L111" s="4">
        <v>0</v>
      </c>
      <c r="M111">
        <v>43.149999999999991</v>
      </c>
      <c r="N111">
        <v>955.4</v>
      </c>
      <c r="O111">
        <v>57</v>
      </c>
      <c r="P111" s="153" t="s">
        <v>131</v>
      </c>
    </row>
    <row r="112" spans="1:16" x14ac:dyDescent="0.25">
      <c r="A112" s="81">
        <v>44999</v>
      </c>
      <c r="B112" s="192" t="s">
        <v>16</v>
      </c>
      <c r="C112" s="153" t="s">
        <v>41</v>
      </c>
      <c r="D112">
        <v>2</v>
      </c>
      <c r="E112">
        <v>3</v>
      </c>
      <c r="F112">
        <v>-4.5</v>
      </c>
      <c r="G112"/>
      <c r="H112"/>
      <c r="I112" s="153" t="s">
        <v>45</v>
      </c>
      <c r="J112">
        <v>100</v>
      </c>
      <c r="K112">
        <v>-4</v>
      </c>
      <c r="L112" s="4">
        <v>0</v>
      </c>
      <c r="M112">
        <v>43.149999999999991</v>
      </c>
      <c r="N112">
        <v>956.1</v>
      </c>
      <c r="O112">
        <v>78</v>
      </c>
      <c r="P112" s="153" t="s">
        <v>131</v>
      </c>
    </row>
    <row r="113" spans="1:16" x14ac:dyDescent="0.25">
      <c r="A113" s="81">
        <v>44999</v>
      </c>
      <c r="B113" s="192" t="s">
        <v>17</v>
      </c>
      <c r="C113" s="153" t="s">
        <v>41</v>
      </c>
      <c r="D113">
        <v>3</v>
      </c>
      <c r="E113">
        <v>4</v>
      </c>
      <c r="F113">
        <v>-5.5</v>
      </c>
      <c r="G113"/>
      <c r="H113"/>
      <c r="I113" s="153" t="s">
        <v>45</v>
      </c>
      <c r="J113">
        <v>100</v>
      </c>
      <c r="K113">
        <v>0</v>
      </c>
      <c r="L113" s="4">
        <v>0</v>
      </c>
      <c r="M113">
        <v>43.149999999999991</v>
      </c>
      <c r="N113">
        <v>957.1</v>
      </c>
      <c r="O113">
        <v>79</v>
      </c>
      <c r="P113" s="153" t="s">
        <v>131</v>
      </c>
    </row>
    <row r="114" spans="1:16" x14ac:dyDescent="0.25">
      <c r="A114" s="81">
        <v>45000</v>
      </c>
      <c r="B114" s="192" t="s">
        <v>10</v>
      </c>
      <c r="C114" s="153" t="s">
        <v>41</v>
      </c>
      <c r="D114">
        <v>2</v>
      </c>
      <c r="E114">
        <v>3</v>
      </c>
      <c r="F114">
        <v>-6.4</v>
      </c>
      <c r="G114"/>
      <c r="H114"/>
      <c r="I114" s="153" t="s">
        <v>45</v>
      </c>
      <c r="J114">
        <v>100</v>
      </c>
      <c r="K114">
        <v>0</v>
      </c>
      <c r="L114" s="4">
        <v>0</v>
      </c>
      <c r="M114">
        <v>43.149999999999991</v>
      </c>
      <c r="N114">
        <v>956.9</v>
      </c>
      <c r="O114">
        <v>78</v>
      </c>
      <c r="P114" s="153" t="s">
        <v>131</v>
      </c>
    </row>
    <row r="115" spans="1:16" x14ac:dyDescent="0.25">
      <c r="A115" s="81">
        <v>45000</v>
      </c>
      <c r="B115" s="192" t="s">
        <v>11</v>
      </c>
      <c r="C115" s="153" t="s">
        <v>29</v>
      </c>
      <c r="D115">
        <v>2</v>
      </c>
      <c r="E115">
        <v>3</v>
      </c>
      <c r="F115">
        <v>-7.7</v>
      </c>
      <c r="G115"/>
      <c r="H115"/>
      <c r="I115" s="153" t="s">
        <v>45</v>
      </c>
      <c r="J115">
        <v>99</v>
      </c>
      <c r="K115">
        <v>-1</v>
      </c>
      <c r="L115" s="4">
        <v>0</v>
      </c>
      <c r="M115">
        <v>43.149999999999991</v>
      </c>
      <c r="N115">
        <v>955.9</v>
      </c>
      <c r="O115">
        <v>82</v>
      </c>
      <c r="P115" s="153" t="s">
        <v>131</v>
      </c>
    </row>
    <row r="116" spans="1:16" x14ac:dyDescent="0.25">
      <c r="A116" s="81">
        <v>45000</v>
      </c>
      <c r="B116" s="192" t="s">
        <v>12</v>
      </c>
      <c r="C116" s="153" t="s">
        <v>29</v>
      </c>
      <c r="D116">
        <v>1</v>
      </c>
      <c r="E116">
        <v>3</v>
      </c>
      <c r="F116">
        <v>-7.2</v>
      </c>
      <c r="G116"/>
      <c r="H116"/>
      <c r="I116" s="153" t="s">
        <v>45</v>
      </c>
      <c r="J116">
        <v>98</v>
      </c>
      <c r="K116">
        <v>-1</v>
      </c>
      <c r="L116" s="4">
        <v>0</v>
      </c>
      <c r="M116">
        <v>43.149999999999991</v>
      </c>
      <c r="N116">
        <v>955.2</v>
      </c>
      <c r="O116">
        <v>78</v>
      </c>
      <c r="P116" s="153" t="s">
        <v>131</v>
      </c>
    </row>
    <row r="117" spans="1:16" x14ac:dyDescent="0.25">
      <c r="A117" s="81">
        <v>45000</v>
      </c>
      <c r="B117" s="192" t="s">
        <v>13</v>
      </c>
      <c r="C117" s="153" t="s">
        <v>29</v>
      </c>
      <c r="D117">
        <v>3</v>
      </c>
      <c r="E117">
        <v>4</v>
      </c>
      <c r="F117">
        <v>-5.8</v>
      </c>
      <c r="G117"/>
      <c r="H117"/>
      <c r="I117" s="153" t="s">
        <v>45</v>
      </c>
      <c r="J117">
        <v>99</v>
      </c>
      <c r="K117">
        <v>1</v>
      </c>
      <c r="L117" s="4">
        <v>0</v>
      </c>
      <c r="M117">
        <v>43.149999999999991</v>
      </c>
      <c r="N117">
        <v>955.5</v>
      </c>
      <c r="O117">
        <v>74</v>
      </c>
      <c r="P117" s="153" t="s">
        <v>131</v>
      </c>
    </row>
    <row r="118" spans="1:16" x14ac:dyDescent="0.25">
      <c r="A118" s="81">
        <v>45000</v>
      </c>
      <c r="B118" s="192" t="s">
        <v>14</v>
      </c>
      <c r="C118" s="153" t="s">
        <v>41</v>
      </c>
      <c r="D118">
        <v>1</v>
      </c>
      <c r="E118">
        <v>2</v>
      </c>
      <c r="F118">
        <v>-3.5</v>
      </c>
      <c r="G118"/>
      <c r="H118"/>
      <c r="I118" s="153" t="s">
        <v>45</v>
      </c>
      <c r="J118">
        <v>100</v>
      </c>
      <c r="K118">
        <v>1</v>
      </c>
      <c r="L118" s="4">
        <v>0</v>
      </c>
      <c r="M118">
        <v>43.149999999999991</v>
      </c>
      <c r="N118">
        <v>954.6</v>
      </c>
      <c r="O118">
        <v>72</v>
      </c>
      <c r="P118" s="153" t="s">
        <v>131</v>
      </c>
    </row>
    <row r="119" spans="1:16" x14ac:dyDescent="0.25">
      <c r="A119" s="81">
        <v>45000</v>
      </c>
      <c r="B119" s="192" t="s">
        <v>15</v>
      </c>
      <c r="C119" s="153" t="s">
        <v>41</v>
      </c>
      <c r="D119">
        <v>2</v>
      </c>
      <c r="E119">
        <v>3</v>
      </c>
      <c r="F119">
        <v>-4.3</v>
      </c>
      <c r="G119"/>
      <c r="H119"/>
      <c r="I119" s="153" t="s">
        <v>45</v>
      </c>
      <c r="J119">
        <v>100</v>
      </c>
      <c r="K119">
        <v>0</v>
      </c>
      <c r="L119" s="4">
        <v>0</v>
      </c>
      <c r="M119">
        <v>43.149999999999991</v>
      </c>
      <c r="N119">
        <v>953.2</v>
      </c>
      <c r="O119">
        <v>81</v>
      </c>
      <c r="P119" s="153" t="s">
        <v>131</v>
      </c>
    </row>
    <row r="120" spans="1:16" x14ac:dyDescent="0.25">
      <c r="A120" s="81">
        <v>45000</v>
      </c>
      <c r="B120" s="192" t="s">
        <v>16</v>
      </c>
      <c r="C120" s="153" t="s">
        <v>41</v>
      </c>
      <c r="D120">
        <v>2</v>
      </c>
      <c r="E120">
        <v>3</v>
      </c>
      <c r="F120">
        <v>-4.9000000000000004</v>
      </c>
      <c r="G120"/>
      <c r="H120"/>
      <c r="I120" s="153" t="s">
        <v>45</v>
      </c>
      <c r="J120">
        <v>99</v>
      </c>
      <c r="K120">
        <v>-1</v>
      </c>
      <c r="L120" s="4">
        <v>0</v>
      </c>
      <c r="M120">
        <v>43.149999999999991</v>
      </c>
      <c r="N120">
        <v>952.6</v>
      </c>
      <c r="O120">
        <v>75</v>
      </c>
      <c r="P120" s="153" t="s">
        <v>131</v>
      </c>
    </row>
    <row r="121" spans="1:16" x14ac:dyDescent="0.25">
      <c r="A121" s="81">
        <v>45000</v>
      </c>
      <c r="B121" s="192" t="s">
        <v>17</v>
      </c>
      <c r="C121" s="153" t="s">
        <v>41</v>
      </c>
      <c r="D121">
        <v>2</v>
      </c>
      <c r="E121">
        <v>5</v>
      </c>
      <c r="F121">
        <v>-5.3</v>
      </c>
      <c r="G121"/>
      <c r="H121"/>
      <c r="I121" s="153" t="s">
        <v>45</v>
      </c>
      <c r="J121">
        <v>99</v>
      </c>
      <c r="K121">
        <v>0</v>
      </c>
      <c r="L121" s="4">
        <v>0</v>
      </c>
      <c r="M121">
        <v>43.149999999999991</v>
      </c>
      <c r="N121">
        <v>952.1</v>
      </c>
      <c r="O121">
        <v>69</v>
      </c>
      <c r="P121" s="153" t="s">
        <v>131</v>
      </c>
    </row>
    <row r="122" spans="1:16" x14ac:dyDescent="0.25">
      <c r="A122" s="81">
        <v>45001</v>
      </c>
      <c r="B122" s="192" t="s">
        <v>10</v>
      </c>
      <c r="C122" s="153" t="s">
        <v>41</v>
      </c>
      <c r="D122">
        <v>2</v>
      </c>
      <c r="E122">
        <v>4</v>
      </c>
      <c r="F122">
        <v>-5.2</v>
      </c>
      <c r="G122"/>
      <c r="H122"/>
      <c r="I122" s="153" t="s">
        <v>45</v>
      </c>
      <c r="J122">
        <v>99</v>
      </c>
      <c r="K122">
        <v>0</v>
      </c>
      <c r="L122" s="4">
        <v>0</v>
      </c>
      <c r="M122">
        <v>43.149999999999991</v>
      </c>
      <c r="N122">
        <v>951.3</v>
      </c>
      <c r="O122">
        <v>61</v>
      </c>
      <c r="P122" s="153" t="s">
        <v>131</v>
      </c>
    </row>
    <row r="123" spans="1:16" x14ac:dyDescent="0.25">
      <c r="A123" s="81">
        <v>45001</v>
      </c>
      <c r="B123" s="192" t="s">
        <v>11</v>
      </c>
      <c r="C123" s="153" t="s">
        <v>41</v>
      </c>
      <c r="D123">
        <v>0</v>
      </c>
      <c r="E123">
        <v>1</v>
      </c>
      <c r="F123">
        <v>-4.4000000000000004</v>
      </c>
      <c r="G123"/>
      <c r="H123"/>
      <c r="I123" s="153" t="s">
        <v>45</v>
      </c>
      <c r="J123">
        <v>99</v>
      </c>
      <c r="K123">
        <v>0</v>
      </c>
      <c r="L123" s="4">
        <v>0</v>
      </c>
      <c r="M123">
        <v>43.149999999999991</v>
      </c>
      <c r="N123">
        <v>950.5</v>
      </c>
      <c r="O123">
        <v>57</v>
      </c>
      <c r="P123" s="153" t="s">
        <v>131</v>
      </c>
    </row>
    <row r="124" spans="1:16" x14ac:dyDescent="0.25">
      <c r="A124" s="81">
        <v>45001</v>
      </c>
      <c r="B124" s="192" t="s">
        <v>12</v>
      </c>
      <c r="C124" s="153" t="s">
        <v>41</v>
      </c>
      <c r="D124">
        <v>1</v>
      </c>
      <c r="E124">
        <v>2</v>
      </c>
      <c r="F124">
        <v>-6</v>
      </c>
      <c r="G124"/>
      <c r="H124"/>
      <c r="I124" s="153" t="s">
        <v>45</v>
      </c>
      <c r="J124">
        <v>98</v>
      </c>
      <c r="K124">
        <v>-1</v>
      </c>
      <c r="L124" s="4">
        <v>0</v>
      </c>
      <c r="M124">
        <v>43.149999999999991</v>
      </c>
      <c r="N124">
        <v>950.1</v>
      </c>
      <c r="O124">
        <v>67</v>
      </c>
      <c r="P124" s="153" t="s">
        <v>131</v>
      </c>
    </row>
    <row r="125" spans="1:16" x14ac:dyDescent="0.25">
      <c r="A125" s="81">
        <v>45001</v>
      </c>
      <c r="B125" s="192" t="s">
        <v>13</v>
      </c>
      <c r="C125" s="153" t="s">
        <v>41</v>
      </c>
      <c r="D125">
        <v>1</v>
      </c>
      <c r="E125">
        <v>2</v>
      </c>
      <c r="F125">
        <v>-6.5</v>
      </c>
      <c r="G125"/>
      <c r="H125"/>
      <c r="I125" s="153" t="s">
        <v>45</v>
      </c>
      <c r="J125">
        <v>98</v>
      </c>
      <c r="K125">
        <v>0</v>
      </c>
      <c r="L125" s="4">
        <v>0</v>
      </c>
      <c r="M125">
        <v>43.149999999999991</v>
      </c>
      <c r="N125">
        <v>950.4</v>
      </c>
      <c r="O125">
        <v>70</v>
      </c>
      <c r="P125" s="153" t="s">
        <v>131</v>
      </c>
    </row>
    <row r="126" spans="1:16" x14ac:dyDescent="0.25">
      <c r="A126" s="81">
        <v>45001</v>
      </c>
      <c r="B126" s="192" t="s">
        <v>14</v>
      </c>
      <c r="C126" s="153" t="s">
        <v>29</v>
      </c>
      <c r="D126">
        <v>1</v>
      </c>
      <c r="E126">
        <v>2</v>
      </c>
      <c r="F126">
        <v>-4</v>
      </c>
      <c r="G126"/>
      <c r="H126"/>
      <c r="I126" s="153" t="s">
        <v>45</v>
      </c>
      <c r="J126">
        <v>99</v>
      </c>
      <c r="K126">
        <v>1</v>
      </c>
      <c r="L126" s="4">
        <v>0</v>
      </c>
      <c r="M126">
        <v>43.149999999999991</v>
      </c>
      <c r="N126">
        <v>950</v>
      </c>
      <c r="O126">
        <v>59</v>
      </c>
      <c r="P126" s="153" t="s">
        <v>131</v>
      </c>
    </row>
    <row r="127" spans="1:16" x14ac:dyDescent="0.25">
      <c r="A127" s="81">
        <v>45001</v>
      </c>
      <c r="B127" s="192" t="s">
        <v>15</v>
      </c>
      <c r="C127" s="153" t="s">
        <v>29</v>
      </c>
      <c r="D127">
        <v>1</v>
      </c>
      <c r="E127">
        <v>2</v>
      </c>
      <c r="F127">
        <v>-2.8</v>
      </c>
      <c r="G127"/>
      <c r="H127"/>
      <c r="I127" s="153" t="s">
        <v>45</v>
      </c>
      <c r="J127">
        <v>100</v>
      </c>
      <c r="K127">
        <v>1</v>
      </c>
      <c r="L127" s="4">
        <v>0</v>
      </c>
      <c r="M127">
        <v>43.149999999999991</v>
      </c>
      <c r="N127">
        <v>948.4</v>
      </c>
      <c r="O127">
        <v>61</v>
      </c>
      <c r="P127" s="153" t="s">
        <v>131</v>
      </c>
    </row>
    <row r="128" spans="1:16" x14ac:dyDescent="0.25">
      <c r="A128" s="81">
        <v>45001</v>
      </c>
      <c r="B128" s="192" t="s">
        <v>16</v>
      </c>
      <c r="C128" s="153" t="s">
        <v>29</v>
      </c>
      <c r="D128">
        <v>2</v>
      </c>
      <c r="E128">
        <v>3</v>
      </c>
      <c r="F128">
        <v>-6.1</v>
      </c>
      <c r="G128"/>
      <c r="H128"/>
      <c r="I128" s="153" t="s">
        <v>45</v>
      </c>
      <c r="J128">
        <v>98</v>
      </c>
      <c r="K128">
        <v>-2</v>
      </c>
      <c r="L128" s="4">
        <v>0</v>
      </c>
      <c r="M128">
        <v>43.149999999999991</v>
      </c>
      <c r="N128">
        <v>948</v>
      </c>
      <c r="O128">
        <v>77</v>
      </c>
      <c r="P128" s="153" t="s">
        <v>131</v>
      </c>
    </row>
    <row r="129" spans="1:16" x14ac:dyDescent="0.25">
      <c r="A129" s="81">
        <v>45001</v>
      </c>
      <c r="B129" s="192" t="s">
        <v>17</v>
      </c>
      <c r="C129" s="153" t="s">
        <v>40</v>
      </c>
      <c r="D129">
        <v>3</v>
      </c>
      <c r="E129">
        <v>3</v>
      </c>
      <c r="F129">
        <v>-8</v>
      </c>
      <c r="G129"/>
      <c r="H129"/>
      <c r="I129" s="153" t="s">
        <v>45</v>
      </c>
      <c r="J129">
        <v>97</v>
      </c>
      <c r="K129">
        <v>-1</v>
      </c>
      <c r="L129" s="4">
        <v>0</v>
      </c>
      <c r="M129">
        <v>43.149999999999991</v>
      </c>
      <c r="N129">
        <v>947.4</v>
      </c>
      <c r="O129">
        <v>79</v>
      </c>
      <c r="P129" s="153" t="s">
        <v>131</v>
      </c>
    </row>
    <row r="130" spans="1:16" x14ac:dyDescent="0.25">
      <c r="A130" s="81">
        <v>45002</v>
      </c>
      <c r="B130" s="192" t="s">
        <v>10</v>
      </c>
      <c r="C130" s="153" t="s">
        <v>40</v>
      </c>
      <c r="D130">
        <v>3</v>
      </c>
      <c r="E130">
        <v>3</v>
      </c>
      <c r="F130">
        <v>-9.9</v>
      </c>
      <c r="G130"/>
      <c r="H130"/>
      <c r="I130" s="153" t="s">
        <v>45</v>
      </c>
      <c r="J130">
        <v>97</v>
      </c>
      <c r="K130">
        <v>0</v>
      </c>
      <c r="L130" s="4">
        <v>0</v>
      </c>
      <c r="M130">
        <v>43.149999999999991</v>
      </c>
      <c r="N130">
        <v>945.8</v>
      </c>
      <c r="O130">
        <v>83</v>
      </c>
      <c r="P130" s="153" t="s">
        <v>131</v>
      </c>
    </row>
    <row r="131" spans="1:16" x14ac:dyDescent="0.25">
      <c r="A131" s="81">
        <v>45002</v>
      </c>
      <c r="B131" s="192" t="s">
        <v>11</v>
      </c>
      <c r="C131" s="153" t="s">
        <v>40</v>
      </c>
      <c r="D131">
        <v>2</v>
      </c>
      <c r="E131">
        <v>3</v>
      </c>
      <c r="F131">
        <v>-9.3000000000000007</v>
      </c>
      <c r="G131"/>
      <c r="H131"/>
      <c r="I131" s="153" t="s">
        <v>45</v>
      </c>
      <c r="J131">
        <v>97</v>
      </c>
      <c r="K131">
        <v>0</v>
      </c>
      <c r="L131" s="4">
        <v>0</v>
      </c>
      <c r="M131">
        <v>43.149999999999991</v>
      </c>
      <c r="N131">
        <v>944</v>
      </c>
      <c r="O131">
        <v>79</v>
      </c>
      <c r="P131" s="153" t="s">
        <v>131</v>
      </c>
    </row>
    <row r="132" spans="1:16" x14ac:dyDescent="0.25">
      <c r="A132" s="81">
        <v>45002</v>
      </c>
      <c r="B132" s="192" t="s">
        <v>12</v>
      </c>
      <c r="C132" s="153" t="s">
        <v>40</v>
      </c>
      <c r="D132">
        <v>1</v>
      </c>
      <c r="E132">
        <v>3</v>
      </c>
      <c r="F132">
        <v>-12</v>
      </c>
      <c r="G132"/>
      <c r="H132"/>
      <c r="I132" s="153" t="s">
        <v>45</v>
      </c>
      <c r="J132">
        <v>96</v>
      </c>
      <c r="K132">
        <v>-1</v>
      </c>
      <c r="L132" s="4">
        <v>0</v>
      </c>
      <c r="M132">
        <v>43.149999999999991</v>
      </c>
      <c r="N132">
        <v>942.2</v>
      </c>
      <c r="O132">
        <v>91</v>
      </c>
      <c r="P132" s="153" t="s">
        <v>131</v>
      </c>
    </row>
    <row r="133" spans="1:16" x14ac:dyDescent="0.25">
      <c r="A133" s="81">
        <v>45002</v>
      </c>
      <c r="B133" s="192" t="s">
        <v>13</v>
      </c>
      <c r="C133" s="153" t="s">
        <v>40</v>
      </c>
      <c r="D133">
        <v>1</v>
      </c>
      <c r="E133">
        <v>2</v>
      </c>
      <c r="F133">
        <v>-11.3</v>
      </c>
      <c r="G133"/>
      <c r="H133"/>
      <c r="I133" s="153" t="s">
        <v>45</v>
      </c>
      <c r="J133">
        <v>97</v>
      </c>
      <c r="K133">
        <v>1</v>
      </c>
      <c r="L133" s="4">
        <v>0</v>
      </c>
      <c r="M133">
        <v>43.149999999999991</v>
      </c>
      <c r="N133">
        <v>940.5</v>
      </c>
      <c r="O133">
        <v>84</v>
      </c>
      <c r="P133" s="153" t="s">
        <v>131</v>
      </c>
    </row>
    <row r="134" spans="1:16" x14ac:dyDescent="0.25">
      <c r="A134" s="81">
        <v>45002</v>
      </c>
      <c r="B134" s="192" t="s">
        <v>14</v>
      </c>
      <c r="C134" s="153" t="s">
        <v>41</v>
      </c>
      <c r="D134">
        <v>1</v>
      </c>
      <c r="E134">
        <v>1</v>
      </c>
      <c r="F134">
        <v>-6.3</v>
      </c>
      <c r="G134"/>
      <c r="H134"/>
      <c r="I134" s="153" t="s">
        <v>45</v>
      </c>
      <c r="J134">
        <v>99</v>
      </c>
      <c r="K134">
        <v>2</v>
      </c>
      <c r="L134" s="4">
        <v>0</v>
      </c>
      <c r="M134">
        <v>43.149999999999991</v>
      </c>
      <c r="N134">
        <v>938.5</v>
      </c>
      <c r="O134">
        <v>70</v>
      </c>
      <c r="P134" s="153" t="s">
        <v>131</v>
      </c>
    </row>
    <row r="135" spans="1:16" x14ac:dyDescent="0.25">
      <c r="A135" s="81">
        <v>45002</v>
      </c>
      <c r="B135" s="192" t="s">
        <v>15</v>
      </c>
      <c r="C135" s="153" t="s">
        <v>41</v>
      </c>
      <c r="D135">
        <v>0</v>
      </c>
      <c r="E135">
        <v>1</v>
      </c>
      <c r="F135">
        <v>-4.4000000000000004</v>
      </c>
      <c r="G135"/>
      <c r="H135"/>
      <c r="I135" s="153" t="s">
        <v>45</v>
      </c>
      <c r="J135">
        <v>100</v>
      </c>
      <c r="K135">
        <v>1</v>
      </c>
      <c r="L135" s="4">
        <v>0</v>
      </c>
      <c r="M135">
        <v>43.149999999999991</v>
      </c>
      <c r="N135">
        <v>936.2</v>
      </c>
      <c r="O135">
        <v>66</v>
      </c>
      <c r="P135" s="153" t="s">
        <v>131</v>
      </c>
    </row>
    <row r="136" spans="1:16" x14ac:dyDescent="0.25">
      <c r="A136" s="81">
        <v>45002</v>
      </c>
      <c r="B136" s="192" t="s">
        <v>16</v>
      </c>
      <c r="C136" s="153" t="s">
        <v>41</v>
      </c>
      <c r="D136">
        <v>1</v>
      </c>
      <c r="E136">
        <v>2</v>
      </c>
      <c r="F136">
        <v>-6.5</v>
      </c>
      <c r="G136"/>
      <c r="H136"/>
      <c r="I136" s="153" t="s">
        <v>45</v>
      </c>
      <c r="J136">
        <v>99</v>
      </c>
      <c r="K136">
        <v>-1</v>
      </c>
      <c r="L136" s="4">
        <v>0</v>
      </c>
      <c r="M136">
        <v>43.149999999999991</v>
      </c>
      <c r="N136">
        <v>935.3</v>
      </c>
      <c r="O136">
        <v>84</v>
      </c>
      <c r="P136" s="153" t="s">
        <v>131</v>
      </c>
    </row>
    <row r="137" spans="1:16" x14ac:dyDescent="0.25">
      <c r="A137" s="81">
        <v>45002</v>
      </c>
      <c r="B137" s="192" t="s">
        <v>17</v>
      </c>
      <c r="C137" s="153" t="s">
        <v>41</v>
      </c>
      <c r="D137">
        <v>1</v>
      </c>
      <c r="E137">
        <v>2</v>
      </c>
      <c r="F137">
        <v>-8.1</v>
      </c>
      <c r="G137"/>
      <c r="H137"/>
      <c r="I137" s="153" t="s">
        <v>45</v>
      </c>
      <c r="J137">
        <v>98</v>
      </c>
      <c r="K137">
        <v>-1</v>
      </c>
      <c r="L137" s="4">
        <v>0</v>
      </c>
      <c r="M137">
        <v>43.149999999999991</v>
      </c>
      <c r="N137">
        <v>934</v>
      </c>
      <c r="O137">
        <v>85</v>
      </c>
      <c r="P137" s="153" t="s">
        <v>131</v>
      </c>
    </row>
    <row r="138" spans="1:16" x14ac:dyDescent="0.25">
      <c r="A138" s="81">
        <v>45003</v>
      </c>
      <c r="B138" s="192" t="s">
        <v>10</v>
      </c>
      <c r="C138" s="153" t="s">
        <v>41</v>
      </c>
      <c r="D138">
        <v>1</v>
      </c>
      <c r="E138">
        <v>2</v>
      </c>
      <c r="F138">
        <v>-7.4</v>
      </c>
      <c r="G138"/>
      <c r="H138"/>
      <c r="I138" s="153" t="s">
        <v>45</v>
      </c>
      <c r="J138">
        <v>99</v>
      </c>
      <c r="K138">
        <v>1</v>
      </c>
      <c r="L138" s="4">
        <v>0</v>
      </c>
      <c r="M138">
        <v>43.149999999999991</v>
      </c>
      <c r="N138">
        <v>932</v>
      </c>
      <c r="O138">
        <v>88</v>
      </c>
      <c r="P138" s="153" t="s">
        <v>131</v>
      </c>
    </row>
    <row r="139" spans="1:16" x14ac:dyDescent="0.25">
      <c r="A139" s="81">
        <v>45003</v>
      </c>
      <c r="B139" s="192" t="s">
        <v>11</v>
      </c>
      <c r="C139" s="153" t="s">
        <v>29</v>
      </c>
      <c r="D139">
        <v>1</v>
      </c>
      <c r="E139">
        <v>2</v>
      </c>
      <c r="F139">
        <v>-7.3</v>
      </c>
      <c r="G139"/>
      <c r="H139"/>
      <c r="I139" s="153" t="s">
        <v>45</v>
      </c>
      <c r="J139">
        <v>99</v>
      </c>
      <c r="K139">
        <v>0</v>
      </c>
      <c r="L139" s="4">
        <v>0</v>
      </c>
      <c r="M139">
        <v>43.149999999999991</v>
      </c>
      <c r="N139">
        <v>929.5</v>
      </c>
      <c r="O139">
        <v>79</v>
      </c>
      <c r="P139" s="153" t="s">
        <v>131</v>
      </c>
    </row>
    <row r="140" spans="1:16" x14ac:dyDescent="0.25">
      <c r="A140" s="81">
        <v>45003</v>
      </c>
      <c r="B140" s="192" t="s">
        <v>12</v>
      </c>
      <c r="C140" s="153" t="s">
        <v>29</v>
      </c>
      <c r="D140">
        <v>1</v>
      </c>
      <c r="E140">
        <v>3</v>
      </c>
      <c r="F140">
        <v>-4.4000000000000004</v>
      </c>
      <c r="G140"/>
      <c r="H140"/>
      <c r="I140" s="153" t="s">
        <v>45</v>
      </c>
      <c r="J140">
        <v>100</v>
      </c>
      <c r="K140">
        <v>1</v>
      </c>
      <c r="L140" s="4">
        <v>0</v>
      </c>
      <c r="M140">
        <v>43.149999999999991</v>
      </c>
      <c r="N140">
        <v>926.6</v>
      </c>
      <c r="O140">
        <v>74</v>
      </c>
      <c r="P140" s="153" t="s">
        <v>131</v>
      </c>
    </row>
    <row r="141" spans="1:16" x14ac:dyDescent="0.25">
      <c r="A141" s="81">
        <v>45003</v>
      </c>
      <c r="B141" s="192" t="s">
        <v>13</v>
      </c>
      <c r="C141" s="153" t="s">
        <v>40</v>
      </c>
      <c r="D141">
        <v>2</v>
      </c>
      <c r="E141">
        <v>3</v>
      </c>
      <c r="F141">
        <v>-5.8</v>
      </c>
      <c r="G141"/>
      <c r="H141"/>
      <c r="I141" s="153" t="s">
        <v>132</v>
      </c>
      <c r="J141">
        <v>100</v>
      </c>
      <c r="K141">
        <v>0</v>
      </c>
      <c r="L141" s="4">
        <v>0</v>
      </c>
      <c r="M141">
        <v>43.149999999999991</v>
      </c>
      <c r="N141">
        <v>924.6</v>
      </c>
      <c r="O141">
        <v>91</v>
      </c>
      <c r="P141" s="153" t="s">
        <v>131</v>
      </c>
    </row>
    <row r="142" spans="1:16" x14ac:dyDescent="0.25">
      <c r="A142" s="81">
        <v>45003</v>
      </c>
      <c r="B142" s="192" t="s">
        <v>14</v>
      </c>
      <c r="C142" s="153" t="s">
        <v>40</v>
      </c>
      <c r="D142">
        <v>2</v>
      </c>
      <c r="E142">
        <v>3</v>
      </c>
      <c r="F142">
        <v>-4.0999999999999996</v>
      </c>
      <c r="G142"/>
      <c r="H142"/>
      <c r="I142" s="153" t="s">
        <v>133</v>
      </c>
      <c r="J142">
        <v>101</v>
      </c>
      <c r="K142">
        <v>1</v>
      </c>
      <c r="L142" s="4">
        <v>0</v>
      </c>
      <c r="M142">
        <v>43.149999999999991</v>
      </c>
      <c r="N142">
        <v>920.5</v>
      </c>
      <c r="O142">
        <v>92</v>
      </c>
      <c r="P142" s="153" t="s">
        <v>131</v>
      </c>
    </row>
    <row r="143" spans="1:16" x14ac:dyDescent="0.25">
      <c r="A143" s="81">
        <v>45003</v>
      </c>
      <c r="B143" s="192" t="s">
        <v>15</v>
      </c>
      <c r="C143" s="153" t="s">
        <v>40</v>
      </c>
      <c r="D143">
        <v>1</v>
      </c>
      <c r="E143">
        <v>2</v>
      </c>
      <c r="F143">
        <v>-2.5</v>
      </c>
      <c r="G143"/>
      <c r="H143"/>
      <c r="I143" s="153" t="s">
        <v>45</v>
      </c>
      <c r="J143">
        <v>100</v>
      </c>
      <c r="K143">
        <v>-1</v>
      </c>
      <c r="L143" s="4">
        <v>0</v>
      </c>
      <c r="M143">
        <v>43.149999999999991</v>
      </c>
      <c r="N143">
        <v>916.1</v>
      </c>
      <c r="O143">
        <v>95</v>
      </c>
      <c r="P143" s="153" t="s">
        <v>131</v>
      </c>
    </row>
    <row r="144" spans="1:16" x14ac:dyDescent="0.25">
      <c r="A144" s="81">
        <v>45003</v>
      </c>
      <c r="B144" s="192" t="s">
        <v>16</v>
      </c>
      <c r="C144" s="153" t="s">
        <v>29</v>
      </c>
      <c r="D144">
        <v>12</v>
      </c>
      <c r="E144">
        <v>18</v>
      </c>
      <c r="F144">
        <v>-4</v>
      </c>
      <c r="G144"/>
      <c r="H144"/>
      <c r="I144" s="153" t="s">
        <v>134</v>
      </c>
      <c r="J144">
        <v>101</v>
      </c>
      <c r="K144">
        <v>1</v>
      </c>
      <c r="L144" s="4">
        <v>0</v>
      </c>
      <c r="M144">
        <v>43.149999999999991</v>
      </c>
      <c r="N144">
        <v>914.5</v>
      </c>
      <c r="O144">
        <v>88</v>
      </c>
      <c r="P144" s="153" t="s">
        <v>131</v>
      </c>
    </row>
    <row r="145" spans="1:16" x14ac:dyDescent="0.25">
      <c r="A145" s="81">
        <v>45003</v>
      </c>
      <c r="B145" s="192" t="s">
        <v>17</v>
      </c>
      <c r="C145" s="153" t="s">
        <v>41</v>
      </c>
      <c r="D145">
        <v>13</v>
      </c>
      <c r="E145">
        <v>20</v>
      </c>
      <c r="F145">
        <v>-5.9</v>
      </c>
      <c r="G145"/>
      <c r="H145"/>
      <c r="I145" s="153" t="s">
        <v>127</v>
      </c>
      <c r="J145">
        <v>99</v>
      </c>
      <c r="K145">
        <v>-2</v>
      </c>
      <c r="L145" s="4">
        <v>0</v>
      </c>
      <c r="M145">
        <v>43.149999999999991</v>
      </c>
      <c r="N145">
        <v>916</v>
      </c>
      <c r="O145">
        <v>68</v>
      </c>
      <c r="P145" s="153" t="s">
        <v>131</v>
      </c>
    </row>
    <row r="146" spans="1:16" x14ac:dyDescent="0.25">
      <c r="A146" s="81">
        <v>45004</v>
      </c>
      <c r="B146" s="192" t="s">
        <v>10</v>
      </c>
      <c r="C146" s="153" t="s">
        <v>41</v>
      </c>
      <c r="D146">
        <v>12</v>
      </c>
      <c r="E146">
        <v>19</v>
      </c>
      <c r="F146">
        <v>-7.3</v>
      </c>
      <c r="G146"/>
      <c r="H146"/>
      <c r="I146" s="153" t="s">
        <v>127</v>
      </c>
      <c r="J146">
        <v>99</v>
      </c>
      <c r="K146">
        <v>0</v>
      </c>
      <c r="L146" s="4">
        <v>0</v>
      </c>
      <c r="M146">
        <v>43.149999999999991</v>
      </c>
      <c r="N146">
        <v>916.9</v>
      </c>
      <c r="O146">
        <v>75</v>
      </c>
      <c r="P146" s="153" t="s">
        <v>131</v>
      </c>
    </row>
    <row r="147" spans="1:16" x14ac:dyDescent="0.25">
      <c r="A147" s="81">
        <v>45004</v>
      </c>
      <c r="B147" s="192" t="s">
        <v>11</v>
      </c>
      <c r="C147" s="153" t="s">
        <v>41</v>
      </c>
      <c r="D147">
        <v>10</v>
      </c>
      <c r="E147">
        <v>15</v>
      </c>
      <c r="F147">
        <v>-7.9</v>
      </c>
      <c r="G147"/>
      <c r="H147"/>
      <c r="I147" s="153" t="s">
        <v>127</v>
      </c>
      <c r="J147">
        <v>98</v>
      </c>
      <c r="K147">
        <v>-1</v>
      </c>
      <c r="L147" s="4">
        <v>0</v>
      </c>
      <c r="M147">
        <v>43.149999999999991</v>
      </c>
      <c r="N147">
        <v>917.2</v>
      </c>
      <c r="O147">
        <v>61</v>
      </c>
      <c r="P147" s="153" t="s">
        <v>131</v>
      </c>
    </row>
    <row r="148" spans="1:16" x14ac:dyDescent="0.25">
      <c r="A148" s="81">
        <v>45004</v>
      </c>
      <c r="B148" s="192" t="s">
        <v>12</v>
      </c>
      <c r="C148" s="153" t="s">
        <v>41</v>
      </c>
      <c r="D148">
        <v>9</v>
      </c>
      <c r="E148">
        <v>14</v>
      </c>
      <c r="F148">
        <v>-8.6999999999999993</v>
      </c>
      <c r="G148"/>
      <c r="H148"/>
      <c r="I148" s="153" t="s">
        <v>45</v>
      </c>
      <c r="J148">
        <v>98</v>
      </c>
      <c r="K148">
        <v>0</v>
      </c>
      <c r="L148" s="4">
        <v>0</v>
      </c>
      <c r="M148">
        <v>43.149999999999991</v>
      </c>
      <c r="N148">
        <v>917.7</v>
      </c>
      <c r="O148">
        <v>59</v>
      </c>
      <c r="P148" s="153" t="s">
        <v>131</v>
      </c>
    </row>
    <row r="149" spans="1:16" x14ac:dyDescent="0.25">
      <c r="A149" s="81">
        <v>45004</v>
      </c>
      <c r="B149" s="192" t="s">
        <v>13</v>
      </c>
      <c r="C149" s="153" t="s">
        <v>41</v>
      </c>
      <c r="D149">
        <v>10</v>
      </c>
      <c r="E149">
        <v>15</v>
      </c>
      <c r="F149">
        <v>-9.3000000000000007</v>
      </c>
      <c r="G149"/>
      <c r="H149"/>
      <c r="I149" s="153" t="s">
        <v>45</v>
      </c>
      <c r="J149">
        <v>97</v>
      </c>
      <c r="K149">
        <v>-1</v>
      </c>
      <c r="L149" s="4">
        <v>0</v>
      </c>
      <c r="M149">
        <v>43.149999999999991</v>
      </c>
      <c r="N149">
        <v>917.3</v>
      </c>
      <c r="O149">
        <v>57</v>
      </c>
      <c r="P149" s="153" t="s">
        <v>131</v>
      </c>
    </row>
    <row r="150" spans="1:16" x14ac:dyDescent="0.25">
      <c r="A150" s="81">
        <v>45004</v>
      </c>
      <c r="B150" s="192" t="s">
        <v>14</v>
      </c>
      <c r="C150" s="153" t="s">
        <v>41</v>
      </c>
      <c r="D150">
        <v>9</v>
      </c>
      <c r="E150">
        <v>12</v>
      </c>
      <c r="F150">
        <v>-8.3000000000000007</v>
      </c>
      <c r="G150"/>
      <c r="H150"/>
      <c r="I150" s="153" t="s">
        <v>45</v>
      </c>
      <c r="J150">
        <v>98</v>
      </c>
      <c r="K150">
        <v>1</v>
      </c>
      <c r="L150" s="4">
        <v>0</v>
      </c>
      <c r="M150">
        <v>43.149999999999991</v>
      </c>
      <c r="N150">
        <v>917.4</v>
      </c>
      <c r="O150">
        <v>57</v>
      </c>
      <c r="P150" s="153" t="s">
        <v>131</v>
      </c>
    </row>
    <row r="151" spans="1:16" x14ac:dyDescent="0.25">
      <c r="A151" s="81">
        <v>45004</v>
      </c>
      <c r="B151" s="192" t="s">
        <v>15</v>
      </c>
      <c r="C151" s="153" t="s">
        <v>41</v>
      </c>
      <c r="D151">
        <v>6</v>
      </c>
      <c r="E151">
        <v>9</v>
      </c>
      <c r="F151">
        <v>-6.8</v>
      </c>
      <c r="G151"/>
      <c r="H151"/>
      <c r="I151" s="153" t="s">
        <v>45</v>
      </c>
      <c r="J151">
        <v>99</v>
      </c>
      <c r="K151">
        <v>1</v>
      </c>
      <c r="L151" s="4">
        <v>0</v>
      </c>
      <c r="M151">
        <v>43.149999999999991</v>
      </c>
      <c r="N151">
        <v>915.5</v>
      </c>
      <c r="O151">
        <v>48</v>
      </c>
      <c r="P151" s="153" t="s">
        <v>131</v>
      </c>
    </row>
    <row r="152" spans="1:16" x14ac:dyDescent="0.25">
      <c r="A152" s="81">
        <v>45004</v>
      </c>
      <c r="B152" s="192" t="s">
        <v>16</v>
      </c>
      <c r="C152" s="153" t="s">
        <v>41</v>
      </c>
      <c r="D152">
        <v>2</v>
      </c>
      <c r="E152">
        <v>3</v>
      </c>
      <c r="F152">
        <v>-8.1</v>
      </c>
      <c r="G152"/>
      <c r="H152"/>
      <c r="I152" s="153" t="s">
        <v>45</v>
      </c>
      <c r="J152">
        <v>99</v>
      </c>
      <c r="K152">
        <v>0</v>
      </c>
      <c r="L152" s="4">
        <v>0</v>
      </c>
      <c r="M152">
        <v>43.149999999999991</v>
      </c>
      <c r="N152">
        <v>913.8</v>
      </c>
      <c r="O152">
        <v>46</v>
      </c>
      <c r="P152" s="153" t="s">
        <v>131</v>
      </c>
    </row>
    <row r="153" spans="1:16" x14ac:dyDescent="0.25">
      <c r="A153" s="81">
        <v>45004</v>
      </c>
      <c r="B153" s="192" t="s">
        <v>17</v>
      </c>
      <c r="C153" s="153" t="s">
        <v>41</v>
      </c>
      <c r="D153">
        <v>4</v>
      </c>
      <c r="E153">
        <v>4</v>
      </c>
      <c r="F153">
        <v>-10.9</v>
      </c>
      <c r="G153"/>
      <c r="H153"/>
      <c r="I153" s="153" t="s">
        <v>45</v>
      </c>
      <c r="J153">
        <v>98</v>
      </c>
      <c r="K153">
        <v>-1</v>
      </c>
      <c r="L153" s="4">
        <v>0</v>
      </c>
      <c r="M153">
        <v>43.149999999999991</v>
      </c>
      <c r="N153">
        <v>912.2</v>
      </c>
      <c r="O153">
        <v>52</v>
      </c>
      <c r="P153" s="153" t="s">
        <v>131</v>
      </c>
    </row>
    <row r="154" spans="1:16" x14ac:dyDescent="0.25">
      <c r="A154" s="81">
        <v>45005</v>
      </c>
      <c r="B154" s="192" t="s">
        <v>10</v>
      </c>
      <c r="C154" s="153" t="s">
        <v>42</v>
      </c>
      <c r="D154">
        <v>2</v>
      </c>
      <c r="E154">
        <v>3</v>
      </c>
      <c r="F154">
        <v>-11.1</v>
      </c>
      <c r="G154"/>
      <c r="H154"/>
      <c r="I154" s="153" t="s">
        <v>45</v>
      </c>
      <c r="J154">
        <v>98</v>
      </c>
      <c r="K154">
        <v>0</v>
      </c>
      <c r="L154" s="4">
        <v>0</v>
      </c>
      <c r="M154">
        <v>43.149999999999991</v>
      </c>
      <c r="N154">
        <v>909.7</v>
      </c>
      <c r="O154">
        <v>46</v>
      </c>
      <c r="P154" s="153" t="s">
        <v>131</v>
      </c>
    </row>
    <row r="155" spans="1:16" x14ac:dyDescent="0.25">
      <c r="A155" s="81">
        <v>45005</v>
      </c>
      <c r="B155" s="192" t="s">
        <v>11</v>
      </c>
      <c r="C155" s="153" t="s">
        <v>43</v>
      </c>
      <c r="D155">
        <v>3</v>
      </c>
      <c r="E155">
        <v>4</v>
      </c>
      <c r="F155">
        <v>-11.9</v>
      </c>
      <c r="G155"/>
      <c r="H155"/>
      <c r="I155" s="153" t="s">
        <v>45</v>
      </c>
      <c r="J155">
        <v>97</v>
      </c>
      <c r="K155">
        <v>-1</v>
      </c>
      <c r="L155" s="4">
        <v>0</v>
      </c>
      <c r="M155">
        <v>43.149999999999991</v>
      </c>
      <c r="N155">
        <v>908</v>
      </c>
      <c r="O155">
        <v>50</v>
      </c>
      <c r="P155" s="153" t="s">
        <v>131</v>
      </c>
    </row>
    <row r="156" spans="1:16" x14ac:dyDescent="0.25">
      <c r="A156" s="81">
        <v>45005</v>
      </c>
      <c r="B156" s="192" t="s">
        <v>12</v>
      </c>
      <c r="C156" s="153" t="s">
        <v>42</v>
      </c>
      <c r="D156">
        <v>1</v>
      </c>
      <c r="E156">
        <v>2</v>
      </c>
      <c r="F156">
        <v>-11.9</v>
      </c>
      <c r="G156"/>
      <c r="H156"/>
      <c r="I156" s="153" t="s">
        <v>45</v>
      </c>
      <c r="J156">
        <v>97</v>
      </c>
      <c r="K156">
        <v>0</v>
      </c>
      <c r="L156" s="4">
        <v>0</v>
      </c>
      <c r="M156">
        <v>43.149999999999991</v>
      </c>
      <c r="N156">
        <v>906.9</v>
      </c>
      <c r="O156">
        <v>51</v>
      </c>
      <c r="P156" s="153" t="s">
        <v>131</v>
      </c>
    </row>
    <row r="157" spans="1:16" x14ac:dyDescent="0.25">
      <c r="A157" s="81">
        <v>45005</v>
      </c>
      <c r="B157" s="192" t="s">
        <v>13</v>
      </c>
      <c r="C157" s="153" t="s">
        <v>41</v>
      </c>
      <c r="D157">
        <v>2</v>
      </c>
      <c r="E157">
        <v>5</v>
      </c>
      <c r="F157">
        <v>-10.6</v>
      </c>
      <c r="G157"/>
      <c r="H157"/>
      <c r="I157" s="153" t="s">
        <v>45</v>
      </c>
      <c r="J157">
        <v>98</v>
      </c>
      <c r="K157">
        <v>1</v>
      </c>
      <c r="L157" s="4">
        <v>0</v>
      </c>
      <c r="M157">
        <v>43.149999999999991</v>
      </c>
      <c r="N157">
        <v>907.1</v>
      </c>
      <c r="O157">
        <v>54</v>
      </c>
      <c r="P157" s="153" t="s">
        <v>131</v>
      </c>
    </row>
    <row r="158" spans="1:16" x14ac:dyDescent="0.25">
      <c r="A158" s="81">
        <v>45005</v>
      </c>
      <c r="B158" s="192" t="s">
        <v>14</v>
      </c>
      <c r="C158" s="153" t="s">
        <v>41</v>
      </c>
      <c r="D158">
        <v>6</v>
      </c>
      <c r="E158">
        <v>8</v>
      </c>
      <c r="F158">
        <v>-8.1999999999999993</v>
      </c>
      <c r="G158"/>
      <c r="H158"/>
      <c r="I158" s="153" t="s">
        <v>45</v>
      </c>
      <c r="J158">
        <v>99</v>
      </c>
      <c r="K158">
        <v>1</v>
      </c>
      <c r="L158" s="4">
        <v>0</v>
      </c>
      <c r="M158">
        <v>43.149999999999991</v>
      </c>
      <c r="N158">
        <v>907.3</v>
      </c>
      <c r="O158">
        <v>61</v>
      </c>
      <c r="P158" s="153" t="s">
        <v>131</v>
      </c>
    </row>
    <row r="159" spans="1:16" x14ac:dyDescent="0.25">
      <c r="A159" s="81">
        <v>45005</v>
      </c>
      <c r="B159" s="192" t="s">
        <v>15</v>
      </c>
      <c r="C159" s="153" t="s">
        <v>41</v>
      </c>
      <c r="D159">
        <v>7</v>
      </c>
      <c r="E159">
        <v>9</v>
      </c>
      <c r="F159">
        <v>-8</v>
      </c>
      <c r="G159"/>
      <c r="H159"/>
      <c r="I159" s="153" t="s">
        <v>45</v>
      </c>
      <c r="J159">
        <v>99</v>
      </c>
      <c r="K159">
        <v>0</v>
      </c>
      <c r="L159" s="4">
        <v>0</v>
      </c>
      <c r="M159">
        <v>43.149999999999991</v>
      </c>
      <c r="N159">
        <v>906.5</v>
      </c>
      <c r="O159">
        <v>58</v>
      </c>
      <c r="P159" s="153" t="s">
        <v>131</v>
      </c>
    </row>
    <row r="160" spans="1:16" x14ac:dyDescent="0.25">
      <c r="A160" s="81">
        <v>45005</v>
      </c>
      <c r="B160" s="192" t="s">
        <v>16</v>
      </c>
      <c r="C160" s="153" t="s">
        <v>41</v>
      </c>
      <c r="D160">
        <v>3</v>
      </c>
      <c r="E160">
        <v>4</v>
      </c>
      <c r="F160">
        <v>-9</v>
      </c>
      <c r="G160"/>
      <c r="H160"/>
      <c r="I160" s="153" t="s">
        <v>45</v>
      </c>
      <c r="J160">
        <v>98</v>
      </c>
      <c r="K160">
        <v>-1</v>
      </c>
      <c r="L160" s="4">
        <v>0</v>
      </c>
      <c r="M160">
        <v>43.149999999999991</v>
      </c>
      <c r="N160">
        <v>906</v>
      </c>
      <c r="O160">
        <v>56</v>
      </c>
      <c r="P160" s="153" t="s">
        <v>131</v>
      </c>
    </row>
    <row r="161" spans="1:16" x14ac:dyDescent="0.25">
      <c r="A161" s="81">
        <v>45005</v>
      </c>
      <c r="B161" s="192" t="s">
        <v>17</v>
      </c>
      <c r="C161" s="153" t="s">
        <v>41</v>
      </c>
      <c r="D161">
        <v>3</v>
      </c>
      <c r="E161">
        <v>4</v>
      </c>
      <c r="F161">
        <v>-11.5</v>
      </c>
      <c r="G161"/>
      <c r="H161"/>
      <c r="I161" s="153" t="s">
        <v>45</v>
      </c>
      <c r="J161">
        <v>97</v>
      </c>
      <c r="K161">
        <v>-1</v>
      </c>
      <c r="L161" s="4">
        <v>0</v>
      </c>
      <c r="M161">
        <v>43.149999999999991</v>
      </c>
      <c r="N161">
        <v>906.3</v>
      </c>
      <c r="O161">
        <v>65</v>
      </c>
      <c r="P161" s="153" t="s">
        <v>131</v>
      </c>
    </row>
    <row r="162" spans="1:16" x14ac:dyDescent="0.25">
      <c r="A162" s="81">
        <v>45006</v>
      </c>
      <c r="B162" s="192" t="s">
        <v>10</v>
      </c>
      <c r="C162" s="153" t="s">
        <v>41</v>
      </c>
      <c r="D162">
        <v>3</v>
      </c>
      <c r="E162">
        <v>4</v>
      </c>
      <c r="F162">
        <v>-11.4</v>
      </c>
      <c r="G162"/>
      <c r="H162"/>
      <c r="I162" s="153" t="s">
        <v>45</v>
      </c>
      <c r="J162">
        <v>97</v>
      </c>
      <c r="K162">
        <v>0</v>
      </c>
      <c r="L162" s="4">
        <v>0</v>
      </c>
      <c r="M162">
        <v>43.149999999999991</v>
      </c>
      <c r="N162">
        <v>906.2</v>
      </c>
      <c r="O162">
        <v>60</v>
      </c>
      <c r="P162" s="153" t="s">
        <v>131</v>
      </c>
    </row>
    <row r="163" spans="1:16" x14ac:dyDescent="0.25">
      <c r="A163" s="81">
        <v>45006</v>
      </c>
      <c r="B163" s="192" t="s">
        <v>11</v>
      </c>
      <c r="C163" s="153" t="s">
        <v>42</v>
      </c>
      <c r="D163">
        <v>5</v>
      </c>
      <c r="E163">
        <v>7</v>
      </c>
      <c r="F163">
        <v>-9.1999999999999993</v>
      </c>
      <c r="G163"/>
      <c r="H163"/>
      <c r="I163" s="153" t="s">
        <v>45</v>
      </c>
      <c r="J163">
        <v>98</v>
      </c>
      <c r="K163">
        <v>1</v>
      </c>
      <c r="L163" s="4">
        <v>0</v>
      </c>
      <c r="M163">
        <v>43.149999999999991</v>
      </c>
      <c r="N163">
        <v>908</v>
      </c>
      <c r="O163">
        <v>55</v>
      </c>
      <c r="P163" s="153" t="s">
        <v>131</v>
      </c>
    </row>
    <row r="164" spans="1:16" x14ac:dyDescent="0.25">
      <c r="A164" s="81">
        <v>45006</v>
      </c>
      <c r="B164" s="192" t="s">
        <v>12</v>
      </c>
      <c r="C164" s="153" t="s">
        <v>42</v>
      </c>
      <c r="D164">
        <v>8</v>
      </c>
      <c r="E164">
        <v>14</v>
      </c>
      <c r="F164">
        <v>-8.5</v>
      </c>
      <c r="G164"/>
      <c r="H164"/>
      <c r="I164" s="153" t="s">
        <v>45</v>
      </c>
      <c r="J164">
        <v>98</v>
      </c>
      <c r="K164">
        <v>0</v>
      </c>
      <c r="L164" s="4">
        <v>0</v>
      </c>
      <c r="M164">
        <v>43.149999999999991</v>
      </c>
      <c r="N164">
        <v>911</v>
      </c>
      <c r="O164">
        <v>72</v>
      </c>
      <c r="P164" s="153" t="s">
        <v>131</v>
      </c>
    </row>
    <row r="165" spans="1:16" x14ac:dyDescent="0.25">
      <c r="A165" s="81">
        <v>45006</v>
      </c>
      <c r="B165" s="192" t="s">
        <v>13</v>
      </c>
      <c r="C165" s="153" t="s">
        <v>42</v>
      </c>
      <c r="D165">
        <v>13</v>
      </c>
      <c r="E165">
        <v>19</v>
      </c>
      <c r="F165">
        <v>-9.1999999999999993</v>
      </c>
      <c r="G165"/>
      <c r="H165"/>
      <c r="I165" s="153" t="s">
        <v>129</v>
      </c>
      <c r="J165">
        <v>97</v>
      </c>
      <c r="K165">
        <v>-1</v>
      </c>
      <c r="L165" s="4">
        <v>0</v>
      </c>
      <c r="M165">
        <v>43.149999999999991</v>
      </c>
      <c r="N165">
        <v>914.6</v>
      </c>
      <c r="O165">
        <v>73</v>
      </c>
      <c r="P165" s="153" t="s">
        <v>131</v>
      </c>
    </row>
    <row r="166" spans="1:16" x14ac:dyDescent="0.25">
      <c r="A166" s="81">
        <v>45006</v>
      </c>
      <c r="B166" s="192" t="s">
        <v>14</v>
      </c>
      <c r="C166" s="153" t="s">
        <v>42</v>
      </c>
      <c r="D166">
        <v>11</v>
      </c>
      <c r="E166">
        <v>17</v>
      </c>
      <c r="F166">
        <v>-8.1999999999999993</v>
      </c>
      <c r="G166"/>
      <c r="H166"/>
      <c r="I166" s="153" t="s">
        <v>127</v>
      </c>
      <c r="J166">
        <v>96</v>
      </c>
      <c r="K166">
        <v>-1</v>
      </c>
      <c r="L166" s="4">
        <v>0</v>
      </c>
      <c r="M166">
        <v>43.149999999999991</v>
      </c>
      <c r="N166">
        <v>918.4</v>
      </c>
      <c r="O166">
        <v>67</v>
      </c>
      <c r="P166" s="153" t="s">
        <v>131</v>
      </c>
    </row>
    <row r="167" spans="1:16" x14ac:dyDescent="0.25">
      <c r="A167" s="81">
        <v>45006</v>
      </c>
      <c r="B167" s="192" t="s">
        <v>15</v>
      </c>
      <c r="C167" s="153" t="s">
        <v>42</v>
      </c>
      <c r="D167">
        <v>13</v>
      </c>
      <c r="E167">
        <v>20</v>
      </c>
      <c r="F167">
        <v>-7.2</v>
      </c>
      <c r="G167"/>
      <c r="H167"/>
      <c r="I167" s="153" t="s">
        <v>45</v>
      </c>
      <c r="J167">
        <v>96</v>
      </c>
      <c r="K167">
        <v>0</v>
      </c>
      <c r="L167" s="4">
        <v>0</v>
      </c>
      <c r="M167">
        <v>43.149999999999991</v>
      </c>
      <c r="N167">
        <v>921.3</v>
      </c>
      <c r="O167">
        <v>60</v>
      </c>
      <c r="P167" s="153" t="s">
        <v>131</v>
      </c>
    </row>
    <row r="168" spans="1:16" x14ac:dyDescent="0.25">
      <c r="A168" s="81">
        <v>45006</v>
      </c>
      <c r="B168" s="192" t="s">
        <v>16</v>
      </c>
      <c r="C168" s="153" t="s">
        <v>41</v>
      </c>
      <c r="D168">
        <v>8</v>
      </c>
      <c r="E168">
        <v>16</v>
      </c>
      <c r="F168">
        <v>-8.4</v>
      </c>
      <c r="G168"/>
      <c r="H168"/>
      <c r="I168" s="153" t="s">
        <v>45</v>
      </c>
      <c r="J168">
        <v>96</v>
      </c>
      <c r="K168">
        <v>0</v>
      </c>
      <c r="L168" s="4">
        <v>0</v>
      </c>
      <c r="M168">
        <v>43.149999999999991</v>
      </c>
      <c r="N168">
        <v>924.7</v>
      </c>
      <c r="O168">
        <v>54</v>
      </c>
      <c r="P168" s="153" t="s">
        <v>131</v>
      </c>
    </row>
    <row r="169" spans="1:16" x14ac:dyDescent="0.25">
      <c r="A169" s="81">
        <v>45006</v>
      </c>
      <c r="B169" s="192" t="s">
        <v>17</v>
      </c>
      <c r="C169" s="153" t="s">
        <v>41</v>
      </c>
      <c r="D169">
        <v>9</v>
      </c>
      <c r="E169">
        <v>18</v>
      </c>
      <c r="F169">
        <v>-8.6</v>
      </c>
      <c r="G169"/>
      <c r="H169"/>
      <c r="I169" s="153" t="s">
        <v>45</v>
      </c>
      <c r="J169">
        <v>95</v>
      </c>
      <c r="K169">
        <v>-1</v>
      </c>
      <c r="L169" s="4">
        <v>0</v>
      </c>
      <c r="M169">
        <v>43.149999999999991</v>
      </c>
      <c r="N169">
        <v>928.6</v>
      </c>
      <c r="O169">
        <v>50</v>
      </c>
      <c r="P169" s="153" t="s">
        <v>131</v>
      </c>
    </row>
    <row r="170" spans="1:16" x14ac:dyDescent="0.25">
      <c r="A170" s="81">
        <v>45007</v>
      </c>
      <c r="B170" s="192" t="s">
        <v>10</v>
      </c>
      <c r="C170" s="153" t="s">
        <v>41</v>
      </c>
      <c r="D170">
        <v>8</v>
      </c>
      <c r="E170">
        <v>11</v>
      </c>
      <c r="F170">
        <v>-7.8</v>
      </c>
      <c r="G170"/>
      <c r="H170"/>
      <c r="I170" s="153" t="s">
        <v>45</v>
      </c>
      <c r="J170">
        <v>95</v>
      </c>
      <c r="K170">
        <v>0</v>
      </c>
      <c r="L170" s="4">
        <v>0</v>
      </c>
      <c r="M170">
        <v>43.149999999999991</v>
      </c>
      <c r="N170">
        <v>930</v>
      </c>
      <c r="O170">
        <v>47</v>
      </c>
      <c r="P170" s="153" t="s">
        <v>131</v>
      </c>
    </row>
    <row r="171" spans="1:16" x14ac:dyDescent="0.25">
      <c r="A171" s="81">
        <v>45007</v>
      </c>
      <c r="B171" s="192" t="s">
        <v>11</v>
      </c>
      <c r="C171" s="153" t="s">
        <v>41</v>
      </c>
      <c r="D171">
        <v>7</v>
      </c>
      <c r="E171">
        <v>14</v>
      </c>
      <c r="F171">
        <v>-6.5</v>
      </c>
      <c r="G171"/>
      <c r="H171"/>
      <c r="I171" s="153" t="s">
        <v>45</v>
      </c>
      <c r="J171">
        <v>96</v>
      </c>
      <c r="K171">
        <v>1</v>
      </c>
      <c r="L171" s="4">
        <v>0</v>
      </c>
      <c r="M171">
        <v>43.149999999999991</v>
      </c>
      <c r="N171">
        <v>930.2</v>
      </c>
      <c r="O171">
        <v>54</v>
      </c>
      <c r="P171" s="153" t="s">
        <v>131</v>
      </c>
    </row>
    <row r="172" spans="1:16" x14ac:dyDescent="0.25">
      <c r="A172" s="81">
        <v>45007</v>
      </c>
      <c r="B172" s="192" t="s">
        <v>12</v>
      </c>
      <c r="C172" s="153" t="s">
        <v>41</v>
      </c>
      <c r="D172">
        <v>11</v>
      </c>
      <c r="E172">
        <v>20</v>
      </c>
      <c r="F172">
        <v>-6</v>
      </c>
      <c r="G172"/>
      <c r="H172"/>
      <c r="I172" s="153" t="s">
        <v>45</v>
      </c>
      <c r="J172">
        <v>94</v>
      </c>
      <c r="K172">
        <v>-2</v>
      </c>
      <c r="L172" s="4">
        <v>0</v>
      </c>
      <c r="M172">
        <v>43.149999999999991</v>
      </c>
      <c r="N172">
        <v>930.1</v>
      </c>
      <c r="O172">
        <v>63</v>
      </c>
      <c r="P172" s="153" t="s">
        <v>131</v>
      </c>
    </row>
    <row r="173" spans="1:16" x14ac:dyDescent="0.25">
      <c r="A173" s="81">
        <v>45007</v>
      </c>
      <c r="B173" s="192" t="s">
        <v>13</v>
      </c>
      <c r="C173" s="153" t="s">
        <v>41</v>
      </c>
      <c r="D173">
        <v>11</v>
      </c>
      <c r="E173">
        <v>18</v>
      </c>
      <c r="F173">
        <v>-4</v>
      </c>
      <c r="G173"/>
      <c r="H173"/>
      <c r="I173" s="153" t="s">
        <v>45</v>
      </c>
      <c r="J173">
        <v>95</v>
      </c>
      <c r="K173">
        <v>1</v>
      </c>
      <c r="L173" s="4">
        <v>0</v>
      </c>
      <c r="M173">
        <v>43.149999999999991</v>
      </c>
      <c r="N173">
        <v>929</v>
      </c>
      <c r="O173">
        <v>63</v>
      </c>
      <c r="P173" s="153" t="s">
        <v>131</v>
      </c>
    </row>
    <row r="174" spans="1:16" x14ac:dyDescent="0.25">
      <c r="A174" s="81">
        <v>45007</v>
      </c>
      <c r="B174" s="192" t="s">
        <v>14</v>
      </c>
      <c r="C174" s="153" t="s">
        <v>41</v>
      </c>
      <c r="D174">
        <v>9</v>
      </c>
      <c r="E174">
        <v>14</v>
      </c>
      <c r="F174">
        <v>-1.6</v>
      </c>
      <c r="G174"/>
      <c r="H174"/>
      <c r="I174" s="153" t="s">
        <v>45</v>
      </c>
      <c r="J174">
        <v>95</v>
      </c>
      <c r="K174">
        <v>0</v>
      </c>
      <c r="L174" s="4">
        <v>0</v>
      </c>
      <c r="M174">
        <v>43.149999999999991</v>
      </c>
      <c r="N174">
        <v>928.2</v>
      </c>
      <c r="O174">
        <v>55</v>
      </c>
      <c r="P174" s="153" t="s">
        <v>131</v>
      </c>
    </row>
    <row r="175" spans="1:16" x14ac:dyDescent="0.25">
      <c r="A175" s="81">
        <v>45007</v>
      </c>
      <c r="B175" s="192" t="s">
        <v>15</v>
      </c>
      <c r="C175" s="153" t="s">
        <v>41</v>
      </c>
      <c r="D175">
        <v>7</v>
      </c>
      <c r="E175">
        <v>12</v>
      </c>
      <c r="F175">
        <v>0.5</v>
      </c>
      <c r="G175"/>
      <c r="H175"/>
      <c r="I175" s="153" t="s">
        <v>45</v>
      </c>
      <c r="J175">
        <v>97</v>
      </c>
      <c r="K175">
        <v>2</v>
      </c>
      <c r="L175" s="4">
        <v>0</v>
      </c>
      <c r="M175">
        <v>43.149999999999991</v>
      </c>
      <c r="N175">
        <v>926.2</v>
      </c>
      <c r="O175">
        <v>50</v>
      </c>
      <c r="P175" s="153" t="s">
        <v>131</v>
      </c>
    </row>
    <row r="176" spans="1:16" x14ac:dyDescent="0.25">
      <c r="A176" s="81">
        <v>45007</v>
      </c>
      <c r="B176" s="192" t="s">
        <v>16</v>
      </c>
      <c r="C176" s="153" t="s">
        <v>41</v>
      </c>
      <c r="D176">
        <v>8</v>
      </c>
      <c r="E176">
        <v>15</v>
      </c>
      <c r="F176">
        <v>0.9</v>
      </c>
      <c r="G176"/>
      <c r="H176"/>
      <c r="I176" s="153" t="s">
        <v>45</v>
      </c>
      <c r="J176">
        <v>97</v>
      </c>
      <c r="K176">
        <v>0</v>
      </c>
      <c r="L176" s="4">
        <v>0</v>
      </c>
      <c r="M176">
        <v>43.149999999999991</v>
      </c>
      <c r="N176">
        <v>925.7</v>
      </c>
      <c r="O176">
        <v>52</v>
      </c>
      <c r="P176" s="153" t="s">
        <v>131</v>
      </c>
    </row>
    <row r="177" spans="1:16" x14ac:dyDescent="0.25">
      <c r="A177" s="81">
        <v>45007</v>
      </c>
      <c r="B177" s="192" t="s">
        <v>17</v>
      </c>
      <c r="C177" s="153" t="s">
        <v>41</v>
      </c>
      <c r="D177">
        <v>8</v>
      </c>
      <c r="E177">
        <v>13</v>
      </c>
      <c r="F177">
        <v>0.4</v>
      </c>
      <c r="G177"/>
      <c r="H177"/>
      <c r="I177" s="153" t="s">
        <v>45</v>
      </c>
      <c r="J177">
        <v>97</v>
      </c>
      <c r="K177">
        <v>0</v>
      </c>
      <c r="L177" s="4">
        <v>0</v>
      </c>
      <c r="M177">
        <v>43.149999999999991</v>
      </c>
      <c r="N177">
        <v>926.6</v>
      </c>
      <c r="O177">
        <v>59</v>
      </c>
      <c r="P177" s="153" t="s">
        <v>131</v>
      </c>
    </row>
    <row r="178" spans="1:16" x14ac:dyDescent="0.25">
      <c r="A178" s="81">
        <v>45008</v>
      </c>
      <c r="B178" s="192" t="s">
        <v>10</v>
      </c>
      <c r="C178" s="153" t="s">
        <v>41</v>
      </c>
      <c r="D178">
        <v>8</v>
      </c>
      <c r="E178">
        <v>15</v>
      </c>
      <c r="F178">
        <v>-0.6</v>
      </c>
      <c r="G178"/>
      <c r="H178"/>
      <c r="I178" s="153" t="s">
        <v>45</v>
      </c>
      <c r="J178">
        <v>96</v>
      </c>
      <c r="K178">
        <v>-1</v>
      </c>
      <c r="L178" s="4">
        <v>0</v>
      </c>
      <c r="M178">
        <v>43.149999999999991</v>
      </c>
      <c r="N178">
        <v>927</v>
      </c>
      <c r="O178">
        <v>65</v>
      </c>
      <c r="P178" s="153" t="s">
        <v>131</v>
      </c>
    </row>
    <row r="179" spans="1:16" x14ac:dyDescent="0.25">
      <c r="A179" s="81">
        <v>45008</v>
      </c>
      <c r="B179" s="192" t="s">
        <v>11</v>
      </c>
      <c r="C179" s="153" t="s">
        <v>41</v>
      </c>
      <c r="D179">
        <v>9</v>
      </c>
      <c r="E179">
        <v>14</v>
      </c>
      <c r="F179">
        <v>-1.8</v>
      </c>
      <c r="G179"/>
      <c r="H179"/>
      <c r="I179" s="153" t="s">
        <v>45</v>
      </c>
      <c r="J179">
        <v>96</v>
      </c>
      <c r="K179">
        <v>0</v>
      </c>
      <c r="L179" s="4">
        <v>0</v>
      </c>
      <c r="M179">
        <v>43.149999999999991</v>
      </c>
      <c r="N179">
        <v>926.9</v>
      </c>
      <c r="O179">
        <v>71</v>
      </c>
      <c r="P179" s="153" t="s">
        <v>131</v>
      </c>
    </row>
    <row r="180" spans="1:16" x14ac:dyDescent="0.25">
      <c r="A180" s="81">
        <v>45008</v>
      </c>
      <c r="B180" s="192" t="s">
        <v>12</v>
      </c>
      <c r="C180" s="153" t="s">
        <v>41</v>
      </c>
      <c r="D180">
        <v>8</v>
      </c>
      <c r="E180">
        <v>12</v>
      </c>
      <c r="F180">
        <v>-1.9</v>
      </c>
      <c r="G180"/>
      <c r="H180"/>
      <c r="I180" s="153" t="s">
        <v>45</v>
      </c>
      <c r="J180">
        <v>96</v>
      </c>
      <c r="K180">
        <v>0</v>
      </c>
      <c r="L180" s="4">
        <v>0</v>
      </c>
      <c r="M180">
        <v>43.149999999999991</v>
      </c>
      <c r="N180">
        <v>926.9</v>
      </c>
      <c r="O180">
        <v>74</v>
      </c>
      <c r="P180" s="153" t="s">
        <v>131</v>
      </c>
    </row>
    <row r="181" spans="1:16" x14ac:dyDescent="0.25">
      <c r="A181" s="81">
        <v>45008</v>
      </c>
      <c r="B181" s="192" t="s">
        <v>13</v>
      </c>
      <c r="C181" s="153" t="s">
        <v>29</v>
      </c>
      <c r="D181">
        <v>8</v>
      </c>
      <c r="E181">
        <v>13</v>
      </c>
      <c r="F181">
        <v>-2.8</v>
      </c>
      <c r="G181"/>
      <c r="H181"/>
      <c r="I181" s="153" t="s">
        <v>45</v>
      </c>
      <c r="J181">
        <v>95</v>
      </c>
      <c r="K181">
        <v>-1</v>
      </c>
      <c r="L181" s="4">
        <v>0</v>
      </c>
      <c r="M181">
        <v>43.149999999999991</v>
      </c>
      <c r="N181">
        <v>927.2</v>
      </c>
      <c r="O181">
        <v>78</v>
      </c>
      <c r="P181" s="153" t="s">
        <v>131</v>
      </c>
    </row>
    <row r="182" spans="1:16" x14ac:dyDescent="0.25">
      <c r="A182" s="81">
        <v>45008</v>
      </c>
      <c r="B182" s="192" t="s">
        <v>14</v>
      </c>
      <c r="C182" s="153" t="s">
        <v>40</v>
      </c>
      <c r="D182">
        <v>4</v>
      </c>
      <c r="E182">
        <v>12</v>
      </c>
      <c r="F182">
        <v>-3.8</v>
      </c>
      <c r="G182"/>
      <c r="H182"/>
      <c r="I182" s="153" t="s">
        <v>130</v>
      </c>
      <c r="J182">
        <v>94</v>
      </c>
      <c r="K182">
        <v>-1</v>
      </c>
      <c r="L182" s="4">
        <v>0</v>
      </c>
      <c r="M182">
        <v>43.149999999999991</v>
      </c>
      <c r="N182">
        <v>927.9</v>
      </c>
      <c r="O182">
        <v>77</v>
      </c>
      <c r="P182" s="153" t="s">
        <v>131</v>
      </c>
    </row>
    <row r="183" spans="1:16" x14ac:dyDescent="0.25">
      <c r="A183" s="81">
        <v>45008</v>
      </c>
      <c r="B183" s="192" t="s">
        <v>15</v>
      </c>
      <c r="C183" s="153" t="s">
        <v>36</v>
      </c>
      <c r="D183">
        <v>4</v>
      </c>
      <c r="E183">
        <v>6</v>
      </c>
      <c r="F183">
        <v>-6.9</v>
      </c>
      <c r="G183"/>
      <c r="H183"/>
      <c r="I183" s="153" t="s">
        <v>130</v>
      </c>
      <c r="J183">
        <v>93</v>
      </c>
      <c r="K183">
        <v>-1</v>
      </c>
      <c r="L183" s="4">
        <v>0</v>
      </c>
      <c r="M183">
        <v>43.149999999999991</v>
      </c>
      <c r="N183">
        <v>927.4</v>
      </c>
      <c r="O183">
        <v>91</v>
      </c>
      <c r="P183" s="153" t="s">
        <v>131</v>
      </c>
    </row>
    <row r="184" spans="1:16" x14ac:dyDescent="0.25">
      <c r="A184" s="81">
        <v>45008</v>
      </c>
      <c r="B184" s="192" t="s">
        <v>16</v>
      </c>
      <c r="C184" s="153" t="s">
        <v>34</v>
      </c>
      <c r="D184">
        <v>3</v>
      </c>
      <c r="E184">
        <v>4</v>
      </c>
      <c r="F184">
        <v>-8.3000000000000007</v>
      </c>
      <c r="G184"/>
      <c r="H184"/>
      <c r="I184" s="153" t="s">
        <v>130</v>
      </c>
      <c r="J184">
        <v>91</v>
      </c>
      <c r="K184">
        <v>-2</v>
      </c>
      <c r="L184" s="4">
        <v>0</v>
      </c>
      <c r="M184">
        <v>43.149999999999991</v>
      </c>
      <c r="N184">
        <v>928.1</v>
      </c>
      <c r="O184">
        <v>91</v>
      </c>
      <c r="P184" s="153" t="s">
        <v>131</v>
      </c>
    </row>
    <row r="185" spans="1:16" x14ac:dyDescent="0.25">
      <c r="A185" s="81">
        <v>45008</v>
      </c>
      <c r="B185" s="192" t="s">
        <v>17</v>
      </c>
      <c r="C185" s="153" t="s">
        <v>34</v>
      </c>
      <c r="D185">
        <v>2</v>
      </c>
      <c r="E185">
        <v>3</v>
      </c>
      <c r="F185">
        <v>-9.6</v>
      </c>
      <c r="G185"/>
      <c r="H185"/>
      <c r="I185" s="153" t="s">
        <v>130</v>
      </c>
      <c r="J185">
        <v>97</v>
      </c>
      <c r="K185">
        <v>6</v>
      </c>
      <c r="L185" s="4">
        <v>0</v>
      </c>
      <c r="M185">
        <v>43.149999999999991</v>
      </c>
      <c r="N185">
        <v>928.4</v>
      </c>
      <c r="O185">
        <v>91</v>
      </c>
      <c r="P185" s="153" t="s">
        <v>131</v>
      </c>
    </row>
    <row r="186" spans="1:16" x14ac:dyDescent="0.25">
      <c r="A186" s="81">
        <v>45009</v>
      </c>
      <c r="B186" s="192" t="s">
        <v>10</v>
      </c>
      <c r="C186" s="153" t="s">
        <v>34</v>
      </c>
      <c r="D186">
        <v>0</v>
      </c>
      <c r="E186">
        <v>1</v>
      </c>
      <c r="F186">
        <v>-10.199999999999999</v>
      </c>
      <c r="G186"/>
      <c r="H186"/>
      <c r="I186" s="153" t="s">
        <v>130</v>
      </c>
      <c r="J186">
        <v>101</v>
      </c>
      <c r="K186">
        <v>4</v>
      </c>
      <c r="L186" s="4">
        <v>0</v>
      </c>
      <c r="M186">
        <v>43.149999999999991</v>
      </c>
      <c r="N186">
        <v>927.4</v>
      </c>
      <c r="O186">
        <v>90</v>
      </c>
      <c r="P186" s="153" t="s">
        <v>131</v>
      </c>
    </row>
    <row r="187" spans="1:16" x14ac:dyDescent="0.25">
      <c r="A187" s="81">
        <v>45009</v>
      </c>
      <c r="B187" s="192" t="s">
        <v>11</v>
      </c>
      <c r="C187" s="153" t="s">
        <v>34</v>
      </c>
      <c r="D187">
        <v>0</v>
      </c>
      <c r="E187">
        <v>1</v>
      </c>
      <c r="F187">
        <v>-10.6</v>
      </c>
      <c r="G187"/>
      <c r="H187"/>
      <c r="I187" s="153" t="s">
        <v>130</v>
      </c>
      <c r="J187">
        <v>103</v>
      </c>
      <c r="K187">
        <v>2</v>
      </c>
      <c r="L187" s="4">
        <v>0</v>
      </c>
      <c r="M187">
        <v>43.149999999999991</v>
      </c>
      <c r="N187">
        <v>926.9</v>
      </c>
      <c r="O187">
        <v>90</v>
      </c>
      <c r="P187" s="153" t="s">
        <v>131</v>
      </c>
    </row>
    <row r="188" spans="1:16" x14ac:dyDescent="0.25">
      <c r="A188" s="81">
        <v>45009</v>
      </c>
      <c r="B188" s="192" t="s">
        <v>12</v>
      </c>
      <c r="C188" s="153" t="s">
        <v>34</v>
      </c>
      <c r="D188">
        <v>0</v>
      </c>
      <c r="E188">
        <v>2</v>
      </c>
      <c r="F188">
        <v>-11</v>
      </c>
      <c r="G188"/>
      <c r="H188"/>
      <c r="I188" s="153" t="s">
        <v>130</v>
      </c>
      <c r="J188">
        <v>100</v>
      </c>
      <c r="K188">
        <v>-3</v>
      </c>
      <c r="L188" s="4">
        <v>0</v>
      </c>
      <c r="M188">
        <v>43.149999999999991</v>
      </c>
      <c r="N188">
        <v>926</v>
      </c>
      <c r="O188">
        <v>89</v>
      </c>
      <c r="P188" s="153" t="s">
        <v>131</v>
      </c>
    </row>
    <row r="189" spans="1:16" x14ac:dyDescent="0.25">
      <c r="A189" s="81">
        <v>45009</v>
      </c>
      <c r="B189" s="192" t="s">
        <v>13</v>
      </c>
      <c r="C189" s="153" t="s">
        <v>45</v>
      </c>
      <c r="D189">
        <v>0</v>
      </c>
      <c r="E189">
        <v>0</v>
      </c>
      <c r="F189">
        <v>-10.5</v>
      </c>
      <c r="G189"/>
      <c r="H189"/>
      <c r="I189" s="153" t="s">
        <v>130</v>
      </c>
      <c r="J189">
        <v>103</v>
      </c>
      <c r="K189">
        <v>3</v>
      </c>
      <c r="L189" s="4">
        <v>0</v>
      </c>
      <c r="M189">
        <v>43.149999999999991</v>
      </c>
      <c r="N189">
        <v>925.2</v>
      </c>
      <c r="O189">
        <v>90</v>
      </c>
      <c r="P189" s="153" t="s">
        <v>131</v>
      </c>
    </row>
    <row r="190" spans="1:16" x14ac:dyDescent="0.25">
      <c r="A190" s="81">
        <v>45009</v>
      </c>
      <c r="B190" s="192" t="s">
        <v>14</v>
      </c>
      <c r="C190" s="153" t="s">
        <v>34</v>
      </c>
      <c r="D190">
        <v>0</v>
      </c>
      <c r="E190">
        <v>1</v>
      </c>
      <c r="F190">
        <v>-8</v>
      </c>
      <c r="G190"/>
      <c r="H190"/>
      <c r="I190" s="153" t="s">
        <v>130</v>
      </c>
      <c r="J190">
        <v>107</v>
      </c>
      <c r="K190">
        <v>4</v>
      </c>
      <c r="L190" s="4">
        <v>0</v>
      </c>
      <c r="M190">
        <v>43.149999999999991</v>
      </c>
      <c r="N190">
        <v>922.9</v>
      </c>
      <c r="O190">
        <v>86</v>
      </c>
      <c r="P190" s="153" t="s">
        <v>131</v>
      </c>
    </row>
    <row r="191" spans="1:16" x14ac:dyDescent="0.25">
      <c r="A191" s="81">
        <v>45009</v>
      </c>
      <c r="B191" s="192" t="s">
        <v>15</v>
      </c>
      <c r="C191" s="153" t="s">
        <v>34</v>
      </c>
      <c r="D191">
        <v>1</v>
      </c>
      <c r="E191">
        <v>2</v>
      </c>
      <c r="F191">
        <v>-8.6</v>
      </c>
      <c r="G191"/>
      <c r="H191"/>
      <c r="I191" s="153" t="s">
        <v>130</v>
      </c>
      <c r="J191">
        <v>115</v>
      </c>
      <c r="K191">
        <v>8</v>
      </c>
      <c r="L191" s="4">
        <v>0</v>
      </c>
      <c r="M191">
        <v>43.149999999999991</v>
      </c>
      <c r="N191">
        <v>919.1</v>
      </c>
      <c r="O191">
        <v>84</v>
      </c>
      <c r="P191" s="153" t="s">
        <v>131</v>
      </c>
    </row>
    <row r="192" spans="1:16" x14ac:dyDescent="0.25">
      <c r="A192" s="81">
        <v>45009</v>
      </c>
      <c r="B192" s="192" t="s">
        <v>16</v>
      </c>
      <c r="C192" s="153" t="s">
        <v>43</v>
      </c>
      <c r="D192">
        <v>1</v>
      </c>
      <c r="E192">
        <v>2</v>
      </c>
      <c r="F192">
        <v>-8.4</v>
      </c>
      <c r="G192"/>
      <c r="H192"/>
      <c r="I192" s="153" t="s">
        <v>130</v>
      </c>
      <c r="J192">
        <v>130</v>
      </c>
      <c r="K192">
        <v>15</v>
      </c>
      <c r="L192" s="4">
        <v>0</v>
      </c>
      <c r="M192">
        <v>43.149999999999991</v>
      </c>
      <c r="N192">
        <v>914.5</v>
      </c>
      <c r="O192">
        <v>86</v>
      </c>
      <c r="P192" s="153" t="s">
        <v>131</v>
      </c>
    </row>
    <row r="193" spans="1:16" x14ac:dyDescent="0.25">
      <c r="A193" s="81">
        <v>45009</v>
      </c>
      <c r="B193" s="192" t="s">
        <v>17</v>
      </c>
      <c r="C193" s="153" t="s">
        <v>32</v>
      </c>
      <c r="D193">
        <v>5</v>
      </c>
      <c r="E193">
        <v>8</v>
      </c>
      <c r="F193">
        <v>-9.9</v>
      </c>
      <c r="G193"/>
      <c r="H193"/>
      <c r="I193" s="153" t="s">
        <v>130</v>
      </c>
      <c r="J193">
        <v>135</v>
      </c>
      <c r="K193">
        <v>5</v>
      </c>
      <c r="L193" s="4">
        <v>0</v>
      </c>
      <c r="M193">
        <v>43.149999999999991</v>
      </c>
      <c r="N193">
        <v>910</v>
      </c>
      <c r="O193">
        <v>80</v>
      </c>
      <c r="P193" s="153" t="s">
        <v>131</v>
      </c>
    </row>
    <row r="194" spans="1:16" x14ac:dyDescent="0.25">
      <c r="A194" s="81">
        <v>45010</v>
      </c>
      <c r="B194" s="192" t="s">
        <v>10</v>
      </c>
      <c r="C194" s="153" t="s">
        <v>32</v>
      </c>
      <c r="D194">
        <v>2</v>
      </c>
      <c r="E194">
        <v>3</v>
      </c>
      <c r="F194">
        <v>-9.6</v>
      </c>
      <c r="G194"/>
      <c r="H194"/>
      <c r="I194" s="153" t="s">
        <v>130</v>
      </c>
      <c r="J194">
        <v>132</v>
      </c>
      <c r="K194">
        <v>-3</v>
      </c>
      <c r="L194" s="4">
        <v>0</v>
      </c>
      <c r="M194">
        <v>43.149999999999991</v>
      </c>
      <c r="N194">
        <v>905.7</v>
      </c>
      <c r="O194">
        <v>80</v>
      </c>
      <c r="P194" s="153" t="s">
        <v>131</v>
      </c>
    </row>
    <row r="195" spans="1:16" x14ac:dyDescent="0.25">
      <c r="A195" s="81">
        <v>45010</v>
      </c>
      <c r="B195" s="192" t="s">
        <v>11</v>
      </c>
      <c r="C195" s="153" t="s">
        <v>43</v>
      </c>
      <c r="D195">
        <v>0</v>
      </c>
      <c r="E195">
        <v>1</v>
      </c>
      <c r="F195">
        <v>-10.4</v>
      </c>
      <c r="G195"/>
      <c r="H195"/>
      <c r="I195" s="153" t="s">
        <v>130</v>
      </c>
      <c r="J195">
        <v>132</v>
      </c>
      <c r="K195">
        <v>0</v>
      </c>
      <c r="L195" s="4">
        <v>0</v>
      </c>
      <c r="M195">
        <v>43.149999999999991</v>
      </c>
      <c r="N195">
        <v>902</v>
      </c>
      <c r="O195">
        <v>89</v>
      </c>
      <c r="P195" s="153" t="s">
        <v>131</v>
      </c>
    </row>
    <row r="196" spans="1:16" x14ac:dyDescent="0.25">
      <c r="A196" s="81">
        <v>45010</v>
      </c>
      <c r="B196" s="192" t="s">
        <v>12</v>
      </c>
      <c r="C196" s="153" t="s">
        <v>41</v>
      </c>
      <c r="D196">
        <v>2</v>
      </c>
      <c r="E196">
        <v>5</v>
      </c>
      <c r="F196">
        <v>-12.2</v>
      </c>
      <c r="G196"/>
      <c r="H196"/>
      <c r="I196" s="153" t="s">
        <v>130</v>
      </c>
      <c r="J196">
        <v>134</v>
      </c>
      <c r="K196">
        <v>2</v>
      </c>
      <c r="L196" s="4">
        <v>0</v>
      </c>
      <c r="M196">
        <v>43.149999999999991</v>
      </c>
      <c r="N196">
        <v>898.2</v>
      </c>
      <c r="O196">
        <v>81</v>
      </c>
      <c r="P196" s="153" t="s">
        <v>131</v>
      </c>
    </row>
    <row r="197" spans="1:16" x14ac:dyDescent="0.25">
      <c r="A197" s="81">
        <v>45010</v>
      </c>
      <c r="B197" s="192" t="s">
        <v>13</v>
      </c>
      <c r="C197" s="153" t="s">
        <v>41</v>
      </c>
      <c r="D197">
        <v>2</v>
      </c>
      <c r="E197">
        <v>3</v>
      </c>
      <c r="F197">
        <v>-13.6</v>
      </c>
      <c r="G197"/>
      <c r="H197"/>
      <c r="I197" s="153" t="s">
        <v>130</v>
      </c>
      <c r="J197">
        <v>133</v>
      </c>
      <c r="K197">
        <v>-1</v>
      </c>
      <c r="L197" s="4">
        <v>0</v>
      </c>
      <c r="M197">
        <v>43.149999999999991</v>
      </c>
      <c r="N197">
        <v>895.1</v>
      </c>
      <c r="O197">
        <v>76</v>
      </c>
      <c r="P197" s="153" t="s">
        <v>131</v>
      </c>
    </row>
    <row r="198" spans="1:16" x14ac:dyDescent="0.25">
      <c r="A198" s="81">
        <v>45010</v>
      </c>
      <c r="B198" s="192" t="s">
        <v>14</v>
      </c>
      <c r="C198" s="153" t="s">
        <v>41</v>
      </c>
      <c r="D198">
        <v>7</v>
      </c>
      <c r="E198">
        <v>22</v>
      </c>
      <c r="F198">
        <v>-16.100000000000001</v>
      </c>
      <c r="G198"/>
      <c r="H198"/>
      <c r="I198" s="153" t="s">
        <v>127</v>
      </c>
      <c r="J198">
        <v>88</v>
      </c>
      <c r="K198">
        <v>-45</v>
      </c>
      <c r="L198" s="4">
        <v>0</v>
      </c>
      <c r="M198">
        <v>43.149999999999991</v>
      </c>
      <c r="N198">
        <v>893.8</v>
      </c>
      <c r="O198">
        <v>82</v>
      </c>
      <c r="P198" s="153" t="s">
        <v>131</v>
      </c>
    </row>
    <row r="199" spans="1:16" x14ac:dyDescent="0.25">
      <c r="A199" s="81">
        <v>45010</v>
      </c>
      <c r="B199" s="192" t="s">
        <v>15</v>
      </c>
      <c r="C199" s="153" t="s">
        <v>41</v>
      </c>
      <c r="D199"/>
      <c r="E199"/>
      <c r="F199">
        <v>-13.1</v>
      </c>
      <c r="G199"/>
      <c r="H199"/>
      <c r="I199" s="153" t="s">
        <v>127</v>
      </c>
      <c r="J199">
        <v>89</v>
      </c>
      <c r="K199">
        <v>1</v>
      </c>
      <c r="L199" s="4">
        <v>0</v>
      </c>
      <c r="M199">
        <v>43.149999999999991</v>
      </c>
      <c r="N199">
        <v>895</v>
      </c>
      <c r="O199">
        <v>84</v>
      </c>
      <c r="P199" s="153" t="s">
        <v>131</v>
      </c>
    </row>
    <row r="200" spans="1:16" x14ac:dyDescent="0.25">
      <c r="A200" s="81">
        <v>45010</v>
      </c>
      <c r="B200" s="192" t="s">
        <v>16</v>
      </c>
      <c r="C200" s="153" t="s">
        <v>41</v>
      </c>
      <c r="D200">
        <v>22</v>
      </c>
      <c r="E200">
        <v>29</v>
      </c>
      <c r="F200">
        <v>-15.2</v>
      </c>
      <c r="G200"/>
      <c r="H200"/>
      <c r="I200" s="153" t="s">
        <v>127</v>
      </c>
      <c r="J200">
        <v>87</v>
      </c>
      <c r="K200">
        <v>-2</v>
      </c>
      <c r="L200" s="4">
        <v>0</v>
      </c>
      <c r="M200">
        <v>43.149999999999991</v>
      </c>
      <c r="N200">
        <v>896.4</v>
      </c>
      <c r="O200">
        <v>82</v>
      </c>
      <c r="P200" s="153" t="s">
        <v>131</v>
      </c>
    </row>
    <row r="201" spans="1:16" x14ac:dyDescent="0.25">
      <c r="A201" s="81">
        <v>45010</v>
      </c>
      <c r="B201" s="192" t="s">
        <v>17</v>
      </c>
      <c r="C201" s="153" t="s">
        <v>41</v>
      </c>
      <c r="D201">
        <v>20</v>
      </c>
      <c r="E201">
        <v>26</v>
      </c>
      <c r="F201">
        <v>-16.8</v>
      </c>
      <c r="G201"/>
      <c r="H201"/>
      <c r="I201" s="153" t="s">
        <v>127</v>
      </c>
      <c r="J201">
        <v>86</v>
      </c>
      <c r="K201">
        <v>-1</v>
      </c>
      <c r="L201" s="4">
        <v>0</v>
      </c>
      <c r="M201">
        <v>43.149999999999991</v>
      </c>
      <c r="N201">
        <v>901.1</v>
      </c>
      <c r="O201">
        <v>77</v>
      </c>
      <c r="P201" s="153" t="s">
        <v>131</v>
      </c>
    </row>
    <row r="202" spans="1:16" x14ac:dyDescent="0.25">
      <c r="A202" s="81">
        <v>45011</v>
      </c>
      <c r="B202" s="192" t="s">
        <v>10</v>
      </c>
      <c r="C202" s="153" t="s">
        <v>41</v>
      </c>
      <c r="D202">
        <v>15</v>
      </c>
      <c r="E202">
        <v>22</v>
      </c>
      <c r="F202">
        <v>-17.3</v>
      </c>
      <c r="G202"/>
      <c r="H202"/>
      <c r="I202" s="153" t="s">
        <v>127</v>
      </c>
      <c r="J202">
        <v>86</v>
      </c>
      <c r="K202">
        <v>0</v>
      </c>
      <c r="L202" s="4">
        <v>0</v>
      </c>
      <c r="M202">
        <v>43.149999999999991</v>
      </c>
      <c r="N202">
        <v>905.1</v>
      </c>
      <c r="O202">
        <v>74</v>
      </c>
      <c r="P202" s="153" t="s">
        <v>131</v>
      </c>
    </row>
    <row r="203" spans="1:16" x14ac:dyDescent="0.25">
      <c r="A203" s="81">
        <v>45011</v>
      </c>
      <c r="B203" s="192" t="s">
        <v>11</v>
      </c>
      <c r="C203" s="153" t="s">
        <v>41</v>
      </c>
      <c r="D203">
        <v>21</v>
      </c>
      <c r="E203">
        <v>21</v>
      </c>
      <c r="F203">
        <v>-16.399999999999999</v>
      </c>
      <c r="G203"/>
      <c r="H203"/>
      <c r="I203" s="153" t="s">
        <v>127</v>
      </c>
      <c r="J203">
        <v>86</v>
      </c>
      <c r="K203">
        <v>0</v>
      </c>
      <c r="L203" s="4">
        <v>0</v>
      </c>
      <c r="M203">
        <v>43.149999999999991</v>
      </c>
      <c r="N203">
        <v>907.8</v>
      </c>
      <c r="O203">
        <v>68</v>
      </c>
      <c r="P203" s="153" t="s">
        <v>131</v>
      </c>
    </row>
    <row r="204" spans="1:16" x14ac:dyDescent="0.25">
      <c r="A204" s="81">
        <v>45011</v>
      </c>
      <c r="B204" s="192" t="s">
        <v>12</v>
      </c>
      <c r="C204" s="153" t="s">
        <v>41</v>
      </c>
      <c r="D204">
        <v>18</v>
      </c>
      <c r="E204">
        <v>18</v>
      </c>
      <c r="F204">
        <v>-16</v>
      </c>
      <c r="G204"/>
      <c r="H204"/>
      <c r="I204" s="153" t="s">
        <v>127</v>
      </c>
      <c r="J204">
        <v>87</v>
      </c>
      <c r="K204">
        <v>1</v>
      </c>
      <c r="L204" s="4">
        <v>0</v>
      </c>
      <c r="M204">
        <v>43.149999999999991</v>
      </c>
      <c r="N204">
        <v>910</v>
      </c>
      <c r="O204">
        <v>80</v>
      </c>
      <c r="P204" s="153" t="s">
        <v>131</v>
      </c>
    </row>
    <row r="205" spans="1:16" x14ac:dyDescent="0.25">
      <c r="A205" s="81">
        <v>45011</v>
      </c>
      <c r="B205" s="192" t="s">
        <v>13</v>
      </c>
      <c r="C205" s="153" t="s">
        <v>41</v>
      </c>
      <c r="D205"/>
      <c r="E205"/>
      <c r="F205">
        <v>-15.1</v>
      </c>
      <c r="G205"/>
      <c r="H205"/>
      <c r="I205" s="153" t="s">
        <v>127</v>
      </c>
      <c r="J205">
        <v>87</v>
      </c>
      <c r="K205">
        <v>0</v>
      </c>
      <c r="L205" s="4">
        <v>0</v>
      </c>
      <c r="M205">
        <v>43.149999999999991</v>
      </c>
      <c r="N205">
        <v>912.1</v>
      </c>
      <c r="O205">
        <v>60</v>
      </c>
      <c r="P205" s="153" t="s">
        <v>131</v>
      </c>
    </row>
    <row r="206" spans="1:16" x14ac:dyDescent="0.25">
      <c r="A206" s="81">
        <v>45011</v>
      </c>
      <c r="B206" s="192" t="s">
        <v>14</v>
      </c>
      <c r="C206" s="153" t="s">
        <v>41</v>
      </c>
      <c r="D206"/>
      <c r="E206"/>
      <c r="F206">
        <v>-13.4</v>
      </c>
      <c r="G206"/>
      <c r="H206"/>
      <c r="I206" s="153" t="s">
        <v>127</v>
      </c>
      <c r="J206">
        <v>88</v>
      </c>
      <c r="K206">
        <v>1</v>
      </c>
      <c r="L206" s="4">
        <v>0</v>
      </c>
      <c r="M206">
        <v>43.149999999999991</v>
      </c>
      <c r="N206">
        <v>914.3</v>
      </c>
      <c r="O206">
        <v>68</v>
      </c>
      <c r="P206" s="153" t="s">
        <v>131</v>
      </c>
    </row>
    <row r="207" spans="1:16" x14ac:dyDescent="0.25">
      <c r="A207" s="81">
        <v>45011</v>
      </c>
      <c r="B207" s="192" t="s">
        <v>15</v>
      </c>
      <c r="C207" s="153" t="s">
        <v>41</v>
      </c>
      <c r="D207"/>
      <c r="E207"/>
      <c r="F207">
        <v>-11.6</v>
      </c>
      <c r="G207"/>
      <c r="H207"/>
      <c r="I207" s="153" t="s">
        <v>127</v>
      </c>
      <c r="J207">
        <v>89</v>
      </c>
      <c r="K207">
        <v>1</v>
      </c>
      <c r="L207" s="4">
        <v>0</v>
      </c>
      <c r="M207">
        <v>43.149999999999991</v>
      </c>
      <c r="N207">
        <v>916.2</v>
      </c>
      <c r="O207">
        <v>60</v>
      </c>
      <c r="P207" s="153" t="s">
        <v>131</v>
      </c>
    </row>
    <row r="208" spans="1:16" x14ac:dyDescent="0.25">
      <c r="A208" s="81">
        <v>45011</v>
      </c>
      <c r="B208" s="192" t="s">
        <v>16</v>
      </c>
      <c r="C208" s="153" t="s">
        <v>41</v>
      </c>
      <c r="D208"/>
      <c r="E208"/>
      <c r="F208">
        <v>-10.9</v>
      </c>
      <c r="G208"/>
      <c r="H208"/>
      <c r="I208" s="153" t="s">
        <v>127</v>
      </c>
      <c r="J208">
        <v>89</v>
      </c>
      <c r="K208">
        <v>0</v>
      </c>
      <c r="L208" s="4">
        <v>0</v>
      </c>
      <c r="M208">
        <v>43.149999999999991</v>
      </c>
      <c r="N208">
        <v>918.6</v>
      </c>
      <c r="O208">
        <v>56</v>
      </c>
      <c r="P208" s="153" t="s">
        <v>131</v>
      </c>
    </row>
    <row r="209" spans="1:16" x14ac:dyDescent="0.25">
      <c r="A209" s="81">
        <v>45011</v>
      </c>
      <c r="B209" s="192" t="s">
        <v>17</v>
      </c>
      <c r="C209" s="153" t="s">
        <v>41</v>
      </c>
      <c r="D209"/>
      <c r="E209"/>
      <c r="F209">
        <v>-10.199999999999999</v>
      </c>
      <c r="G209"/>
      <c r="H209"/>
      <c r="I209" s="153" t="s">
        <v>45</v>
      </c>
      <c r="J209">
        <v>89</v>
      </c>
      <c r="K209">
        <v>0</v>
      </c>
      <c r="L209" s="4">
        <v>0</v>
      </c>
      <c r="M209">
        <v>43.149999999999991</v>
      </c>
      <c r="N209">
        <v>921.9</v>
      </c>
      <c r="O209">
        <v>48</v>
      </c>
      <c r="P209" s="153" t="s">
        <v>131</v>
      </c>
    </row>
    <row r="210" spans="1:16" x14ac:dyDescent="0.25">
      <c r="A210" s="81">
        <v>45012</v>
      </c>
      <c r="B210" s="192" t="s">
        <v>10</v>
      </c>
      <c r="C210" s="153" t="s">
        <v>41</v>
      </c>
      <c r="D210">
        <v>2</v>
      </c>
      <c r="E210">
        <v>4</v>
      </c>
      <c r="F210">
        <v>-10.1</v>
      </c>
      <c r="G210"/>
      <c r="H210"/>
      <c r="I210" s="153" t="s">
        <v>45</v>
      </c>
      <c r="J210">
        <v>88</v>
      </c>
      <c r="K210">
        <v>-1</v>
      </c>
      <c r="L210" s="4">
        <v>0</v>
      </c>
      <c r="M210">
        <v>43.149999999999991</v>
      </c>
      <c r="N210">
        <v>924.8</v>
      </c>
      <c r="O210">
        <v>74</v>
      </c>
      <c r="P210" s="153" t="s">
        <v>131</v>
      </c>
    </row>
    <row r="211" spans="1:16" x14ac:dyDescent="0.25">
      <c r="A211" s="81">
        <v>45012</v>
      </c>
      <c r="B211" s="192" t="s">
        <v>11</v>
      </c>
      <c r="C211" s="153" t="s">
        <v>41</v>
      </c>
      <c r="D211">
        <v>6</v>
      </c>
      <c r="E211">
        <v>8</v>
      </c>
      <c r="F211">
        <v>-9.1</v>
      </c>
      <c r="G211"/>
      <c r="H211"/>
      <c r="I211" s="153" t="s">
        <v>45</v>
      </c>
      <c r="J211">
        <v>89</v>
      </c>
      <c r="K211">
        <v>1</v>
      </c>
      <c r="L211" s="4">
        <v>0</v>
      </c>
      <c r="M211">
        <v>43.149999999999991</v>
      </c>
      <c r="N211">
        <v>927.5</v>
      </c>
      <c r="O211">
        <v>54</v>
      </c>
      <c r="P211" s="153" t="s">
        <v>131</v>
      </c>
    </row>
    <row r="212" spans="1:16" x14ac:dyDescent="0.25">
      <c r="A212" s="81">
        <v>45012</v>
      </c>
      <c r="B212" s="192" t="s">
        <v>12</v>
      </c>
      <c r="C212" s="153" t="s">
        <v>41</v>
      </c>
      <c r="D212">
        <v>4</v>
      </c>
      <c r="E212">
        <v>6</v>
      </c>
      <c r="F212">
        <v>-8.4</v>
      </c>
      <c r="G212"/>
      <c r="H212"/>
      <c r="I212" s="153" t="s">
        <v>45</v>
      </c>
      <c r="J212">
        <v>90</v>
      </c>
      <c r="K212">
        <v>1</v>
      </c>
      <c r="L212" s="4">
        <v>0</v>
      </c>
      <c r="M212">
        <v>43.149999999999991</v>
      </c>
      <c r="N212">
        <v>931.2</v>
      </c>
      <c r="O212">
        <v>43</v>
      </c>
      <c r="P212" s="153" t="s">
        <v>131</v>
      </c>
    </row>
    <row r="213" spans="1:16" x14ac:dyDescent="0.25">
      <c r="A213" s="81">
        <v>45012</v>
      </c>
      <c r="B213" s="192" t="s">
        <v>13</v>
      </c>
      <c r="C213" s="153" t="s">
        <v>41</v>
      </c>
      <c r="D213">
        <v>7</v>
      </c>
      <c r="E213">
        <v>12</v>
      </c>
      <c r="F213">
        <v>-8.6</v>
      </c>
      <c r="G213"/>
      <c r="H213"/>
      <c r="I213" s="153" t="s">
        <v>45</v>
      </c>
      <c r="J213">
        <v>90</v>
      </c>
      <c r="K213">
        <v>0</v>
      </c>
      <c r="L213" s="4">
        <v>0</v>
      </c>
      <c r="M213">
        <v>43.149999999999991</v>
      </c>
      <c r="N213">
        <v>934</v>
      </c>
      <c r="O213">
        <v>50</v>
      </c>
      <c r="P213" s="153" t="s">
        <v>131</v>
      </c>
    </row>
    <row r="214" spans="1:16" x14ac:dyDescent="0.25">
      <c r="A214" s="81">
        <v>45012</v>
      </c>
      <c r="B214" s="192" t="s">
        <v>14</v>
      </c>
      <c r="C214" s="153" t="s">
        <v>41</v>
      </c>
      <c r="D214">
        <v>6</v>
      </c>
      <c r="E214">
        <v>12</v>
      </c>
      <c r="F214">
        <v>-6.2</v>
      </c>
      <c r="G214"/>
      <c r="H214"/>
      <c r="I214" s="153" t="s">
        <v>45</v>
      </c>
      <c r="J214">
        <v>91</v>
      </c>
      <c r="K214">
        <v>1</v>
      </c>
      <c r="L214" s="4">
        <v>0</v>
      </c>
      <c r="M214">
        <v>43.149999999999991</v>
      </c>
      <c r="N214">
        <v>936.5</v>
      </c>
      <c r="O214">
        <v>51</v>
      </c>
      <c r="P214" s="153" t="s">
        <v>131</v>
      </c>
    </row>
    <row r="215" spans="1:16" x14ac:dyDescent="0.25">
      <c r="A215" s="81">
        <v>45012</v>
      </c>
      <c r="B215" s="192" t="s">
        <v>15</v>
      </c>
      <c r="C215" s="153" t="s">
        <v>41</v>
      </c>
      <c r="D215">
        <v>7</v>
      </c>
      <c r="E215">
        <v>11</v>
      </c>
      <c r="F215">
        <v>-4.5999999999999996</v>
      </c>
      <c r="G215"/>
      <c r="H215"/>
      <c r="I215" s="153" t="s">
        <v>45</v>
      </c>
      <c r="J215">
        <v>92</v>
      </c>
      <c r="K215">
        <v>1</v>
      </c>
      <c r="L215" s="4">
        <v>0</v>
      </c>
      <c r="M215">
        <v>43.149999999999991</v>
      </c>
      <c r="N215">
        <v>936.1</v>
      </c>
      <c r="O215">
        <v>54</v>
      </c>
      <c r="P215" s="153" t="s">
        <v>131</v>
      </c>
    </row>
    <row r="216" spans="1:16" x14ac:dyDescent="0.25">
      <c r="A216" s="81">
        <v>45012</v>
      </c>
      <c r="B216" s="192" t="s">
        <v>16</v>
      </c>
      <c r="C216" s="153" t="s">
        <v>41</v>
      </c>
      <c r="D216">
        <v>1</v>
      </c>
      <c r="E216">
        <v>2</v>
      </c>
      <c r="F216">
        <v>-6.1</v>
      </c>
      <c r="G216"/>
      <c r="H216"/>
      <c r="I216" s="153" t="s">
        <v>45</v>
      </c>
      <c r="J216">
        <v>92</v>
      </c>
      <c r="K216">
        <v>0</v>
      </c>
      <c r="L216" s="4">
        <v>0</v>
      </c>
      <c r="M216">
        <v>43.149999999999991</v>
      </c>
      <c r="N216">
        <v>936.5</v>
      </c>
      <c r="O216">
        <v>55</v>
      </c>
      <c r="P216" s="153" t="s">
        <v>131</v>
      </c>
    </row>
    <row r="217" spans="1:16" x14ac:dyDescent="0.25">
      <c r="A217" s="81">
        <v>45012</v>
      </c>
      <c r="B217" s="192" t="s">
        <v>17</v>
      </c>
      <c r="C217" s="153" t="s">
        <v>41</v>
      </c>
      <c r="D217">
        <v>2</v>
      </c>
      <c r="E217">
        <v>3</v>
      </c>
      <c r="F217">
        <v>-8.3000000000000007</v>
      </c>
      <c r="G217"/>
      <c r="H217"/>
      <c r="I217" s="153" t="s">
        <v>45</v>
      </c>
      <c r="J217">
        <v>91</v>
      </c>
      <c r="K217">
        <v>-1</v>
      </c>
      <c r="L217" s="4">
        <v>0</v>
      </c>
      <c r="M217">
        <v>43.149999999999991</v>
      </c>
      <c r="N217">
        <v>935.9</v>
      </c>
      <c r="O217">
        <v>58</v>
      </c>
      <c r="P217" s="153" t="s">
        <v>131</v>
      </c>
    </row>
    <row r="218" spans="1:16" x14ac:dyDescent="0.25">
      <c r="A218" s="81">
        <v>45013</v>
      </c>
      <c r="B218" s="192" t="s">
        <v>10</v>
      </c>
      <c r="C218" s="153" t="s">
        <v>41</v>
      </c>
      <c r="D218">
        <v>2</v>
      </c>
      <c r="E218">
        <v>4</v>
      </c>
      <c r="F218">
        <v>-7.8</v>
      </c>
      <c r="G218"/>
      <c r="H218"/>
      <c r="I218" s="153" t="s">
        <v>45</v>
      </c>
      <c r="J218">
        <v>92</v>
      </c>
      <c r="K218">
        <v>1</v>
      </c>
      <c r="L218" s="4">
        <v>0</v>
      </c>
      <c r="M218">
        <v>43.149999999999991</v>
      </c>
      <c r="N218">
        <v>934.4</v>
      </c>
      <c r="O218">
        <v>60</v>
      </c>
      <c r="P218" s="153" t="s">
        <v>131</v>
      </c>
    </row>
    <row r="219" spans="1:16" x14ac:dyDescent="0.25">
      <c r="A219" s="81">
        <v>45013</v>
      </c>
      <c r="B219" s="192" t="s">
        <v>11</v>
      </c>
      <c r="C219" s="153" t="s">
        <v>41</v>
      </c>
      <c r="D219">
        <v>2</v>
      </c>
      <c r="E219">
        <v>3</v>
      </c>
      <c r="F219">
        <v>-8.4</v>
      </c>
      <c r="G219"/>
      <c r="H219"/>
      <c r="I219" s="153" t="s">
        <v>130</v>
      </c>
      <c r="J219">
        <v>91</v>
      </c>
      <c r="K219">
        <v>-1</v>
      </c>
      <c r="L219" s="4">
        <v>0</v>
      </c>
      <c r="M219">
        <v>43.149999999999991</v>
      </c>
      <c r="N219">
        <v>930.6</v>
      </c>
      <c r="O219">
        <v>67</v>
      </c>
      <c r="P219" s="153" t="s">
        <v>131</v>
      </c>
    </row>
    <row r="220" spans="1:16" x14ac:dyDescent="0.25">
      <c r="A220" s="81">
        <v>45013</v>
      </c>
      <c r="B220" s="192" t="s">
        <v>12</v>
      </c>
      <c r="C220" s="153" t="s">
        <v>41</v>
      </c>
      <c r="D220">
        <v>1</v>
      </c>
      <c r="E220">
        <v>1</v>
      </c>
      <c r="F220">
        <v>-8.1999999999999993</v>
      </c>
      <c r="G220"/>
      <c r="H220"/>
      <c r="I220" s="153" t="s">
        <v>130</v>
      </c>
      <c r="J220">
        <v>90</v>
      </c>
      <c r="K220">
        <v>-1</v>
      </c>
      <c r="L220" s="4">
        <v>0</v>
      </c>
      <c r="M220">
        <v>43.149999999999991</v>
      </c>
      <c r="N220">
        <v>927.6</v>
      </c>
      <c r="O220">
        <v>88</v>
      </c>
      <c r="P220" s="153" t="s">
        <v>131</v>
      </c>
    </row>
    <row r="221" spans="1:16" x14ac:dyDescent="0.25">
      <c r="A221" s="81">
        <v>45013</v>
      </c>
      <c r="B221" s="192" t="s">
        <v>13</v>
      </c>
      <c r="C221" s="153" t="s">
        <v>29</v>
      </c>
      <c r="D221">
        <v>0</v>
      </c>
      <c r="E221">
        <v>1</v>
      </c>
      <c r="F221">
        <v>-6.9</v>
      </c>
      <c r="G221"/>
      <c r="H221"/>
      <c r="I221" s="153" t="s">
        <v>130</v>
      </c>
      <c r="J221">
        <v>93</v>
      </c>
      <c r="K221">
        <v>3</v>
      </c>
      <c r="L221" s="4">
        <v>0</v>
      </c>
      <c r="M221">
        <v>43.149999999999991</v>
      </c>
      <c r="N221">
        <v>923.2</v>
      </c>
      <c r="O221">
        <v>90</v>
      </c>
      <c r="P221" s="153" t="s">
        <v>131</v>
      </c>
    </row>
    <row r="222" spans="1:16" x14ac:dyDescent="0.25">
      <c r="A222" s="81">
        <v>45013</v>
      </c>
      <c r="B222" s="192" t="s">
        <v>14</v>
      </c>
      <c r="C222" s="153" t="s">
        <v>38</v>
      </c>
      <c r="D222">
        <v>1</v>
      </c>
      <c r="E222">
        <v>2</v>
      </c>
      <c r="F222">
        <v>-4.8</v>
      </c>
      <c r="G222"/>
      <c r="H222"/>
      <c r="I222" s="153" t="s">
        <v>130</v>
      </c>
      <c r="J222">
        <v>102</v>
      </c>
      <c r="K222">
        <v>9</v>
      </c>
      <c r="L222" s="4">
        <v>0</v>
      </c>
      <c r="M222">
        <v>43.149999999999991</v>
      </c>
      <c r="N222">
        <v>918.3</v>
      </c>
      <c r="O222">
        <v>82</v>
      </c>
      <c r="P222" s="153" t="s">
        <v>131</v>
      </c>
    </row>
    <row r="223" spans="1:16" x14ac:dyDescent="0.25">
      <c r="A223" s="81">
        <v>45013</v>
      </c>
      <c r="B223" s="192" t="s">
        <v>15</v>
      </c>
      <c r="C223" s="153" t="s">
        <v>34</v>
      </c>
      <c r="D223">
        <v>7</v>
      </c>
      <c r="E223">
        <v>10</v>
      </c>
      <c r="F223">
        <v>-3.7</v>
      </c>
      <c r="G223"/>
      <c r="H223"/>
      <c r="I223" s="153" t="s">
        <v>127</v>
      </c>
      <c r="J223">
        <v>105</v>
      </c>
      <c r="K223">
        <v>3</v>
      </c>
      <c r="L223" s="4">
        <v>0</v>
      </c>
      <c r="M223">
        <v>43.149999999999991</v>
      </c>
      <c r="N223">
        <v>916.2</v>
      </c>
      <c r="O223">
        <v>70</v>
      </c>
      <c r="P223" s="153" t="s">
        <v>131</v>
      </c>
    </row>
    <row r="224" spans="1:16" x14ac:dyDescent="0.25">
      <c r="A224" s="81">
        <v>45013</v>
      </c>
      <c r="B224" s="192" t="s">
        <v>16</v>
      </c>
      <c r="C224" s="153" t="s">
        <v>34</v>
      </c>
      <c r="D224">
        <v>6</v>
      </c>
      <c r="E224">
        <v>12</v>
      </c>
      <c r="F224">
        <v>-1.9</v>
      </c>
      <c r="G224"/>
      <c r="H224"/>
      <c r="I224" s="153" t="s">
        <v>45</v>
      </c>
      <c r="J224">
        <v>109</v>
      </c>
      <c r="K224">
        <v>4</v>
      </c>
      <c r="L224" s="4">
        <v>0</v>
      </c>
      <c r="M224">
        <v>43.149999999999991</v>
      </c>
      <c r="N224">
        <v>917</v>
      </c>
      <c r="O224">
        <v>47</v>
      </c>
      <c r="P224" s="153" t="s">
        <v>131</v>
      </c>
    </row>
    <row r="225" spans="1:16" x14ac:dyDescent="0.25">
      <c r="A225" s="81">
        <v>45013</v>
      </c>
      <c r="B225" s="192" t="s">
        <v>17</v>
      </c>
      <c r="C225" s="153" t="s">
        <v>34</v>
      </c>
      <c r="D225">
        <v>7</v>
      </c>
      <c r="E225">
        <v>11</v>
      </c>
      <c r="F225">
        <v>-4.8</v>
      </c>
      <c r="G225"/>
      <c r="H225"/>
      <c r="I225" s="153" t="s">
        <v>45</v>
      </c>
      <c r="J225">
        <v>107</v>
      </c>
      <c r="K225">
        <v>-2</v>
      </c>
      <c r="L225" s="4">
        <v>0</v>
      </c>
      <c r="M225">
        <v>43.149999999999991</v>
      </c>
      <c r="N225">
        <v>920.4</v>
      </c>
      <c r="O225">
        <v>75</v>
      </c>
      <c r="P225" s="153" t="s">
        <v>131</v>
      </c>
    </row>
    <row r="226" spans="1:16" x14ac:dyDescent="0.25">
      <c r="A226" s="81">
        <v>45014</v>
      </c>
      <c r="B226" s="192" t="s">
        <v>10</v>
      </c>
      <c r="C226" s="153" t="s">
        <v>32</v>
      </c>
      <c r="D226">
        <v>8</v>
      </c>
      <c r="E226">
        <v>10</v>
      </c>
      <c r="F226">
        <v>-5.3</v>
      </c>
      <c r="G226"/>
      <c r="H226"/>
      <c r="I226" s="153" t="s">
        <v>45</v>
      </c>
      <c r="J226">
        <v>107</v>
      </c>
      <c r="K226">
        <v>0</v>
      </c>
      <c r="L226" s="4">
        <v>0</v>
      </c>
      <c r="M226">
        <v>43.149999999999991</v>
      </c>
      <c r="N226">
        <v>923.4</v>
      </c>
      <c r="O226">
        <v>74</v>
      </c>
      <c r="P226" s="153" t="s">
        <v>131</v>
      </c>
    </row>
    <row r="227" spans="1:16" x14ac:dyDescent="0.25">
      <c r="A227" s="81">
        <v>45014</v>
      </c>
      <c r="B227" s="192" t="s">
        <v>11</v>
      </c>
      <c r="C227" s="153" t="s">
        <v>42</v>
      </c>
      <c r="D227">
        <v>7</v>
      </c>
      <c r="E227">
        <v>12</v>
      </c>
      <c r="F227">
        <v>-5.7</v>
      </c>
      <c r="G227"/>
      <c r="H227"/>
      <c r="I227" s="153" t="s">
        <v>127</v>
      </c>
      <c r="J227">
        <v>106</v>
      </c>
      <c r="K227">
        <v>-1</v>
      </c>
      <c r="L227" s="4">
        <v>0</v>
      </c>
      <c r="M227">
        <v>43.149999999999991</v>
      </c>
      <c r="N227">
        <v>925</v>
      </c>
      <c r="O227">
        <v>79</v>
      </c>
      <c r="P227" s="153" t="s">
        <v>131</v>
      </c>
    </row>
    <row r="228" spans="1:16" x14ac:dyDescent="0.25">
      <c r="A228" s="81">
        <v>45014</v>
      </c>
      <c r="B228" s="192" t="s">
        <v>12</v>
      </c>
      <c r="C228" s="153" t="s">
        <v>41</v>
      </c>
      <c r="D228">
        <v>9</v>
      </c>
      <c r="E228">
        <v>15</v>
      </c>
      <c r="F228">
        <v>-7</v>
      </c>
      <c r="G228"/>
      <c r="H228"/>
      <c r="I228" s="153" t="s">
        <v>127</v>
      </c>
      <c r="J228">
        <v>94</v>
      </c>
      <c r="K228">
        <v>-12</v>
      </c>
      <c r="L228" s="4">
        <v>0</v>
      </c>
      <c r="M228">
        <v>43.149999999999991</v>
      </c>
      <c r="N228">
        <v>926.7</v>
      </c>
      <c r="O228">
        <v>72</v>
      </c>
      <c r="P228" s="153" t="s">
        <v>131</v>
      </c>
    </row>
    <row r="229" spans="1:16" x14ac:dyDescent="0.25">
      <c r="A229" s="81">
        <v>45014</v>
      </c>
      <c r="B229" s="192" t="s">
        <v>13</v>
      </c>
      <c r="C229" s="153" t="s">
        <v>38</v>
      </c>
      <c r="D229">
        <v>12</v>
      </c>
      <c r="E229">
        <v>17</v>
      </c>
      <c r="F229">
        <v>-8.4</v>
      </c>
      <c r="G229"/>
      <c r="H229"/>
      <c r="I229" s="153" t="s">
        <v>45</v>
      </c>
      <c r="J229">
        <v>89</v>
      </c>
      <c r="K229">
        <v>-5</v>
      </c>
      <c r="L229" s="4">
        <v>0</v>
      </c>
      <c r="M229">
        <v>43.149999999999991</v>
      </c>
      <c r="N229">
        <v>928</v>
      </c>
      <c r="O229">
        <v>71</v>
      </c>
      <c r="P229" s="153" t="s">
        <v>131</v>
      </c>
    </row>
    <row r="230" spans="1:16" x14ac:dyDescent="0.25">
      <c r="A230" s="81">
        <v>45014</v>
      </c>
      <c r="B230" s="192" t="s">
        <v>14</v>
      </c>
      <c r="C230" s="153" t="s">
        <v>38</v>
      </c>
      <c r="D230">
        <v>10</v>
      </c>
      <c r="E230">
        <v>14</v>
      </c>
      <c r="F230">
        <v>-6.6</v>
      </c>
      <c r="G230"/>
      <c r="H230"/>
      <c r="I230" s="153" t="s">
        <v>45</v>
      </c>
      <c r="J230">
        <v>91</v>
      </c>
      <c r="K230">
        <v>2</v>
      </c>
      <c r="L230" s="4">
        <v>0</v>
      </c>
      <c r="M230">
        <v>43.149999999999991</v>
      </c>
      <c r="N230">
        <v>929.4</v>
      </c>
      <c r="O230">
        <v>57</v>
      </c>
      <c r="P230" s="153" t="s">
        <v>131</v>
      </c>
    </row>
    <row r="231" spans="1:16" x14ac:dyDescent="0.25">
      <c r="A231" s="81">
        <v>45014</v>
      </c>
      <c r="B231" s="192" t="s">
        <v>15</v>
      </c>
      <c r="C231" s="153" t="s">
        <v>38</v>
      </c>
      <c r="D231">
        <v>11</v>
      </c>
      <c r="E231">
        <v>16</v>
      </c>
      <c r="F231">
        <v>-6</v>
      </c>
      <c r="G231"/>
      <c r="H231"/>
      <c r="I231" s="153" t="s">
        <v>45</v>
      </c>
      <c r="J231">
        <v>91</v>
      </c>
      <c r="K231">
        <v>0</v>
      </c>
      <c r="L231" s="4">
        <v>0</v>
      </c>
      <c r="M231">
        <v>43.149999999999991</v>
      </c>
      <c r="N231">
        <v>929.3</v>
      </c>
      <c r="O231">
        <v>57</v>
      </c>
      <c r="P231" s="153" t="s">
        <v>131</v>
      </c>
    </row>
    <row r="232" spans="1:16" x14ac:dyDescent="0.25">
      <c r="A232" s="81">
        <v>45014</v>
      </c>
      <c r="B232" s="192" t="s">
        <v>16</v>
      </c>
      <c r="C232" s="153" t="s">
        <v>38</v>
      </c>
      <c r="D232">
        <v>9</v>
      </c>
      <c r="E232">
        <v>13</v>
      </c>
      <c r="F232">
        <v>-5.6</v>
      </c>
      <c r="G232"/>
      <c r="H232"/>
      <c r="I232" s="153" t="s">
        <v>45</v>
      </c>
      <c r="J232">
        <v>92</v>
      </c>
      <c r="K232">
        <v>1</v>
      </c>
      <c r="L232" s="4">
        <v>0</v>
      </c>
      <c r="M232">
        <v>43.149999999999991</v>
      </c>
      <c r="N232">
        <v>929.9</v>
      </c>
      <c r="O232">
        <v>49</v>
      </c>
      <c r="P232" s="153" t="s">
        <v>131</v>
      </c>
    </row>
    <row r="233" spans="1:16" x14ac:dyDescent="0.25">
      <c r="A233" s="81">
        <v>45014</v>
      </c>
      <c r="B233" s="192" t="s">
        <v>17</v>
      </c>
      <c r="C233" s="153" t="s">
        <v>38</v>
      </c>
      <c r="D233">
        <v>9</v>
      </c>
      <c r="E233">
        <v>13</v>
      </c>
      <c r="F233">
        <v>-5.7</v>
      </c>
      <c r="G233"/>
      <c r="H233"/>
      <c r="I233" s="153" t="s">
        <v>45</v>
      </c>
      <c r="J233">
        <v>91</v>
      </c>
      <c r="K233">
        <v>-1</v>
      </c>
      <c r="L233" s="4">
        <v>0</v>
      </c>
      <c r="M233">
        <v>43.149999999999991</v>
      </c>
      <c r="N233">
        <v>931.2</v>
      </c>
      <c r="O233">
        <v>51</v>
      </c>
      <c r="P233" s="153" t="s">
        <v>131</v>
      </c>
    </row>
    <row r="234" spans="1:16" x14ac:dyDescent="0.25">
      <c r="A234" s="81">
        <v>45015</v>
      </c>
      <c r="B234" s="192" t="s">
        <v>10</v>
      </c>
      <c r="C234" s="153" t="s">
        <v>38</v>
      </c>
      <c r="D234">
        <v>9</v>
      </c>
      <c r="E234">
        <v>16</v>
      </c>
      <c r="F234">
        <v>-6.2</v>
      </c>
      <c r="G234"/>
      <c r="H234"/>
      <c r="I234" s="153" t="s">
        <v>45</v>
      </c>
      <c r="J234">
        <v>91</v>
      </c>
      <c r="K234">
        <v>0</v>
      </c>
      <c r="L234" s="4">
        <v>0</v>
      </c>
      <c r="M234">
        <v>43.149999999999991</v>
      </c>
      <c r="N234">
        <v>932</v>
      </c>
      <c r="O234">
        <v>49</v>
      </c>
      <c r="P234" s="153" t="s">
        <v>131</v>
      </c>
    </row>
    <row r="235" spans="1:16" x14ac:dyDescent="0.25">
      <c r="A235" s="81">
        <v>45015</v>
      </c>
      <c r="B235" s="192" t="s">
        <v>11</v>
      </c>
      <c r="C235" s="153" t="s">
        <v>38</v>
      </c>
      <c r="D235">
        <v>10</v>
      </c>
      <c r="E235">
        <v>15</v>
      </c>
      <c r="F235">
        <v>-6.6</v>
      </c>
      <c r="G235"/>
      <c r="H235"/>
      <c r="I235" s="153" t="s">
        <v>45</v>
      </c>
      <c r="J235">
        <v>90</v>
      </c>
      <c r="K235">
        <v>-1</v>
      </c>
      <c r="L235" s="4">
        <v>0</v>
      </c>
      <c r="M235">
        <v>43.149999999999991</v>
      </c>
      <c r="N235">
        <v>932.1</v>
      </c>
      <c r="O235">
        <v>52</v>
      </c>
      <c r="P235" s="153" t="s">
        <v>131</v>
      </c>
    </row>
    <row r="236" spans="1:16" x14ac:dyDescent="0.25">
      <c r="A236" s="81">
        <v>45015</v>
      </c>
      <c r="B236" s="192" t="s">
        <v>12</v>
      </c>
      <c r="C236" s="153" t="s">
        <v>38</v>
      </c>
      <c r="D236">
        <v>9</v>
      </c>
      <c r="E236">
        <v>13</v>
      </c>
      <c r="F236">
        <v>-6.6</v>
      </c>
      <c r="G236"/>
      <c r="H236"/>
      <c r="I236" s="153" t="s">
        <v>45</v>
      </c>
      <c r="J236">
        <v>91</v>
      </c>
      <c r="K236">
        <v>1</v>
      </c>
      <c r="L236" s="4">
        <v>0</v>
      </c>
      <c r="M236">
        <v>43.149999999999991</v>
      </c>
      <c r="N236">
        <v>932.8</v>
      </c>
      <c r="O236">
        <v>47</v>
      </c>
      <c r="P236" s="153" t="s">
        <v>131</v>
      </c>
    </row>
    <row r="237" spans="1:16" x14ac:dyDescent="0.25">
      <c r="A237" s="81">
        <v>45015</v>
      </c>
      <c r="B237" s="192" t="s">
        <v>13</v>
      </c>
      <c r="C237" s="153" t="s">
        <v>38</v>
      </c>
      <c r="D237">
        <v>3</v>
      </c>
      <c r="E237">
        <v>7</v>
      </c>
      <c r="F237">
        <v>-7.4</v>
      </c>
      <c r="G237"/>
      <c r="H237"/>
      <c r="I237" s="153" t="s">
        <v>45</v>
      </c>
      <c r="J237">
        <v>90</v>
      </c>
      <c r="K237">
        <v>-1</v>
      </c>
      <c r="L237" s="4">
        <v>0</v>
      </c>
      <c r="M237">
        <v>43.149999999999991</v>
      </c>
      <c r="N237">
        <v>933.9</v>
      </c>
      <c r="O237">
        <v>45</v>
      </c>
      <c r="P237" s="153" t="s">
        <v>131</v>
      </c>
    </row>
    <row r="238" spans="1:16" x14ac:dyDescent="0.25">
      <c r="A238" s="81">
        <v>45015</v>
      </c>
      <c r="B238" s="192" t="s">
        <v>14</v>
      </c>
      <c r="C238" s="153" t="s">
        <v>38</v>
      </c>
      <c r="D238">
        <v>4</v>
      </c>
      <c r="E238">
        <v>8</v>
      </c>
      <c r="F238">
        <v>-3.8</v>
      </c>
      <c r="G238"/>
      <c r="H238"/>
      <c r="I238" s="153" t="s">
        <v>45</v>
      </c>
      <c r="J238">
        <v>92</v>
      </c>
      <c r="K238">
        <v>2</v>
      </c>
      <c r="L238" s="4">
        <v>0</v>
      </c>
      <c r="M238">
        <v>43.149999999999991</v>
      </c>
      <c r="N238">
        <v>934.4</v>
      </c>
      <c r="O238">
        <v>49</v>
      </c>
      <c r="P238" s="153" t="s">
        <v>131</v>
      </c>
    </row>
    <row r="239" spans="1:16" x14ac:dyDescent="0.25">
      <c r="A239" s="81">
        <v>45015</v>
      </c>
      <c r="B239" s="192" t="s">
        <v>15</v>
      </c>
      <c r="C239" s="153" t="s">
        <v>38</v>
      </c>
      <c r="D239">
        <v>1</v>
      </c>
      <c r="E239">
        <v>2</v>
      </c>
      <c r="F239">
        <v>-3.7</v>
      </c>
      <c r="G239"/>
      <c r="H239"/>
      <c r="I239" s="153" t="s">
        <v>45</v>
      </c>
      <c r="J239">
        <v>93</v>
      </c>
      <c r="K239">
        <v>1</v>
      </c>
      <c r="L239" s="4">
        <v>0</v>
      </c>
      <c r="M239">
        <v>43.149999999999991</v>
      </c>
      <c r="N239">
        <v>934.6</v>
      </c>
      <c r="O239">
        <v>52</v>
      </c>
      <c r="P239" s="153" t="s">
        <v>131</v>
      </c>
    </row>
    <row r="240" spans="1:16" x14ac:dyDescent="0.25">
      <c r="A240" s="81">
        <v>45015</v>
      </c>
      <c r="B240" s="192" t="s">
        <v>16</v>
      </c>
      <c r="C240" s="153" t="s">
        <v>38</v>
      </c>
      <c r="D240">
        <v>1</v>
      </c>
      <c r="E240">
        <v>2</v>
      </c>
      <c r="F240">
        <v>-4.4000000000000004</v>
      </c>
      <c r="G240"/>
      <c r="H240"/>
      <c r="I240" s="153" t="s">
        <v>45</v>
      </c>
      <c r="J240">
        <v>92</v>
      </c>
      <c r="K240">
        <v>-1</v>
      </c>
      <c r="L240" s="4">
        <v>0</v>
      </c>
      <c r="M240">
        <v>43.149999999999991</v>
      </c>
      <c r="N240">
        <v>935.7</v>
      </c>
      <c r="O240">
        <v>64</v>
      </c>
      <c r="P240" s="153" t="s">
        <v>131</v>
      </c>
    </row>
    <row r="241" spans="1:16" x14ac:dyDescent="0.25">
      <c r="A241" s="81">
        <v>45015</v>
      </c>
      <c r="B241" s="192" t="s">
        <v>17</v>
      </c>
      <c r="C241" s="153" t="s">
        <v>38</v>
      </c>
      <c r="D241">
        <v>1</v>
      </c>
      <c r="E241">
        <v>2</v>
      </c>
      <c r="F241">
        <v>-7.5</v>
      </c>
      <c r="G241"/>
      <c r="H241"/>
      <c r="I241" s="153" t="s">
        <v>45</v>
      </c>
      <c r="J241">
        <v>91</v>
      </c>
      <c r="K241">
        <v>-1</v>
      </c>
      <c r="L241" s="4">
        <v>0</v>
      </c>
      <c r="M241">
        <v>43.149999999999991</v>
      </c>
      <c r="N241">
        <v>937.6</v>
      </c>
      <c r="O241">
        <v>67</v>
      </c>
      <c r="P241" s="153" t="s">
        <v>131</v>
      </c>
    </row>
    <row r="242" spans="1:16" x14ac:dyDescent="0.25">
      <c r="A242" s="81">
        <v>45016</v>
      </c>
      <c r="B242" s="192" t="s">
        <v>10</v>
      </c>
      <c r="C242" s="153" t="s">
        <v>38</v>
      </c>
      <c r="D242">
        <v>1</v>
      </c>
      <c r="E242">
        <v>2</v>
      </c>
      <c r="F242">
        <v>-7.1</v>
      </c>
      <c r="G242"/>
      <c r="H242"/>
      <c r="I242" s="153" t="s">
        <v>45</v>
      </c>
      <c r="J242">
        <v>91</v>
      </c>
      <c r="K242">
        <v>0</v>
      </c>
      <c r="L242" s="4">
        <v>0</v>
      </c>
      <c r="M242">
        <v>43.149999999999991</v>
      </c>
      <c r="N242">
        <v>938.6</v>
      </c>
      <c r="O242">
        <v>59</v>
      </c>
      <c r="P242" s="153" t="s">
        <v>131</v>
      </c>
    </row>
    <row r="243" spans="1:16" x14ac:dyDescent="0.25">
      <c r="A243" s="81">
        <v>45016</v>
      </c>
      <c r="B243" s="192" t="s">
        <v>11</v>
      </c>
      <c r="C243" s="153" t="s">
        <v>38</v>
      </c>
      <c r="D243">
        <v>1</v>
      </c>
      <c r="E243">
        <v>3</v>
      </c>
      <c r="F243">
        <v>-7.2</v>
      </c>
      <c r="G243"/>
      <c r="H243"/>
      <c r="I243" s="153" t="s">
        <v>45</v>
      </c>
      <c r="J243">
        <v>91</v>
      </c>
      <c r="K243">
        <v>0</v>
      </c>
      <c r="L243" s="4">
        <v>0</v>
      </c>
      <c r="M243">
        <v>43.149999999999991</v>
      </c>
      <c r="N243">
        <v>939.3</v>
      </c>
      <c r="O243">
        <v>58</v>
      </c>
      <c r="P243" s="153" t="s">
        <v>131</v>
      </c>
    </row>
    <row r="244" spans="1:16" x14ac:dyDescent="0.25">
      <c r="A244" s="81">
        <v>45016</v>
      </c>
      <c r="B244" s="192" t="s">
        <v>12</v>
      </c>
      <c r="C244" s="153" t="s">
        <v>38</v>
      </c>
      <c r="D244">
        <v>1</v>
      </c>
      <c r="E244">
        <v>2</v>
      </c>
      <c r="F244">
        <v>-6.5</v>
      </c>
      <c r="G244"/>
      <c r="H244"/>
      <c r="I244" s="153" t="s">
        <v>45</v>
      </c>
      <c r="J244">
        <v>91</v>
      </c>
      <c r="K244">
        <v>0</v>
      </c>
      <c r="L244" s="4">
        <v>0</v>
      </c>
      <c r="M244">
        <v>43.149999999999991</v>
      </c>
      <c r="N244">
        <v>939.7</v>
      </c>
      <c r="O244">
        <v>59</v>
      </c>
      <c r="P244" s="153" t="s">
        <v>131</v>
      </c>
    </row>
    <row r="245" spans="1:16" x14ac:dyDescent="0.25">
      <c r="A245" s="81">
        <v>45016</v>
      </c>
      <c r="B245" s="192" t="s">
        <v>13</v>
      </c>
      <c r="C245" s="153" t="s">
        <v>38</v>
      </c>
      <c r="D245">
        <v>2</v>
      </c>
      <c r="E245">
        <v>4</v>
      </c>
      <c r="F245">
        <v>-6.6</v>
      </c>
      <c r="G245"/>
      <c r="H245"/>
      <c r="I245" s="153" t="s">
        <v>45</v>
      </c>
      <c r="J245">
        <v>91</v>
      </c>
      <c r="K245">
        <v>0</v>
      </c>
      <c r="L245" s="4">
        <v>0</v>
      </c>
      <c r="M245">
        <v>43.149999999999991</v>
      </c>
      <c r="N245">
        <v>940.7</v>
      </c>
      <c r="O245">
        <v>60</v>
      </c>
      <c r="P245" s="153" t="s">
        <v>131</v>
      </c>
    </row>
    <row r="246" spans="1:16" x14ac:dyDescent="0.25">
      <c r="A246" s="81">
        <v>45016</v>
      </c>
      <c r="B246" s="192" t="s">
        <v>14</v>
      </c>
      <c r="C246" s="153" t="s">
        <v>38</v>
      </c>
      <c r="D246">
        <v>1</v>
      </c>
      <c r="E246">
        <v>3</v>
      </c>
      <c r="F246">
        <v>-0.9</v>
      </c>
      <c r="G246"/>
      <c r="H246"/>
      <c r="I246" s="153" t="s">
        <v>45</v>
      </c>
      <c r="J246">
        <v>94</v>
      </c>
      <c r="K246">
        <v>3</v>
      </c>
      <c r="L246" s="4">
        <v>0</v>
      </c>
      <c r="M246">
        <v>43.149999999999991</v>
      </c>
      <c r="N246">
        <v>941</v>
      </c>
      <c r="O246">
        <v>51</v>
      </c>
      <c r="P246" s="153" t="s">
        <v>131</v>
      </c>
    </row>
    <row r="247" spans="1:16" x14ac:dyDescent="0.25">
      <c r="A247" s="81">
        <v>45016</v>
      </c>
      <c r="B247" s="192" t="s">
        <v>15</v>
      </c>
      <c r="C247" s="153" t="s">
        <v>38</v>
      </c>
      <c r="D247">
        <v>4</v>
      </c>
      <c r="E247">
        <v>9</v>
      </c>
      <c r="F247">
        <v>0.8</v>
      </c>
      <c r="G247"/>
      <c r="H247"/>
      <c r="I247" s="153" t="s">
        <v>45</v>
      </c>
      <c r="J247">
        <v>95</v>
      </c>
      <c r="K247">
        <v>1</v>
      </c>
      <c r="L247" s="4">
        <v>0</v>
      </c>
      <c r="M247">
        <v>43.149999999999991</v>
      </c>
      <c r="N247">
        <v>941.1</v>
      </c>
      <c r="O247">
        <v>50</v>
      </c>
      <c r="P247" s="153" t="s">
        <v>131</v>
      </c>
    </row>
    <row r="248" spans="1:16" x14ac:dyDescent="0.25">
      <c r="A248" s="81">
        <v>45016</v>
      </c>
      <c r="B248" s="192" t="s">
        <v>16</v>
      </c>
      <c r="C248" s="153" t="s">
        <v>38</v>
      </c>
      <c r="D248">
        <v>3</v>
      </c>
      <c r="E248">
        <v>5</v>
      </c>
      <c r="F248">
        <v>0.2</v>
      </c>
      <c r="G248"/>
      <c r="H248"/>
      <c r="I248" s="153" t="s">
        <v>45</v>
      </c>
      <c r="J248">
        <v>95</v>
      </c>
      <c r="K248">
        <v>0</v>
      </c>
      <c r="L248" s="4">
        <v>0</v>
      </c>
      <c r="M248">
        <v>43.149999999999991</v>
      </c>
      <c r="N248">
        <v>941.2</v>
      </c>
      <c r="O248">
        <v>52</v>
      </c>
      <c r="P248" s="153" t="s">
        <v>131</v>
      </c>
    </row>
    <row r="249" spans="1:16" x14ac:dyDescent="0.25">
      <c r="A249" s="81">
        <v>45016</v>
      </c>
      <c r="B249" s="192" t="s">
        <v>17</v>
      </c>
      <c r="C249" s="153" t="s">
        <v>38</v>
      </c>
      <c r="D249">
        <v>3</v>
      </c>
      <c r="E249">
        <v>7</v>
      </c>
      <c r="F249">
        <v>1.8</v>
      </c>
      <c r="G249"/>
      <c r="H249"/>
      <c r="I249" s="153" t="s">
        <v>45</v>
      </c>
      <c r="J249">
        <v>95</v>
      </c>
      <c r="K249">
        <v>0</v>
      </c>
      <c r="L249" s="4">
        <v>0</v>
      </c>
      <c r="M249">
        <v>43.149999999999991</v>
      </c>
      <c r="N249">
        <v>941.9</v>
      </c>
      <c r="O249">
        <v>37</v>
      </c>
      <c r="P249" s="153" t="s">
        <v>131</v>
      </c>
    </row>
  </sheetData>
  <phoneticPr fontId="15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945C7-82CF-456C-A6EE-16176D64D5F7}">
  <sheetPr codeName="Лист5">
    <pageSetUpPr fitToPage="1"/>
  </sheetPr>
  <dimension ref="A1:T30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25" sqref="G25"/>
    </sheetView>
  </sheetViews>
  <sheetFormatPr defaultRowHeight="15" x14ac:dyDescent="0.25"/>
  <cols>
    <col min="1" max="1" width="10.140625" style="81" bestFit="1" customWidth="1"/>
    <col min="2" max="2" width="12.42578125" bestFit="1" customWidth="1"/>
    <col min="3" max="3" width="6.140625" bestFit="1" customWidth="1"/>
    <col min="4" max="4" width="5.5703125" bestFit="1" customWidth="1"/>
    <col min="5" max="5" width="11" customWidth="1"/>
    <col min="6" max="6" width="10.5703125" customWidth="1"/>
    <col min="7" max="7" width="10.140625" bestFit="1" customWidth="1"/>
    <col min="8" max="8" width="7.28515625" bestFit="1" customWidth="1"/>
    <col min="9" max="9" width="6.28515625" bestFit="1" customWidth="1"/>
    <col min="10" max="10" width="7" bestFit="1" customWidth="1"/>
    <col min="11" max="11" width="9.7109375" style="2" customWidth="1"/>
    <col min="12" max="12" width="5.28515625" bestFit="1" customWidth="1"/>
    <col min="13" max="13" width="10.5703125" customWidth="1"/>
    <col min="14" max="14" width="10.28515625" style="4" customWidth="1"/>
    <col min="15" max="15" width="3.5703125" customWidth="1"/>
    <col min="16" max="16" width="12.42578125" style="6" customWidth="1"/>
    <col min="17" max="17" width="9.7109375" style="4" customWidth="1"/>
    <col min="18" max="18" width="5.42578125" bestFit="1" customWidth="1"/>
    <col min="19" max="19" width="11.85546875" bestFit="1" customWidth="1"/>
    <col min="20" max="20" width="19" bestFit="1" customWidth="1"/>
    <col min="21" max="21" width="4.140625" bestFit="1" customWidth="1"/>
    <col min="22" max="22" width="3" bestFit="1" customWidth="1"/>
    <col min="23" max="23" width="4.85546875" bestFit="1" customWidth="1"/>
    <col min="24" max="24" width="3" bestFit="1" customWidth="1"/>
    <col min="25" max="25" width="2.140625" bestFit="1" customWidth="1"/>
    <col min="26" max="26" width="2" bestFit="1" customWidth="1"/>
    <col min="27" max="27" width="3.28515625" bestFit="1" customWidth="1"/>
    <col min="28" max="28" width="2" bestFit="1" customWidth="1"/>
    <col min="29" max="29" width="3.140625" bestFit="1" customWidth="1"/>
    <col min="30" max="31" width="3" bestFit="1" customWidth="1"/>
    <col min="32" max="32" width="2" bestFit="1" customWidth="1"/>
    <col min="33" max="33" width="4" bestFit="1" customWidth="1"/>
    <col min="34" max="34" width="2" bestFit="1" customWidth="1"/>
    <col min="35" max="35" width="3.85546875" bestFit="1" customWidth="1"/>
    <col min="36" max="36" width="2" bestFit="1" customWidth="1"/>
    <col min="37" max="37" width="5.85546875" bestFit="1" customWidth="1"/>
    <col min="38" max="38" width="2" bestFit="1" customWidth="1"/>
    <col min="39" max="39" width="5.7109375" bestFit="1" customWidth="1"/>
    <col min="40" max="40" width="2" bestFit="1" customWidth="1"/>
    <col min="41" max="41" width="5.28515625" bestFit="1" customWidth="1"/>
    <col min="42" max="42" width="36.28515625" bestFit="1" customWidth="1"/>
    <col min="43" max="43" width="23.140625" bestFit="1" customWidth="1"/>
    <col min="44" max="47" width="5.5703125" bestFit="1" customWidth="1"/>
    <col min="48" max="56" width="7.5703125" bestFit="1" customWidth="1"/>
    <col min="57" max="62" width="5.28515625" bestFit="1" customWidth="1"/>
    <col min="63" max="126" width="4.28515625" bestFit="1" customWidth="1"/>
    <col min="127" max="133" width="3.5703125" bestFit="1" customWidth="1"/>
    <col min="134" max="134" width="11.85546875" bestFit="1" customWidth="1"/>
  </cols>
  <sheetData>
    <row r="1" spans="1:20" ht="0.75" customHeight="1" x14ac:dyDescent="0.25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09" t="s">
        <v>1</v>
      </c>
      <c r="N1" s="4" t="s">
        <v>13</v>
      </c>
      <c r="T1" s="4"/>
    </row>
    <row r="2" spans="1:20" ht="0.75" customHeight="1" x14ac:dyDescent="0.25">
      <c r="P2" s="208" t="s">
        <v>221</v>
      </c>
      <c r="Q2" s="208" t="s">
        <v>185</v>
      </c>
    </row>
    <row r="3" spans="1:20" ht="66.75" customHeight="1" x14ac:dyDescent="0.25">
      <c r="A3" s="198" t="s">
        <v>0</v>
      </c>
      <c r="B3" s="199" t="s">
        <v>203</v>
      </c>
      <c r="C3" s="200" t="s">
        <v>204</v>
      </c>
      <c r="D3" s="200" t="s">
        <v>205</v>
      </c>
      <c r="E3" s="200" t="s">
        <v>206</v>
      </c>
      <c r="F3" s="200" t="s">
        <v>194</v>
      </c>
      <c r="G3" s="200" t="s">
        <v>195</v>
      </c>
      <c r="H3" s="200" t="s">
        <v>207</v>
      </c>
      <c r="I3" s="200" t="s">
        <v>208</v>
      </c>
      <c r="J3" s="200" t="s">
        <v>209</v>
      </c>
      <c r="K3" s="215" t="s">
        <v>218</v>
      </c>
      <c r="M3" s="202" t="s">
        <v>0</v>
      </c>
      <c r="N3" s="200" t="s">
        <v>222</v>
      </c>
      <c r="P3" s="202" t="s">
        <v>0</v>
      </c>
      <c r="Q3" s="117" t="s">
        <v>219</v>
      </c>
      <c r="R3" s="117" t="s">
        <v>220</v>
      </c>
      <c r="S3" s="4" t="s">
        <v>223</v>
      </c>
    </row>
    <row r="4" spans="1:20" ht="15" customHeight="1" x14ac:dyDescent="0.25">
      <c r="A4" s="201">
        <v>44986</v>
      </c>
      <c r="B4" s="118">
        <v>-13.637499999999999</v>
      </c>
      <c r="C4" s="117" t="s">
        <v>45</v>
      </c>
      <c r="D4" s="200" t="s">
        <v>45</v>
      </c>
      <c r="E4" s="118">
        <v>916.0625</v>
      </c>
      <c r="F4" s="117">
        <v>917.1</v>
      </c>
      <c r="G4" s="117">
        <v>914.7</v>
      </c>
      <c r="H4" s="120">
        <v>34.5</v>
      </c>
      <c r="I4" s="120">
        <v>38</v>
      </c>
      <c r="J4" s="120">
        <v>12</v>
      </c>
      <c r="K4" s="118">
        <v>11.899999999999999</v>
      </c>
      <c r="M4" s="201">
        <v>44986</v>
      </c>
      <c r="N4" s="117">
        <v>91</v>
      </c>
      <c r="P4" s="201">
        <v>44986</v>
      </c>
      <c r="Q4" s="117">
        <v>1.2</v>
      </c>
      <c r="R4" s="117">
        <v>10.7</v>
      </c>
      <c r="S4" s="117">
        <v>11.899999999999999</v>
      </c>
    </row>
    <row r="5" spans="1:20" ht="15" customHeight="1" x14ac:dyDescent="0.25">
      <c r="A5" s="201">
        <v>44987</v>
      </c>
      <c r="B5" s="118">
        <v>-14.9125</v>
      </c>
      <c r="C5" s="117" t="s">
        <v>45</v>
      </c>
      <c r="D5" s="200" t="s">
        <v>45</v>
      </c>
      <c r="E5" s="118">
        <v>923.25000000000011</v>
      </c>
      <c r="F5" s="117">
        <v>931.1</v>
      </c>
      <c r="G5" s="117">
        <v>917.3</v>
      </c>
      <c r="H5" s="120">
        <v>19.125</v>
      </c>
      <c r="I5" s="120">
        <v>40</v>
      </c>
      <c r="J5" s="120">
        <v>17</v>
      </c>
      <c r="K5" s="216">
        <v>8.5500000000000007</v>
      </c>
      <c r="M5" s="201">
        <v>44987</v>
      </c>
      <c r="N5" s="117">
        <v>89</v>
      </c>
      <c r="P5" s="201">
        <v>44987</v>
      </c>
      <c r="Q5" s="117">
        <v>1.6</v>
      </c>
      <c r="R5" s="117">
        <v>6.95</v>
      </c>
      <c r="S5" s="117">
        <v>8.5500000000000007</v>
      </c>
    </row>
    <row r="6" spans="1:20" ht="15" customHeight="1" x14ac:dyDescent="0.25">
      <c r="A6" s="201">
        <v>44988</v>
      </c>
      <c r="B6" s="118">
        <v>-12.824999999999999</v>
      </c>
      <c r="C6" s="117" t="s">
        <v>45</v>
      </c>
      <c r="D6" s="200" t="s">
        <v>45</v>
      </c>
      <c r="E6" s="118">
        <v>927.82499999999993</v>
      </c>
      <c r="F6" s="117">
        <v>932.7</v>
      </c>
      <c r="G6" s="117">
        <v>921.6</v>
      </c>
      <c r="H6" s="120">
        <v>23.5</v>
      </c>
      <c r="I6" s="120">
        <v>27</v>
      </c>
      <c r="J6" s="120">
        <v>8</v>
      </c>
      <c r="K6" s="118">
        <v>5.7</v>
      </c>
      <c r="M6" s="201">
        <v>44988</v>
      </c>
      <c r="N6" s="117">
        <v>92</v>
      </c>
      <c r="P6" s="201">
        <v>44988</v>
      </c>
      <c r="Q6" s="117">
        <v>0</v>
      </c>
      <c r="R6" s="117">
        <v>5.7</v>
      </c>
      <c r="S6" s="117">
        <v>5.7</v>
      </c>
    </row>
    <row r="7" spans="1:20" ht="15" customHeight="1" x14ac:dyDescent="0.25">
      <c r="A7" s="201">
        <v>44989</v>
      </c>
      <c r="B7" s="118">
        <v>-14.3375</v>
      </c>
      <c r="C7" s="117" t="s">
        <v>45</v>
      </c>
      <c r="D7" s="200" t="s">
        <v>45</v>
      </c>
      <c r="E7" s="118">
        <v>921.41250000000002</v>
      </c>
      <c r="F7" s="117">
        <v>923.5</v>
      </c>
      <c r="G7" s="117">
        <v>920.2</v>
      </c>
      <c r="H7" s="120">
        <v>15.5</v>
      </c>
      <c r="I7" s="120">
        <v>30</v>
      </c>
      <c r="J7" s="120">
        <v>18</v>
      </c>
      <c r="K7" s="118">
        <v>1</v>
      </c>
      <c r="M7" s="201">
        <v>44989</v>
      </c>
      <c r="N7" s="117">
        <v>90</v>
      </c>
      <c r="P7" s="201">
        <v>44989</v>
      </c>
      <c r="Q7" s="117">
        <v>1</v>
      </c>
      <c r="R7" s="117">
        <v>0</v>
      </c>
      <c r="S7" s="117">
        <v>1</v>
      </c>
    </row>
    <row r="8" spans="1:20" ht="15" customHeight="1" x14ac:dyDescent="0.25">
      <c r="A8" s="201">
        <v>44990</v>
      </c>
      <c r="B8" s="118">
        <v>-17.824999999999999</v>
      </c>
      <c r="C8" s="117" t="s">
        <v>45</v>
      </c>
      <c r="D8" s="200" t="s">
        <v>45</v>
      </c>
      <c r="E8" s="118">
        <v>922.52499999999998</v>
      </c>
      <c r="F8" s="117">
        <v>923.8</v>
      </c>
      <c r="G8" s="117">
        <v>921.2</v>
      </c>
      <c r="H8" s="120">
        <v>5.625</v>
      </c>
      <c r="I8" s="120">
        <v>9</v>
      </c>
      <c r="J8" s="120">
        <v>13</v>
      </c>
      <c r="K8" s="118">
        <v>5</v>
      </c>
      <c r="M8" s="201">
        <v>44990</v>
      </c>
      <c r="N8" s="117">
        <v>87</v>
      </c>
      <c r="P8" s="201">
        <v>44990</v>
      </c>
      <c r="Q8" s="117">
        <v>5</v>
      </c>
      <c r="R8" s="117">
        <v>0</v>
      </c>
      <c r="S8" s="117">
        <v>5</v>
      </c>
    </row>
    <row r="9" spans="1:20" ht="15" customHeight="1" x14ac:dyDescent="0.25">
      <c r="A9" s="201">
        <v>44991</v>
      </c>
      <c r="B9" s="118">
        <v>-14.4375</v>
      </c>
      <c r="C9" s="117" t="s">
        <v>45</v>
      </c>
      <c r="D9" s="200" t="s">
        <v>45</v>
      </c>
      <c r="E9" s="118">
        <v>921.19999999999993</v>
      </c>
      <c r="F9" s="117">
        <v>922.4</v>
      </c>
      <c r="G9" s="117">
        <v>919.7</v>
      </c>
      <c r="H9" s="120">
        <v>1.75</v>
      </c>
      <c r="I9" s="120">
        <v>3</v>
      </c>
      <c r="J9" s="120">
        <v>10</v>
      </c>
      <c r="K9" s="118">
        <v>11</v>
      </c>
      <c r="M9" s="201">
        <v>44991</v>
      </c>
      <c r="N9" s="117">
        <v>91</v>
      </c>
      <c r="P9" s="201">
        <v>44991</v>
      </c>
      <c r="Q9" s="117">
        <v>0</v>
      </c>
      <c r="R9" s="117">
        <v>11</v>
      </c>
      <c r="S9" s="117">
        <v>11</v>
      </c>
    </row>
    <row r="10" spans="1:20" ht="15" customHeight="1" x14ac:dyDescent="0.25">
      <c r="A10" s="201">
        <v>44992</v>
      </c>
      <c r="B10" s="118">
        <v>-6.9250000000000007</v>
      </c>
      <c r="C10" s="117" t="s">
        <v>45</v>
      </c>
      <c r="D10" s="200" t="s">
        <v>45</v>
      </c>
      <c r="E10" s="118">
        <v>923.18749999999989</v>
      </c>
      <c r="F10" s="117">
        <v>928.2</v>
      </c>
      <c r="G10" s="117">
        <v>920.9</v>
      </c>
      <c r="H10" s="120">
        <v>4.25</v>
      </c>
      <c r="I10" s="120">
        <v>8</v>
      </c>
      <c r="J10" s="120">
        <v>12</v>
      </c>
      <c r="K10" s="118">
        <v>0</v>
      </c>
      <c r="M10" s="201">
        <v>44992</v>
      </c>
      <c r="N10" s="117">
        <v>94</v>
      </c>
      <c r="P10" s="201">
        <v>44992</v>
      </c>
      <c r="Q10" s="117">
        <v>0</v>
      </c>
      <c r="R10" s="117">
        <v>0</v>
      </c>
      <c r="S10" s="117">
        <v>0</v>
      </c>
    </row>
    <row r="11" spans="1:20" ht="15" customHeight="1" x14ac:dyDescent="0.25">
      <c r="A11" s="201">
        <v>44993</v>
      </c>
      <c r="B11" s="118">
        <v>-8.1750000000000007</v>
      </c>
      <c r="C11" s="4" t="s">
        <v>45</v>
      </c>
      <c r="D11" s="200" t="s">
        <v>45</v>
      </c>
      <c r="E11" s="118">
        <v>931.53749999999991</v>
      </c>
      <c r="F11" s="117">
        <v>932.9</v>
      </c>
      <c r="G11" s="117">
        <v>929</v>
      </c>
      <c r="H11" s="120">
        <v>3</v>
      </c>
      <c r="I11" s="120">
        <v>10</v>
      </c>
      <c r="J11" s="120">
        <v>15</v>
      </c>
      <c r="K11" s="118">
        <v>0</v>
      </c>
      <c r="M11" s="201">
        <v>44993</v>
      </c>
      <c r="N11" s="117">
        <v>91</v>
      </c>
      <c r="P11" s="201">
        <v>44993</v>
      </c>
      <c r="Q11" s="117">
        <v>0</v>
      </c>
      <c r="R11" s="117">
        <v>0</v>
      </c>
      <c r="S11" s="117">
        <v>0</v>
      </c>
    </row>
    <row r="12" spans="1:20" ht="15" customHeight="1" x14ac:dyDescent="0.25">
      <c r="A12" s="201">
        <v>44994</v>
      </c>
      <c r="B12" s="118">
        <v>-7.6</v>
      </c>
      <c r="C12" s="117" t="s">
        <v>45</v>
      </c>
      <c r="D12" s="200" t="s">
        <v>45</v>
      </c>
      <c r="E12" s="118">
        <v>934.26250000000005</v>
      </c>
      <c r="F12" s="117">
        <v>938.5</v>
      </c>
      <c r="G12" s="117">
        <v>930.8</v>
      </c>
      <c r="H12" s="120">
        <v>1.5</v>
      </c>
      <c r="I12" s="120">
        <v>6</v>
      </c>
      <c r="J12" s="120">
        <v>9</v>
      </c>
      <c r="K12" s="118">
        <v>0</v>
      </c>
      <c r="M12" s="201">
        <v>44994</v>
      </c>
      <c r="N12" s="117">
        <v>101</v>
      </c>
      <c r="P12" s="201">
        <v>44994</v>
      </c>
      <c r="Q12" s="117">
        <v>0</v>
      </c>
      <c r="R12" s="117">
        <v>0</v>
      </c>
      <c r="S12" s="117">
        <v>0</v>
      </c>
    </row>
    <row r="13" spans="1:20" ht="15" customHeight="1" x14ac:dyDescent="0.25">
      <c r="A13" s="201">
        <v>44995</v>
      </c>
      <c r="B13" s="118">
        <v>-9</v>
      </c>
      <c r="C13" s="117" t="s">
        <v>45</v>
      </c>
      <c r="D13" s="200" t="s">
        <v>45</v>
      </c>
      <c r="E13" s="118">
        <v>945.44999999999993</v>
      </c>
      <c r="F13" s="117">
        <v>948.4</v>
      </c>
      <c r="G13" s="117">
        <v>940.6</v>
      </c>
      <c r="H13" s="120">
        <v>2</v>
      </c>
      <c r="I13" s="120">
        <v>4</v>
      </c>
      <c r="J13" s="120">
        <v>4</v>
      </c>
      <c r="K13" s="118">
        <v>0</v>
      </c>
      <c r="M13" s="201">
        <v>44995</v>
      </c>
      <c r="N13" s="117">
        <v>101</v>
      </c>
      <c r="P13" s="201">
        <v>44995</v>
      </c>
      <c r="Q13" s="117">
        <v>0</v>
      </c>
      <c r="R13" s="117">
        <v>0</v>
      </c>
      <c r="S13" s="117">
        <v>0</v>
      </c>
    </row>
    <row r="14" spans="1:20" ht="15" customHeight="1" x14ac:dyDescent="0.25">
      <c r="A14" s="201">
        <v>44996</v>
      </c>
      <c r="B14" s="118">
        <v>-9.4625000000000004</v>
      </c>
      <c r="C14" s="117" t="s">
        <v>45</v>
      </c>
      <c r="D14" s="200" t="s">
        <v>45</v>
      </c>
      <c r="E14" s="118">
        <v>948.71250000000009</v>
      </c>
      <c r="F14" s="117">
        <v>950.5</v>
      </c>
      <c r="G14" s="117">
        <v>947.9</v>
      </c>
      <c r="H14" s="120">
        <v>1.875</v>
      </c>
      <c r="I14" s="120">
        <v>3</v>
      </c>
      <c r="J14" s="120">
        <v>4</v>
      </c>
      <c r="K14" s="118">
        <v>0</v>
      </c>
      <c r="M14" s="201">
        <v>44996</v>
      </c>
      <c r="N14" s="117">
        <v>99</v>
      </c>
      <c r="P14" s="201">
        <v>44996</v>
      </c>
      <c r="Q14" s="117">
        <v>0</v>
      </c>
      <c r="R14" s="117">
        <v>0</v>
      </c>
      <c r="S14" s="117">
        <v>0</v>
      </c>
    </row>
    <row r="15" spans="1:20" ht="15" customHeight="1" x14ac:dyDescent="0.25">
      <c r="A15" s="201">
        <v>44997</v>
      </c>
      <c r="B15" s="118">
        <v>-11.387500000000001</v>
      </c>
      <c r="C15" s="117" t="s">
        <v>45</v>
      </c>
      <c r="D15" s="200" t="s">
        <v>45</v>
      </c>
      <c r="E15" s="118">
        <v>951.17499999999995</v>
      </c>
      <c r="F15" s="117">
        <v>952.3</v>
      </c>
      <c r="G15" s="117">
        <v>950.3</v>
      </c>
      <c r="H15" s="120">
        <v>2.75</v>
      </c>
      <c r="I15" s="120">
        <v>4</v>
      </c>
      <c r="J15" s="120">
        <v>5</v>
      </c>
      <c r="K15" s="118">
        <v>0</v>
      </c>
      <c r="M15" s="201">
        <v>44997</v>
      </c>
      <c r="N15" s="117">
        <v>97</v>
      </c>
      <c r="P15" s="201">
        <v>44997</v>
      </c>
      <c r="Q15" s="117">
        <v>0</v>
      </c>
      <c r="R15" s="117">
        <v>0</v>
      </c>
      <c r="S15" s="117">
        <v>0</v>
      </c>
    </row>
    <row r="16" spans="1:20" ht="15" customHeight="1" x14ac:dyDescent="0.25">
      <c r="A16" s="201">
        <v>44998</v>
      </c>
      <c r="B16" s="118">
        <v>-8.2374999999999989</v>
      </c>
      <c r="C16" s="117" t="s">
        <v>45</v>
      </c>
      <c r="D16" s="200" t="s">
        <v>45</v>
      </c>
      <c r="E16" s="118">
        <v>952.375</v>
      </c>
      <c r="F16" s="117">
        <v>953.7</v>
      </c>
      <c r="G16" s="117">
        <v>951.3</v>
      </c>
      <c r="H16" s="120">
        <v>1.375</v>
      </c>
      <c r="I16" s="120">
        <v>2</v>
      </c>
      <c r="J16" s="120">
        <v>4</v>
      </c>
      <c r="K16" s="118">
        <v>0</v>
      </c>
      <c r="M16" s="201">
        <v>44998</v>
      </c>
      <c r="N16" s="117">
        <v>100</v>
      </c>
      <c r="P16" s="201">
        <v>44998</v>
      </c>
      <c r="Q16" s="117">
        <v>0</v>
      </c>
      <c r="R16" s="117">
        <v>0</v>
      </c>
      <c r="S16" s="117">
        <v>0</v>
      </c>
    </row>
    <row r="17" spans="1:19" ht="15" customHeight="1" x14ac:dyDescent="0.25">
      <c r="A17" s="201">
        <v>44999</v>
      </c>
      <c r="B17" s="118">
        <v>-3.2875000000000001</v>
      </c>
      <c r="C17" s="117" t="s">
        <v>45</v>
      </c>
      <c r="D17" s="200" t="s">
        <v>45</v>
      </c>
      <c r="E17" s="118">
        <v>955.32500000000005</v>
      </c>
      <c r="F17" s="117">
        <v>957.1</v>
      </c>
      <c r="G17" s="117">
        <v>953.9</v>
      </c>
      <c r="H17" s="120">
        <v>2.25</v>
      </c>
      <c r="I17" s="120">
        <v>3</v>
      </c>
      <c r="J17" s="120">
        <v>5</v>
      </c>
      <c r="K17" s="118">
        <v>0</v>
      </c>
      <c r="M17" s="201">
        <v>44999</v>
      </c>
      <c r="N17" s="117">
        <v>102</v>
      </c>
      <c r="P17" s="201">
        <v>44999</v>
      </c>
      <c r="Q17" s="117">
        <v>0</v>
      </c>
      <c r="R17" s="117">
        <v>0</v>
      </c>
      <c r="S17" s="117">
        <v>0</v>
      </c>
    </row>
    <row r="18" spans="1:19" ht="15" customHeight="1" x14ac:dyDescent="0.25">
      <c r="A18" s="201">
        <v>45000</v>
      </c>
      <c r="B18" s="118">
        <v>-5.6374999999999993</v>
      </c>
      <c r="C18" s="117" t="s">
        <v>45</v>
      </c>
      <c r="D18" s="200" t="s">
        <v>45</v>
      </c>
      <c r="E18" s="118">
        <v>954.50000000000011</v>
      </c>
      <c r="F18" s="117">
        <v>956.9</v>
      </c>
      <c r="G18" s="117">
        <v>952.1</v>
      </c>
      <c r="H18" s="120">
        <v>1.875</v>
      </c>
      <c r="I18" s="120">
        <v>3</v>
      </c>
      <c r="J18" s="120">
        <v>5</v>
      </c>
      <c r="K18" s="118">
        <v>0</v>
      </c>
      <c r="M18" s="201">
        <v>45000</v>
      </c>
      <c r="N18" s="117">
        <v>99</v>
      </c>
      <c r="P18" s="201">
        <v>45000</v>
      </c>
      <c r="Q18" s="117">
        <v>0</v>
      </c>
      <c r="R18" s="117">
        <v>0</v>
      </c>
      <c r="S18" s="117">
        <v>0</v>
      </c>
    </row>
    <row r="19" spans="1:19" ht="15" customHeight="1" x14ac:dyDescent="0.25">
      <c r="A19" s="201">
        <v>45001</v>
      </c>
      <c r="B19" s="118">
        <v>-5.375</v>
      </c>
      <c r="C19" s="117" t="s">
        <v>45</v>
      </c>
      <c r="D19" s="200" t="s">
        <v>45</v>
      </c>
      <c r="E19" s="118">
        <v>949.51249999999993</v>
      </c>
      <c r="F19" s="117">
        <v>951.3</v>
      </c>
      <c r="G19" s="117">
        <v>947.4</v>
      </c>
      <c r="H19" s="120">
        <v>1.375</v>
      </c>
      <c r="I19" s="120">
        <v>3</v>
      </c>
      <c r="J19" s="120">
        <v>4</v>
      </c>
      <c r="K19" s="118">
        <v>0</v>
      </c>
      <c r="M19" s="201">
        <v>45001</v>
      </c>
      <c r="N19" s="117">
        <v>98</v>
      </c>
      <c r="P19" s="201">
        <v>45001</v>
      </c>
      <c r="Q19" s="117">
        <v>0</v>
      </c>
      <c r="R19" s="117">
        <v>0</v>
      </c>
      <c r="S19" s="117">
        <v>0</v>
      </c>
    </row>
    <row r="20" spans="1:19" ht="15" customHeight="1" x14ac:dyDescent="0.25">
      <c r="A20" s="201">
        <v>45002</v>
      </c>
      <c r="B20" s="118">
        <v>-8.4749999999999996</v>
      </c>
      <c r="C20" s="117" t="s">
        <v>45</v>
      </c>
      <c r="D20" s="200" t="s">
        <v>45</v>
      </c>
      <c r="E20" s="118">
        <v>939.5625</v>
      </c>
      <c r="F20" s="117">
        <v>945.8</v>
      </c>
      <c r="G20" s="117">
        <v>934</v>
      </c>
      <c r="H20" s="120">
        <v>1.25</v>
      </c>
      <c r="I20" s="120">
        <v>3</v>
      </c>
      <c r="J20" s="120">
        <v>3</v>
      </c>
      <c r="K20" s="118">
        <v>0</v>
      </c>
      <c r="M20" s="201">
        <v>45002</v>
      </c>
      <c r="N20" s="117">
        <v>97</v>
      </c>
      <c r="P20" s="201">
        <v>45002</v>
      </c>
      <c r="Q20" s="117">
        <v>0</v>
      </c>
      <c r="R20" s="117">
        <v>0</v>
      </c>
      <c r="S20" s="117">
        <v>0</v>
      </c>
    </row>
    <row r="21" spans="1:19" ht="15" customHeight="1" x14ac:dyDescent="0.25">
      <c r="A21" s="201">
        <v>45003</v>
      </c>
      <c r="B21" s="118">
        <v>-5.1749999999999998</v>
      </c>
      <c r="C21" s="117" t="s">
        <v>45</v>
      </c>
      <c r="D21" s="200" t="s">
        <v>45</v>
      </c>
      <c r="E21" s="118">
        <v>922.47500000000002</v>
      </c>
      <c r="F21" s="117">
        <v>932</v>
      </c>
      <c r="G21" s="117">
        <v>914.5</v>
      </c>
      <c r="H21" s="120">
        <v>4.125</v>
      </c>
      <c r="I21" s="120">
        <v>13</v>
      </c>
      <c r="J21" s="120">
        <v>20</v>
      </c>
      <c r="K21" s="118">
        <v>0</v>
      </c>
      <c r="M21" s="201">
        <v>45003</v>
      </c>
      <c r="N21" s="117">
        <v>100</v>
      </c>
      <c r="P21" s="201">
        <v>45003</v>
      </c>
      <c r="Q21" s="117">
        <v>0</v>
      </c>
      <c r="R21" s="117">
        <v>0</v>
      </c>
      <c r="S21" s="117">
        <v>0</v>
      </c>
    </row>
    <row r="22" spans="1:19" ht="15" customHeight="1" x14ac:dyDescent="0.25">
      <c r="A22" s="201">
        <v>45004</v>
      </c>
      <c r="B22" s="118">
        <v>-8.4124999999999996</v>
      </c>
      <c r="C22" s="117" t="s">
        <v>45</v>
      </c>
      <c r="D22" s="200" t="s">
        <v>45</v>
      </c>
      <c r="E22" s="118">
        <v>916</v>
      </c>
      <c r="F22" s="117">
        <v>917.7</v>
      </c>
      <c r="G22" s="117">
        <v>912.2</v>
      </c>
      <c r="H22" s="120">
        <v>7.75</v>
      </c>
      <c r="I22" s="120">
        <v>12</v>
      </c>
      <c r="J22" s="120">
        <v>19</v>
      </c>
      <c r="K22" s="118">
        <v>0</v>
      </c>
      <c r="M22" s="201">
        <v>45004</v>
      </c>
      <c r="N22" s="117">
        <v>97</v>
      </c>
      <c r="P22" s="201">
        <v>45004</v>
      </c>
      <c r="Q22" s="117">
        <v>0</v>
      </c>
      <c r="R22" s="117">
        <v>0</v>
      </c>
      <c r="S22" s="117">
        <v>0</v>
      </c>
    </row>
    <row r="23" spans="1:19" ht="15" customHeight="1" x14ac:dyDescent="0.25">
      <c r="A23" s="201">
        <v>45005</v>
      </c>
      <c r="B23" s="118">
        <v>-10.275</v>
      </c>
      <c r="C23" s="117" t="s">
        <v>45</v>
      </c>
      <c r="D23" s="200" t="s">
        <v>45</v>
      </c>
      <c r="E23" s="118">
        <v>907.22500000000002</v>
      </c>
      <c r="F23" s="117">
        <v>909.7</v>
      </c>
      <c r="G23" s="117">
        <v>906</v>
      </c>
      <c r="H23" s="120">
        <v>3.375</v>
      </c>
      <c r="I23" s="120">
        <v>7</v>
      </c>
      <c r="J23" s="120">
        <v>9</v>
      </c>
      <c r="K23" s="118">
        <v>0</v>
      </c>
      <c r="M23" s="201">
        <v>45005</v>
      </c>
      <c r="N23" s="117">
        <v>98</v>
      </c>
      <c r="P23" s="201">
        <v>45005</v>
      </c>
      <c r="Q23" s="117">
        <v>0</v>
      </c>
      <c r="R23" s="117">
        <v>0</v>
      </c>
      <c r="S23" s="117">
        <v>0</v>
      </c>
    </row>
    <row r="24" spans="1:19" ht="15" customHeight="1" x14ac:dyDescent="0.25">
      <c r="A24" s="201">
        <v>45006</v>
      </c>
      <c r="B24" s="118">
        <v>-8.8375000000000004</v>
      </c>
      <c r="C24" s="117" t="s">
        <v>45</v>
      </c>
      <c r="D24" s="200" t="s">
        <v>45</v>
      </c>
      <c r="E24" s="118">
        <v>916.6</v>
      </c>
      <c r="F24" s="117">
        <v>928.6</v>
      </c>
      <c r="G24" s="117">
        <v>906.2</v>
      </c>
      <c r="H24" s="120">
        <v>8.75</v>
      </c>
      <c r="I24" s="120">
        <v>13</v>
      </c>
      <c r="J24" s="120">
        <v>20</v>
      </c>
      <c r="K24" s="118">
        <v>0</v>
      </c>
      <c r="M24" s="201">
        <v>45006</v>
      </c>
      <c r="N24" s="117">
        <v>97</v>
      </c>
      <c r="P24" s="201">
        <v>45006</v>
      </c>
      <c r="Q24" s="117">
        <v>0</v>
      </c>
      <c r="R24" s="117">
        <v>0</v>
      </c>
      <c r="S24" s="117">
        <v>0</v>
      </c>
    </row>
    <row r="25" spans="1:19" ht="15" customHeight="1" x14ac:dyDescent="0.25">
      <c r="A25" s="201">
        <v>45007</v>
      </c>
      <c r="B25" s="118">
        <v>-3.0125000000000006</v>
      </c>
      <c r="C25" s="117" t="s">
        <v>45</v>
      </c>
      <c r="D25" s="200" t="s">
        <v>45</v>
      </c>
      <c r="E25" s="118">
        <v>928.25</v>
      </c>
      <c r="F25" s="117">
        <v>930.2</v>
      </c>
      <c r="G25" s="117">
        <v>925.7</v>
      </c>
      <c r="H25" s="120">
        <v>8.625</v>
      </c>
      <c r="I25" s="120">
        <v>11</v>
      </c>
      <c r="J25" s="120">
        <v>20</v>
      </c>
      <c r="K25" s="118">
        <v>0</v>
      </c>
      <c r="M25" s="201">
        <v>45007</v>
      </c>
      <c r="N25" s="117">
        <v>95</v>
      </c>
      <c r="P25" s="201">
        <v>45007</v>
      </c>
      <c r="Q25" s="117">
        <v>0</v>
      </c>
      <c r="R25" s="117">
        <v>0</v>
      </c>
      <c r="S25" s="117">
        <v>0</v>
      </c>
    </row>
    <row r="26" spans="1:19" ht="15" customHeight="1" x14ac:dyDescent="0.25">
      <c r="A26" s="201">
        <v>45008</v>
      </c>
      <c r="B26" s="118">
        <v>-4.4624999999999995</v>
      </c>
      <c r="C26" s="117" t="s">
        <v>45</v>
      </c>
      <c r="D26" s="200" t="s">
        <v>45</v>
      </c>
      <c r="E26" s="118">
        <v>927.47499999999991</v>
      </c>
      <c r="F26" s="117">
        <v>928.4</v>
      </c>
      <c r="G26" s="117">
        <v>926.9</v>
      </c>
      <c r="H26" s="120">
        <v>5.75</v>
      </c>
      <c r="I26" s="120">
        <v>9</v>
      </c>
      <c r="J26" s="120">
        <v>15</v>
      </c>
      <c r="K26" s="118">
        <v>0</v>
      </c>
      <c r="M26" s="201">
        <v>45008</v>
      </c>
      <c r="N26" s="117">
        <v>95</v>
      </c>
      <c r="P26" s="201">
        <v>45008</v>
      </c>
      <c r="Q26" s="117">
        <v>0</v>
      </c>
      <c r="R26" s="117">
        <v>0</v>
      </c>
      <c r="S26" s="117">
        <v>0</v>
      </c>
    </row>
    <row r="27" spans="1:19" ht="15" customHeight="1" x14ac:dyDescent="0.25">
      <c r="A27" s="201">
        <v>45009</v>
      </c>
      <c r="B27" s="118">
        <v>-9.65</v>
      </c>
      <c r="C27" s="117" t="s">
        <v>45</v>
      </c>
      <c r="D27" s="200" t="s">
        <v>45</v>
      </c>
      <c r="E27" s="118">
        <v>921.5</v>
      </c>
      <c r="F27" s="117">
        <v>927.4</v>
      </c>
      <c r="G27" s="117">
        <v>910</v>
      </c>
      <c r="H27" s="120">
        <v>0.875</v>
      </c>
      <c r="I27" s="120">
        <v>5</v>
      </c>
      <c r="J27" s="120">
        <v>8</v>
      </c>
      <c r="K27" s="118">
        <v>0</v>
      </c>
      <c r="M27" s="201">
        <v>45009</v>
      </c>
      <c r="N27" s="117">
        <v>103</v>
      </c>
      <c r="P27" s="201">
        <v>45009</v>
      </c>
      <c r="Q27" s="117">
        <v>0</v>
      </c>
      <c r="R27" s="117">
        <v>0</v>
      </c>
      <c r="S27" s="117">
        <v>0</v>
      </c>
    </row>
    <row r="28" spans="1:19" ht="15" customHeight="1" x14ac:dyDescent="0.25">
      <c r="A28" s="201">
        <v>45010</v>
      </c>
      <c r="B28" s="118">
        <v>-13.375</v>
      </c>
      <c r="C28" s="117" t="s">
        <v>45</v>
      </c>
      <c r="D28" s="200" t="s">
        <v>45</v>
      </c>
      <c r="E28" s="118">
        <v>898.41250000000002</v>
      </c>
      <c r="F28" s="117">
        <v>905.7</v>
      </c>
      <c r="G28" s="117">
        <v>893.8</v>
      </c>
      <c r="H28" s="120">
        <v>7.8571428571428568</v>
      </c>
      <c r="I28" s="120">
        <v>22</v>
      </c>
      <c r="J28" s="120">
        <v>29</v>
      </c>
      <c r="K28" s="118">
        <v>0</v>
      </c>
      <c r="M28" s="201">
        <v>45010</v>
      </c>
      <c r="N28" s="117">
        <v>133</v>
      </c>
      <c r="P28" s="201">
        <v>45010</v>
      </c>
      <c r="Q28" s="117">
        <v>0</v>
      </c>
      <c r="R28" s="117">
        <v>0</v>
      </c>
      <c r="S28" s="117">
        <v>0</v>
      </c>
    </row>
    <row r="29" spans="1:19" ht="15" customHeight="1" x14ac:dyDescent="0.25">
      <c r="A29" s="201">
        <v>45011</v>
      </c>
      <c r="B29" s="118">
        <v>-13.862500000000001</v>
      </c>
      <c r="C29" s="117" t="s">
        <v>45</v>
      </c>
      <c r="D29" s="200" t="s">
        <v>45</v>
      </c>
      <c r="E29" s="118">
        <v>913.25</v>
      </c>
      <c r="F29" s="117">
        <v>921.9</v>
      </c>
      <c r="G29" s="117">
        <v>905.1</v>
      </c>
      <c r="H29" s="120">
        <v>18</v>
      </c>
      <c r="I29" s="120">
        <v>21</v>
      </c>
      <c r="J29" s="120">
        <v>22</v>
      </c>
      <c r="K29" s="118">
        <v>0</v>
      </c>
      <c r="M29" s="201">
        <v>45011</v>
      </c>
      <c r="N29" s="117">
        <v>87</v>
      </c>
      <c r="P29" s="201">
        <v>45011</v>
      </c>
      <c r="Q29" s="117">
        <v>0</v>
      </c>
      <c r="R29" s="117">
        <v>0</v>
      </c>
      <c r="S29" s="117">
        <v>0</v>
      </c>
    </row>
    <row r="30" spans="1:19" ht="15" customHeight="1" x14ac:dyDescent="0.25">
      <c r="A30" s="201">
        <v>45012</v>
      </c>
      <c r="B30" s="118">
        <v>-7.6750000000000007</v>
      </c>
      <c r="C30" s="117" t="s">
        <v>45</v>
      </c>
      <c r="D30" s="200" t="s">
        <v>45</v>
      </c>
      <c r="E30" s="118">
        <v>932.8125</v>
      </c>
      <c r="F30" s="117">
        <v>936.5</v>
      </c>
      <c r="G30" s="117">
        <v>924.8</v>
      </c>
      <c r="H30" s="120">
        <v>4.375</v>
      </c>
      <c r="I30" s="120">
        <v>7</v>
      </c>
      <c r="J30" s="120">
        <v>12</v>
      </c>
      <c r="K30" s="118">
        <v>0</v>
      </c>
      <c r="M30" s="201">
        <v>45012</v>
      </c>
      <c r="N30" s="117">
        <v>90</v>
      </c>
      <c r="P30" s="201">
        <v>45012</v>
      </c>
      <c r="Q30" s="117">
        <v>0</v>
      </c>
      <c r="R30" s="117">
        <v>0</v>
      </c>
      <c r="S30" s="117">
        <v>0</v>
      </c>
    </row>
    <row r="31" spans="1:19" ht="15" customHeight="1" x14ac:dyDescent="0.25">
      <c r="A31" s="201">
        <v>45013</v>
      </c>
      <c r="B31" s="118">
        <v>-5.8124999999999991</v>
      </c>
      <c r="C31" s="117" t="s">
        <v>45</v>
      </c>
      <c r="D31" s="200" t="s">
        <v>45</v>
      </c>
      <c r="E31" s="118">
        <v>923.46249999999998</v>
      </c>
      <c r="F31" s="117">
        <v>934.4</v>
      </c>
      <c r="G31" s="117">
        <v>916.2</v>
      </c>
      <c r="H31" s="120">
        <v>3.25</v>
      </c>
      <c r="I31" s="120">
        <v>7</v>
      </c>
      <c r="J31" s="120">
        <v>12</v>
      </c>
      <c r="K31" s="118">
        <v>0</v>
      </c>
      <c r="M31" s="201">
        <v>45013</v>
      </c>
      <c r="N31" s="117">
        <v>93</v>
      </c>
      <c r="P31" s="201">
        <v>45013</v>
      </c>
      <c r="Q31" s="117">
        <v>0</v>
      </c>
      <c r="R31" s="117">
        <v>0</v>
      </c>
      <c r="S31" s="117">
        <v>0</v>
      </c>
    </row>
    <row r="32" spans="1:19" ht="15" customHeight="1" x14ac:dyDescent="0.25">
      <c r="A32" s="201">
        <v>45014</v>
      </c>
      <c r="B32" s="118">
        <v>-6.2875000000000005</v>
      </c>
      <c r="C32" s="117" t="s">
        <v>45</v>
      </c>
      <c r="D32" s="200" t="s">
        <v>45</v>
      </c>
      <c r="E32" s="118">
        <v>927.86249999999995</v>
      </c>
      <c r="F32" s="117">
        <v>931.2</v>
      </c>
      <c r="G32" s="117">
        <v>923.4</v>
      </c>
      <c r="H32" s="120">
        <v>9.375</v>
      </c>
      <c r="I32" s="120">
        <v>12</v>
      </c>
      <c r="J32" s="120">
        <v>17</v>
      </c>
      <c r="K32" s="118">
        <v>0</v>
      </c>
      <c r="M32" s="201">
        <v>45014</v>
      </c>
      <c r="N32" s="117">
        <v>89</v>
      </c>
      <c r="P32" s="201">
        <v>45014</v>
      </c>
      <c r="Q32" s="117">
        <v>0</v>
      </c>
      <c r="R32" s="117">
        <v>0</v>
      </c>
      <c r="S32" s="117">
        <v>0</v>
      </c>
    </row>
    <row r="33" spans="1:19" x14ac:dyDescent="0.25">
      <c r="A33" s="201">
        <v>45015</v>
      </c>
      <c r="B33" s="118">
        <v>-5.7749999999999995</v>
      </c>
      <c r="C33" s="117" t="s">
        <v>45</v>
      </c>
      <c r="D33" s="200" t="s">
        <v>45</v>
      </c>
      <c r="E33" s="118">
        <v>934.13750000000005</v>
      </c>
      <c r="F33" s="117">
        <v>937.6</v>
      </c>
      <c r="G33" s="117">
        <v>932</v>
      </c>
      <c r="H33" s="120">
        <v>4.75</v>
      </c>
      <c r="I33" s="120">
        <v>10</v>
      </c>
      <c r="J33" s="120">
        <v>16</v>
      </c>
      <c r="K33" s="118">
        <v>0</v>
      </c>
      <c r="M33" s="201">
        <v>45015</v>
      </c>
      <c r="N33" s="117">
        <v>90</v>
      </c>
      <c r="P33" s="201">
        <v>45015</v>
      </c>
      <c r="Q33" s="117">
        <v>0</v>
      </c>
      <c r="R33" s="117">
        <v>0</v>
      </c>
      <c r="S33" s="117">
        <v>0</v>
      </c>
    </row>
    <row r="34" spans="1:19" x14ac:dyDescent="0.25">
      <c r="A34" s="201">
        <v>45016</v>
      </c>
      <c r="B34" s="118">
        <v>-3.1874999999999996</v>
      </c>
      <c r="C34" s="117" t="s">
        <v>45</v>
      </c>
      <c r="D34" s="200" t="s">
        <v>45</v>
      </c>
      <c r="E34" s="118">
        <v>940.4375</v>
      </c>
      <c r="F34" s="117">
        <v>941.9</v>
      </c>
      <c r="G34" s="117">
        <v>938.6</v>
      </c>
      <c r="H34" s="120">
        <v>2</v>
      </c>
      <c r="I34" s="120">
        <v>4</v>
      </c>
      <c r="J34" s="120">
        <v>9</v>
      </c>
      <c r="K34" s="118">
        <v>0</v>
      </c>
      <c r="M34" s="201">
        <v>45016</v>
      </c>
      <c r="N34" s="117">
        <v>91</v>
      </c>
      <c r="P34" s="201">
        <v>45016</v>
      </c>
      <c r="Q34" s="117">
        <v>0</v>
      </c>
      <c r="R34" s="117">
        <v>0</v>
      </c>
      <c r="S34" s="117">
        <v>0</v>
      </c>
    </row>
    <row r="35" spans="1:19" x14ac:dyDescent="0.25">
      <c r="N35"/>
      <c r="P35"/>
      <c r="Q35"/>
    </row>
    <row r="36" spans="1:19" x14ac:dyDescent="0.25">
      <c r="A36" s="233" t="s">
        <v>27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</row>
    <row r="37" spans="1:19" x14ac:dyDescent="0.25">
      <c r="A37" s="233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</row>
    <row r="38" spans="1:19" x14ac:dyDescent="0.25">
      <c r="P38"/>
      <c r="Q38"/>
    </row>
    <row r="39" spans="1:19" x14ac:dyDescent="0.25">
      <c r="P39"/>
      <c r="Q39"/>
    </row>
    <row r="40" spans="1:19" x14ac:dyDescent="0.25">
      <c r="P40"/>
      <c r="Q40"/>
    </row>
    <row r="41" spans="1:19" x14ac:dyDescent="0.25">
      <c r="A41"/>
      <c r="P41"/>
      <c r="Q41"/>
    </row>
    <row r="42" spans="1:19" x14ac:dyDescent="0.25">
      <c r="K42"/>
      <c r="P42"/>
      <c r="Q42"/>
    </row>
    <row r="43" spans="1:19" x14ac:dyDescent="0.25">
      <c r="K43"/>
      <c r="P43"/>
      <c r="Q43"/>
    </row>
    <row r="44" spans="1:19" x14ac:dyDescent="0.25">
      <c r="K44"/>
      <c r="P44"/>
      <c r="Q44"/>
    </row>
    <row r="45" spans="1:19" x14ac:dyDescent="0.25">
      <c r="A45"/>
      <c r="P45"/>
      <c r="Q45"/>
    </row>
    <row r="46" spans="1:19" x14ac:dyDescent="0.25">
      <c r="P46"/>
      <c r="Q46"/>
    </row>
    <row r="47" spans="1:19" x14ac:dyDescent="0.25">
      <c r="P47"/>
      <c r="Q47"/>
    </row>
    <row r="48" spans="1:19" x14ac:dyDescent="0.25">
      <c r="P48"/>
      <c r="Q48"/>
    </row>
    <row r="49" spans="16:17" x14ac:dyDescent="0.25">
      <c r="P49"/>
      <c r="Q49"/>
    </row>
    <row r="50" spans="16:17" x14ac:dyDescent="0.25">
      <c r="P50"/>
      <c r="Q50"/>
    </row>
    <row r="51" spans="16:17" x14ac:dyDescent="0.25">
      <c r="P51"/>
      <c r="Q51"/>
    </row>
    <row r="52" spans="16:17" x14ac:dyDescent="0.25">
      <c r="P52"/>
      <c r="Q52"/>
    </row>
    <row r="53" spans="16:17" x14ac:dyDescent="0.25">
      <c r="P53"/>
      <c r="Q53"/>
    </row>
    <row r="54" spans="16:17" x14ac:dyDescent="0.25">
      <c r="P54"/>
      <c r="Q54"/>
    </row>
    <row r="55" spans="16:17" x14ac:dyDescent="0.25">
      <c r="P55"/>
      <c r="Q55"/>
    </row>
    <row r="56" spans="16:17" x14ac:dyDescent="0.25">
      <c r="P56"/>
      <c r="Q56"/>
    </row>
    <row r="57" spans="16:17" x14ac:dyDescent="0.25">
      <c r="P57"/>
      <c r="Q57"/>
    </row>
    <row r="58" spans="16:17" x14ac:dyDescent="0.25">
      <c r="P58"/>
      <c r="Q58"/>
    </row>
    <row r="59" spans="16:17" x14ac:dyDescent="0.25">
      <c r="P59"/>
      <c r="Q59"/>
    </row>
    <row r="60" spans="16:17" x14ac:dyDescent="0.25">
      <c r="P60"/>
      <c r="Q60"/>
    </row>
    <row r="61" spans="16:17" x14ac:dyDescent="0.25">
      <c r="P61"/>
      <c r="Q61"/>
    </row>
    <row r="62" spans="16:17" x14ac:dyDescent="0.25">
      <c r="P62"/>
      <c r="Q62"/>
    </row>
    <row r="63" spans="16:17" x14ac:dyDescent="0.25">
      <c r="P63"/>
      <c r="Q63"/>
    </row>
    <row r="64" spans="16:17" x14ac:dyDescent="0.25">
      <c r="P64"/>
      <c r="Q64"/>
    </row>
    <row r="65" spans="16:17" x14ac:dyDescent="0.25">
      <c r="P65"/>
      <c r="Q65"/>
    </row>
    <row r="66" spans="16:17" x14ac:dyDescent="0.25">
      <c r="P66"/>
      <c r="Q66"/>
    </row>
    <row r="67" spans="16:17" x14ac:dyDescent="0.25">
      <c r="P67"/>
      <c r="Q67"/>
    </row>
    <row r="68" spans="16:17" x14ac:dyDescent="0.25">
      <c r="P68"/>
      <c r="Q68"/>
    </row>
    <row r="69" spans="16:17" x14ac:dyDescent="0.25">
      <c r="P69"/>
      <c r="Q69"/>
    </row>
    <row r="70" spans="16:17" x14ac:dyDescent="0.25">
      <c r="P70"/>
      <c r="Q70"/>
    </row>
    <row r="71" spans="16:17" x14ac:dyDescent="0.25">
      <c r="P71"/>
      <c r="Q71"/>
    </row>
    <row r="72" spans="16:17" x14ac:dyDescent="0.25">
      <c r="P72"/>
      <c r="Q72"/>
    </row>
    <row r="73" spans="16:17" x14ac:dyDescent="0.25">
      <c r="P73"/>
      <c r="Q73"/>
    </row>
    <row r="74" spans="16:17" x14ac:dyDescent="0.25">
      <c r="P74"/>
      <c r="Q74"/>
    </row>
    <row r="75" spans="16:17" x14ac:dyDescent="0.25">
      <c r="P75"/>
      <c r="Q75"/>
    </row>
    <row r="76" spans="16:17" x14ac:dyDescent="0.25">
      <c r="P76"/>
      <c r="Q76"/>
    </row>
    <row r="77" spans="16:17" x14ac:dyDescent="0.25">
      <c r="P77"/>
      <c r="Q77"/>
    </row>
    <row r="78" spans="16:17" x14ac:dyDescent="0.25">
      <c r="P78"/>
      <c r="Q78"/>
    </row>
    <row r="79" spans="16:17" x14ac:dyDescent="0.25">
      <c r="P79"/>
      <c r="Q79"/>
    </row>
    <row r="80" spans="16:17" x14ac:dyDescent="0.25">
      <c r="P80"/>
      <c r="Q80"/>
    </row>
    <row r="81" spans="1:17" x14ac:dyDescent="0.25">
      <c r="P81"/>
      <c r="Q81"/>
    </row>
    <row r="82" spans="1:17" x14ac:dyDescent="0.25">
      <c r="P82"/>
      <c r="Q82"/>
    </row>
    <row r="83" spans="1:17" x14ac:dyDescent="0.25">
      <c r="P83"/>
      <c r="Q83"/>
    </row>
    <row r="84" spans="1:17" x14ac:dyDescent="0.25">
      <c r="P84"/>
      <c r="Q84"/>
    </row>
    <row r="85" spans="1:17" x14ac:dyDescent="0.25">
      <c r="P85"/>
      <c r="Q85"/>
    </row>
    <row r="86" spans="1:17" x14ac:dyDescent="0.25">
      <c r="P86"/>
      <c r="Q86"/>
    </row>
    <row r="87" spans="1:17" x14ac:dyDescent="0.25">
      <c r="A87"/>
      <c r="P87"/>
      <c r="Q87"/>
    </row>
    <row r="88" spans="1:17" x14ac:dyDescent="0.25">
      <c r="A88"/>
      <c r="P88"/>
      <c r="Q88"/>
    </row>
    <row r="89" spans="1:17" x14ac:dyDescent="0.25">
      <c r="A89"/>
      <c r="P89"/>
      <c r="Q89"/>
    </row>
    <row r="90" spans="1:17" x14ac:dyDescent="0.25">
      <c r="A90"/>
      <c r="P90"/>
      <c r="Q90"/>
    </row>
    <row r="91" spans="1:17" x14ac:dyDescent="0.25">
      <c r="A91"/>
      <c r="P91"/>
      <c r="Q91"/>
    </row>
    <row r="92" spans="1:17" x14ac:dyDescent="0.25">
      <c r="A92"/>
      <c r="P92"/>
      <c r="Q92"/>
    </row>
    <row r="93" spans="1:17" x14ac:dyDescent="0.25">
      <c r="A93"/>
      <c r="P93"/>
      <c r="Q93"/>
    </row>
    <row r="94" spans="1:17" x14ac:dyDescent="0.25">
      <c r="A94"/>
      <c r="P94"/>
      <c r="Q94"/>
    </row>
    <row r="95" spans="1:17" x14ac:dyDescent="0.25">
      <c r="A95"/>
      <c r="P95"/>
      <c r="Q95"/>
    </row>
    <row r="96" spans="1:17" x14ac:dyDescent="0.25">
      <c r="A96"/>
      <c r="P96"/>
      <c r="Q96"/>
    </row>
    <row r="97" spans="1:17" x14ac:dyDescent="0.25">
      <c r="A97"/>
      <c r="P97"/>
      <c r="Q97"/>
    </row>
    <row r="98" spans="1:17" x14ac:dyDescent="0.25">
      <c r="A98"/>
      <c r="P98"/>
      <c r="Q98"/>
    </row>
    <row r="99" spans="1:17" x14ac:dyDescent="0.25">
      <c r="A99"/>
      <c r="P99"/>
      <c r="Q99"/>
    </row>
    <row r="100" spans="1:17" x14ac:dyDescent="0.25">
      <c r="A100"/>
      <c r="P100"/>
      <c r="Q100"/>
    </row>
    <row r="101" spans="1:17" x14ac:dyDescent="0.25">
      <c r="A101"/>
      <c r="P101"/>
      <c r="Q101"/>
    </row>
    <row r="102" spans="1:17" x14ac:dyDescent="0.25">
      <c r="A102"/>
      <c r="P102"/>
      <c r="Q102"/>
    </row>
    <row r="103" spans="1:17" x14ac:dyDescent="0.25">
      <c r="A103"/>
      <c r="P103"/>
      <c r="Q103"/>
    </row>
    <row r="104" spans="1:17" x14ac:dyDescent="0.25">
      <c r="A104"/>
      <c r="P104"/>
      <c r="Q104"/>
    </row>
    <row r="105" spans="1:17" x14ac:dyDescent="0.25">
      <c r="A105"/>
      <c r="P105"/>
      <c r="Q105"/>
    </row>
    <row r="106" spans="1:17" x14ac:dyDescent="0.25">
      <c r="A106"/>
      <c r="P106"/>
      <c r="Q106"/>
    </row>
    <row r="107" spans="1:17" x14ac:dyDescent="0.25">
      <c r="A107"/>
      <c r="P107"/>
      <c r="Q107"/>
    </row>
    <row r="108" spans="1:17" x14ac:dyDescent="0.25">
      <c r="A108"/>
      <c r="P108"/>
      <c r="Q108"/>
    </row>
    <row r="109" spans="1:17" x14ac:dyDescent="0.25">
      <c r="A109"/>
      <c r="P109"/>
      <c r="Q109"/>
    </row>
    <row r="110" spans="1:17" x14ac:dyDescent="0.25">
      <c r="A110"/>
      <c r="P110"/>
      <c r="Q110"/>
    </row>
    <row r="111" spans="1:17" x14ac:dyDescent="0.25">
      <c r="A111"/>
      <c r="P111"/>
      <c r="Q111"/>
    </row>
    <row r="112" spans="1:17" x14ac:dyDescent="0.25">
      <c r="A112"/>
      <c r="P112"/>
      <c r="Q112"/>
    </row>
    <row r="113" spans="1:17" x14ac:dyDescent="0.25">
      <c r="A113"/>
      <c r="P113"/>
      <c r="Q113"/>
    </row>
    <row r="114" spans="1:17" x14ac:dyDescent="0.25">
      <c r="A114"/>
      <c r="P114"/>
      <c r="Q114"/>
    </row>
    <row r="115" spans="1:17" x14ac:dyDescent="0.25">
      <c r="A115"/>
      <c r="P115"/>
      <c r="Q115"/>
    </row>
    <row r="116" spans="1:17" x14ac:dyDescent="0.25">
      <c r="A116"/>
      <c r="P116"/>
      <c r="Q116"/>
    </row>
    <row r="117" spans="1:17" x14ac:dyDescent="0.25">
      <c r="A117"/>
      <c r="P117"/>
      <c r="Q117"/>
    </row>
    <row r="118" spans="1:17" x14ac:dyDescent="0.25">
      <c r="A118"/>
      <c r="P118"/>
      <c r="Q118"/>
    </row>
    <row r="119" spans="1:17" x14ac:dyDescent="0.25">
      <c r="A119"/>
      <c r="P119"/>
      <c r="Q119"/>
    </row>
    <row r="120" spans="1:17" x14ac:dyDescent="0.25">
      <c r="A120"/>
      <c r="P120"/>
      <c r="Q120"/>
    </row>
    <row r="121" spans="1:17" x14ac:dyDescent="0.25">
      <c r="A121"/>
      <c r="P121"/>
      <c r="Q121"/>
    </row>
    <row r="122" spans="1:17" x14ac:dyDescent="0.25">
      <c r="A122"/>
      <c r="P122"/>
      <c r="Q122"/>
    </row>
    <row r="123" spans="1:17" x14ac:dyDescent="0.25">
      <c r="A123"/>
      <c r="P123"/>
      <c r="Q123"/>
    </row>
    <row r="124" spans="1:17" x14ac:dyDescent="0.25">
      <c r="A124"/>
      <c r="P124"/>
      <c r="Q124"/>
    </row>
    <row r="125" spans="1:17" x14ac:dyDescent="0.25">
      <c r="A125"/>
      <c r="P125"/>
      <c r="Q125"/>
    </row>
    <row r="126" spans="1:17" x14ac:dyDescent="0.25">
      <c r="A126"/>
      <c r="P126"/>
      <c r="Q126"/>
    </row>
    <row r="127" spans="1:17" x14ac:dyDescent="0.25">
      <c r="A127"/>
      <c r="P127"/>
      <c r="Q127"/>
    </row>
    <row r="128" spans="1:17" x14ac:dyDescent="0.25">
      <c r="A128"/>
      <c r="P128"/>
      <c r="Q128"/>
    </row>
    <row r="129" spans="1:17" x14ac:dyDescent="0.25">
      <c r="A129"/>
      <c r="P129"/>
      <c r="Q129"/>
    </row>
    <row r="130" spans="1:17" x14ac:dyDescent="0.25">
      <c r="A130"/>
      <c r="P130"/>
      <c r="Q130"/>
    </row>
    <row r="131" spans="1:17" x14ac:dyDescent="0.25">
      <c r="A131"/>
      <c r="P131"/>
      <c r="Q131"/>
    </row>
    <row r="132" spans="1:17" x14ac:dyDescent="0.25">
      <c r="A132"/>
      <c r="P132"/>
      <c r="Q132"/>
    </row>
    <row r="133" spans="1:17" x14ac:dyDescent="0.25">
      <c r="A133"/>
      <c r="P133"/>
      <c r="Q133"/>
    </row>
    <row r="134" spans="1:17" x14ac:dyDescent="0.25">
      <c r="A134"/>
      <c r="P134"/>
      <c r="Q134"/>
    </row>
    <row r="135" spans="1:17" x14ac:dyDescent="0.25">
      <c r="A135"/>
      <c r="P135"/>
      <c r="Q135"/>
    </row>
    <row r="136" spans="1:17" x14ac:dyDescent="0.25">
      <c r="A136"/>
      <c r="P136"/>
      <c r="Q136"/>
    </row>
    <row r="137" spans="1:17" x14ac:dyDescent="0.25">
      <c r="A137"/>
      <c r="P137"/>
      <c r="Q137"/>
    </row>
    <row r="138" spans="1:17" x14ac:dyDescent="0.25">
      <c r="A138"/>
      <c r="P138"/>
      <c r="Q138"/>
    </row>
    <row r="139" spans="1:17" x14ac:dyDescent="0.25">
      <c r="A139"/>
      <c r="P139"/>
      <c r="Q139"/>
    </row>
    <row r="140" spans="1:17" x14ac:dyDescent="0.25">
      <c r="A140"/>
      <c r="P140"/>
      <c r="Q140"/>
    </row>
    <row r="141" spans="1:17" x14ac:dyDescent="0.25">
      <c r="A141"/>
      <c r="P141"/>
      <c r="Q141"/>
    </row>
    <row r="142" spans="1:17" x14ac:dyDescent="0.25">
      <c r="A142"/>
      <c r="P142"/>
      <c r="Q142"/>
    </row>
    <row r="143" spans="1:17" x14ac:dyDescent="0.25">
      <c r="A143"/>
      <c r="P143"/>
      <c r="Q143"/>
    </row>
    <row r="144" spans="1:17" x14ac:dyDescent="0.25">
      <c r="A144"/>
      <c r="P144"/>
      <c r="Q144"/>
    </row>
    <row r="145" spans="1:17" x14ac:dyDescent="0.25">
      <c r="A145"/>
      <c r="P145"/>
      <c r="Q145"/>
    </row>
    <row r="146" spans="1:17" x14ac:dyDescent="0.25">
      <c r="A146"/>
      <c r="P146"/>
      <c r="Q146"/>
    </row>
    <row r="147" spans="1:17" x14ac:dyDescent="0.25">
      <c r="A147"/>
      <c r="P147"/>
      <c r="Q147"/>
    </row>
    <row r="148" spans="1:17" x14ac:dyDescent="0.25">
      <c r="A148"/>
      <c r="P148"/>
      <c r="Q148"/>
    </row>
    <row r="149" spans="1:17" x14ac:dyDescent="0.25">
      <c r="A149"/>
      <c r="P149"/>
      <c r="Q149"/>
    </row>
    <row r="150" spans="1:17" x14ac:dyDescent="0.25">
      <c r="A150"/>
      <c r="P150"/>
      <c r="Q150"/>
    </row>
    <row r="151" spans="1:17" x14ac:dyDescent="0.25">
      <c r="A151"/>
      <c r="P151"/>
      <c r="Q151"/>
    </row>
    <row r="152" spans="1:17" x14ac:dyDescent="0.25">
      <c r="A152"/>
      <c r="P152"/>
      <c r="Q152"/>
    </row>
    <row r="153" spans="1:17" x14ac:dyDescent="0.25">
      <c r="A153"/>
      <c r="P153"/>
      <c r="Q153"/>
    </row>
    <row r="154" spans="1:17" x14ac:dyDescent="0.25">
      <c r="A154"/>
      <c r="P154"/>
      <c r="Q154"/>
    </row>
    <row r="155" spans="1:17" x14ac:dyDescent="0.25">
      <c r="A155"/>
      <c r="P155"/>
      <c r="Q155"/>
    </row>
    <row r="156" spans="1:17" x14ac:dyDescent="0.25">
      <c r="A156"/>
      <c r="P156"/>
      <c r="Q156"/>
    </row>
    <row r="157" spans="1:17" x14ac:dyDescent="0.25">
      <c r="A157"/>
      <c r="P157"/>
      <c r="Q157"/>
    </row>
    <row r="158" spans="1:17" x14ac:dyDescent="0.25">
      <c r="A158"/>
      <c r="P158"/>
      <c r="Q158"/>
    </row>
    <row r="159" spans="1:17" x14ac:dyDescent="0.25">
      <c r="A159"/>
      <c r="P159"/>
      <c r="Q159"/>
    </row>
    <row r="160" spans="1:17" x14ac:dyDescent="0.25">
      <c r="A160"/>
      <c r="P160"/>
      <c r="Q160"/>
    </row>
    <row r="161" spans="1:17" x14ac:dyDescent="0.25">
      <c r="A161"/>
      <c r="P161"/>
      <c r="Q161"/>
    </row>
    <row r="162" spans="1:17" x14ac:dyDescent="0.25">
      <c r="A162"/>
      <c r="P162"/>
      <c r="Q162"/>
    </row>
    <row r="163" spans="1:17" x14ac:dyDescent="0.25">
      <c r="A163"/>
      <c r="P163"/>
      <c r="Q163"/>
    </row>
    <row r="164" spans="1:17" x14ac:dyDescent="0.25">
      <c r="A164"/>
      <c r="P164"/>
      <c r="Q164"/>
    </row>
    <row r="165" spans="1:17" x14ac:dyDescent="0.25">
      <c r="A165"/>
      <c r="P165"/>
      <c r="Q165"/>
    </row>
    <row r="166" spans="1:17" x14ac:dyDescent="0.25">
      <c r="A166"/>
      <c r="P166"/>
      <c r="Q166"/>
    </row>
    <row r="167" spans="1:17" x14ac:dyDescent="0.25">
      <c r="A167"/>
      <c r="P167"/>
      <c r="Q167"/>
    </row>
    <row r="168" spans="1:17" x14ac:dyDescent="0.25">
      <c r="A168"/>
      <c r="P168"/>
      <c r="Q168"/>
    </row>
    <row r="169" spans="1:17" x14ac:dyDescent="0.25">
      <c r="A169"/>
      <c r="P169"/>
      <c r="Q169"/>
    </row>
    <row r="170" spans="1:17" x14ac:dyDescent="0.25">
      <c r="A170"/>
      <c r="P170"/>
      <c r="Q170"/>
    </row>
    <row r="171" spans="1:17" x14ac:dyDescent="0.25">
      <c r="A171"/>
      <c r="P171"/>
      <c r="Q171"/>
    </row>
    <row r="172" spans="1:17" x14ac:dyDescent="0.25">
      <c r="A172"/>
      <c r="P172"/>
      <c r="Q172"/>
    </row>
    <row r="173" spans="1:17" x14ac:dyDescent="0.25">
      <c r="A173"/>
      <c r="P173"/>
      <c r="Q173"/>
    </row>
    <row r="174" spans="1:17" x14ac:dyDescent="0.25">
      <c r="A174"/>
      <c r="P174"/>
      <c r="Q174"/>
    </row>
    <row r="175" spans="1:17" x14ac:dyDescent="0.25">
      <c r="A175"/>
      <c r="P175"/>
      <c r="Q175"/>
    </row>
    <row r="176" spans="1:17" x14ac:dyDescent="0.25">
      <c r="A176"/>
      <c r="P176"/>
      <c r="Q176"/>
    </row>
    <row r="177" spans="1:17" x14ac:dyDescent="0.25">
      <c r="A177"/>
      <c r="P177"/>
      <c r="Q177"/>
    </row>
    <row r="178" spans="1:17" x14ac:dyDescent="0.25">
      <c r="A178"/>
      <c r="P178"/>
      <c r="Q178"/>
    </row>
    <row r="179" spans="1:17" x14ac:dyDescent="0.25">
      <c r="A179"/>
      <c r="P179"/>
      <c r="Q179"/>
    </row>
    <row r="180" spans="1:17" x14ac:dyDescent="0.25">
      <c r="A180"/>
      <c r="P180"/>
      <c r="Q180"/>
    </row>
    <row r="181" spans="1:17" x14ac:dyDescent="0.25">
      <c r="A181"/>
      <c r="P181"/>
      <c r="Q181"/>
    </row>
    <row r="182" spans="1:17" x14ac:dyDescent="0.25">
      <c r="A182"/>
      <c r="P182"/>
      <c r="Q182"/>
    </row>
    <row r="183" spans="1:17" x14ac:dyDescent="0.25">
      <c r="A183"/>
      <c r="P183"/>
      <c r="Q183"/>
    </row>
    <row r="184" spans="1:17" x14ac:dyDescent="0.25">
      <c r="A184"/>
      <c r="P184"/>
      <c r="Q184"/>
    </row>
    <row r="185" spans="1:17" x14ac:dyDescent="0.25">
      <c r="A185"/>
      <c r="P185"/>
      <c r="Q185"/>
    </row>
    <row r="186" spans="1:17" x14ac:dyDescent="0.25">
      <c r="A186"/>
      <c r="P186"/>
      <c r="Q186"/>
    </row>
    <row r="187" spans="1:17" x14ac:dyDescent="0.25">
      <c r="A187"/>
      <c r="P187"/>
      <c r="Q187"/>
    </row>
    <row r="188" spans="1:17" x14ac:dyDescent="0.25">
      <c r="A188"/>
      <c r="P188"/>
      <c r="Q188"/>
    </row>
    <row r="189" spans="1:17" x14ac:dyDescent="0.25">
      <c r="A189"/>
      <c r="P189"/>
      <c r="Q189"/>
    </row>
    <row r="190" spans="1:17" x14ac:dyDescent="0.25">
      <c r="A190"/>
      <c r="P190"/>
      <c r="Q190"/>
    </row>
    <row r="191" spans="1:17" x14ac:dyDescent="0.25">
      <c r="A191"/>
      <c r="P191"/>
      <c r="Q191"/>
    </row>
    <row r="192" spans="1:17" x14ac:dyDescent="0.25">
      <c r="A192"/>
      <c r="P192"/>
      <c r="Q192"/>
    </row>
    <row r="193" spans="1:17" x14ac:dyDescent="0.25">
      <c r="A193"/>
      <c r="P193"/>
      <c r="Q193"/>
    </row>
    <row r="194" spans="1:17" x14ac:dyDescent="0.25">
      <c r="A194"/>
      <c r="P194"/>
      <c r="Q194"/>
    </row>
    <row r="195" spans="1:17" x14ac:dyDescent="0.25">
      <c r="A195"/>
      <c r="P195"/>
      <c r="Q195"/>
    </row>
    <row r="196" spans="1:17" x14ac:dyDescent="0.25">
      <c r="A196"/>
      <c r="P196"/>
      <c r="Q196"/>
    </row>
    <row r="197" spans="1:17" x14ac:dyDescent="0.25">
      <c r="A197"/>
      <c r="P197"/>
      <c r="Q197"/>
    </row>
    <row r="198" spans="1:17" x14ac:dyDescent="0.25">
      <c r="A198"/>
      <c r="P198"/>
      <c r="Q198"/>
    </row>
    <row r="199" spans="1:17" x14ac:dyDescent="0.25">
      <c r="A199"/>
      <c r="P199"/>
      <c r="Q199"/>
    </row>
    <row r="200" spans="1:17" x14ac:dyDescent="0.25">
      <c r="A200"/>
      <c r="P200"/>
      <c r="Q200"/>
    </row>
    <row r="201" spans="1:17" x14ac:dyDescent="0.25">
      <c r="A201"/>
      <c r="P201"/>
      <c r="Q201"/>
    </row>
    <row r="202" spans="1:17" x14ac:dyDescent="0.25">
      <c r="A202"/>
      <c r="P202"/>
      <c r="Q202"/>
    </row>
    <row r="203" spans="1:17" x14ac:dyDescent="0.25">
      <c r="A203"/>
      <c r="P203"/>
      <c r="Q203"/>
    </row>
    <row r="204" spans="1:17" x14ac:dyDescent="0.25">
      <c r="A204"/>
      <c r="P204"/>
      <c r="Q204"/>
    </row>
    <row r="205" spans="1:17" x14ac:dyDescent="0.25">
      <c r="A205"/>
      <c r="P205"/>
      <c r="Q205"/>
    </row>
    <row r="206" spans="1:17" x14ac:dyDescent="0.25">
      <c r="A206"/>
      <c r="P206"/>
      <c r="Q206"/>
    </row>
    <row r="207" spans="1:17" x14ac:dyDescent="0.25">
      <c r="A207"/>
      <c r="P207"/>
      <c r="Q207"/>
    </row>
    <row r="208" spans="1:17" x14ac:dyDescent="0.25">
      <c r="A208"/>
      <c r="P208"/>
      <c r="Q208"/>
    </row>
    <row r="209" spans="1:17" x14ac:dyDescent="0.25">
      <c r="A209"/>
      <c r="P209"/>
      <c r="Q209"/>
    </row>
    <row r="210" spans="1:17" x14ac:dyDescent="0.25">
      <c r="A210"/>
      <c r="P210"/>
      <c r="Q210"/>
    </row>
    <row r="211" spans="1:17" x14ac:dyDescent="0.25">
      <c r="A211"/>
      <c r="P211"/>
      <c r="Q211"/>
    </row>
    <row r="212" spans="1:17" x14ac:dyDescent="0.25">
      <c r="A212"/>
      <c r="P212"/>
      <c r="Q212"/>
    </row>
    <row r="213" spans="1:17" x14ac:dyDescent="0.25">
      <c r="A213"/>
      <c r="P213"/>
      <c r="Q213"/>
    </row>
    <row r="214" spans="1:17" x14ac:dyDescent="0.25">
      <c r="A214"/>
      <c r="P214"/>
      <c r="Q214"/>
    </row>
    <row r="215" spans="1:17" x14ac:dyDescent="0.25">
      <c r="A215"/>
      <c r="P215"/>
      <c r="Q215"/>
    </row>
    <row r="216" spans="1:17" x14ac:dyDescent="0.25">
      <c r="A216"/>
      <c r="P216"/>
      <c r="Q216"/>
    </row>
    <row r="217" spans="1:17" x14ac:dyDescent="0.25">
      <c r="A217"/>
      <c r="P217"/>
      <c r="Q217"/>
    </row>
    <row r="218" spans="1:17" x14ac:dyDescent="0.25">
      <c r="A218"/>
      <c r="P218"/>
      <c r="Q218"/>
    </row>
    <row r="219" spans="1:17" x14ac:dyDescent="0.25">
      <c r="A219"/>
      <c r="P219"/>
      <c r="Q219"/>
    </row>
    <row r="220" spans="1:17" x14ac:dyDescent="0.25">
      <c r="A220"/>
      <c r="P220"/>
      <c r="Q220"/>
    </row>
    <row r="221" spans="1:17" x14ac:dyDescent="0.25">
      <c r="A221"/>
      <c r="P221"/>
      <c r="Q221"/>
    </row>
    <row r="222" spans="1:17" x14ac:dyDescent="0.25">
      <c r="A222"/>
      <c r="P222"/>
      <c r="Q222"/>
    </row>
    <row r="223" spans="1:17" x14ac:dyDescent="0.25">
      <c r="A223"/>
      <c r="P223"/>
      <c r="Q223"/>
    </row>
    <row r="224" spans="1:17" x14ac:dyDescent="0.25">
      <c r="A224"/>
      <c r="P224"/>
      <c r="Q224"/>
    </row>
    <row r="225" spans="1:17" x14ac:dyDescent="0.25">
      <c r="A225"/>
      <c r="P225"/>
      <c r="Q225"/>
    </row>
    <row r="226" spans="1:17" x14ac:dyDescent="0.25">
      <c r="A226"/>
      <c r="P226"/>
      <c r="Q226"/>
    </row>
    <row r="227" spans="1:17" x14ac:dyDescent="0.25">
      <c r="A227"/>
      <c r="P227"/>
      <c r="Q227"/>
    </row>
    <row r="228" spans="1:17" x14ac:dyDescent="0.25">
      <c r="A228"/>
      <c r="P228"/>
      <c r="Q228"/>
    </row>
    <row r="229" spans="1:17" x14ac:dyDescent="0.25">
      <c r="A229"/>
      <c r="P229"/>
      <c r="Q229"/>
    </row>
    <row r="230" spans="1:17" x14ac:dyDescent="0.25">
      <c r="A230"/>
      <c r="P230"/>
      <c r="Q230"/>
    </row>
    <row r="231" spans="1:17" x14ac:dyDescent="0.25">
      <c r="A231"/>
      <c r="P231"/>
      <c r="Q231"/>
    </row>
    <row r="232" spans="1:17" x14ac:dyDescent="0.25">
      <c r="A232"/>
      <c r="P232"/>
      <c r="Q232"/>
    </row>
    <row r="233" spans="1:17" x14ac:dyDescent="0.25">
      <c r="A233"/>
      <c r="P233"/>
      <c r="Q233"/>
    </row>
    <row r="234" spans="1:17" x14ac:dyDescent="0.25">
      <c r="A234"/>
      <c r="P234"/>
      <c r="Q234"/>
    </row>
    <row r="235" spans="1:17" x14ac:dyDescent="0.25">
      <c r="A235"/>
      <c r="P235"/>
      <c r="Q235"/>
    </row>
    <row r="236" spans="1:17" x14ac:dyDescent="0.25">
      <c r="A236"/>
      <c r="P236"/>
      <c r="Q236"/>
    </row>
    <row r="237" spans="1:17" x14ac:dyDescent="0.25">
      <c r="A237"/>
      <c r="P237"/>
      <c r="Q237"/>
    </row>
    <row r="238" spans="1:17" x14ac:dyDescent="0.25">
      <c r="A238"/>
      <c r="P238"/>
      <c r="Q238"/>
    </row>
    <row r="239" spans="1:17" x14ac:dyDescent="0.25">
      <c r="A239"/>
      <c r="P239"/>
      <c r="Q239"/>
    </row>
    <row r="240" spans="1:17" x14ac:dyDescent="0.25">
      <c r="A240"/>
      <c r="P240"/>
      <c r="Q240"/>
    </row>
    <row r="241" spans="1:17" x14ac:dyDescent="0.25">
      <c r="A241"/>
      <c r="P241"/>
      <c r="Q241"/>
    </row>
    <row r="242" spans="1:17" x14ac:dyDescent="0.25">
      <c r="A242"/>
      <c r="P242"/>
      <c r="Q242"/>
    </row>
    <row r="243" spans="1:17" x14ac:dyDescent="0.25">
      <c r="A243"/>
      <c r="P243"/>
      <c r="Q243"/>
    </row>
    <row r="244" spans="1:17" x14ac:dyDescent="0.25">
      <c r="A244"/>
      <c r="P244"/>
      <c r="Q244"/>
    </row>
    <row r="245" spans="1:17" x14ac:dyDescent="0.25">
      <c r="A245"/>
      <c r="P245"/>
      <c r="Q245"/>
    </row>
    <row r="246" spans="1:17" x14ac:dyDescent="0.25">
      <c r="A246"/>
      <c r="P246"/>
      <c r="Q246"/>
    </row>
    <row r="247" spans="1:17" x14ac:dyDescent="0.25">
      <c r="A247"/>
      <c r="P247"/>
      <c r="Q247"/>
    </row>
    <row r="248" spans="1:17" x14ac:dyDescent="0.25">
      <c r="A248"/>
      <c r="P248"/>
      <c r="Q248"/>
    </row>
    <row r="249" spans="1:17" x14ac:dyDescent="0.25">
      <c r="A249"/>
      <c r="P249"/>
      <c r="Q249"/>
    </row>
    <row r="250" spans="1:17" x14ac:dyDescent="0.25">
      <c r="A250"/>
      <c r="P250"/>
      <c r="Q250"/>
    </row>
    <row r="251" spans="1:17" x14ac:dyDescent="0.25">
      <c r="A251"/>
      <c r="P251"/>
      <c r="Q251"/>
    </row>
    <row r="252" spans="1:17" x14ac:dyDescent="0.25">
      <c r="A252"/>
      <c r="P252"/>
      <c r="Q252"/>
    </row>
    <row r="253" spans="1:17" x14ac:dyDescent="0.25">
      <c r="A253"/>
      <c r="P253"/>
      <c r="Q253"/>
    </row>
    <row r="254" spans="1:17" x14ac:dyDescent="0.25">
      <c r="A254"/>
      <c r="P254"/>
      <c r="Q254"/>
    </row>
    <row r="255" spans="1:17" x14ac:dyDescent="0.25">
      <c r="A255"/>
      <c r="P255"/>
      <c r="Q255"/>
    </row>
    <row r="256" spans="1:17" x14ac:dyDescent="0.25">
      <c r="A256"/>
      <c r="P256"/>
      <c r="Q256"/>
    </row>
    <row r="257" spans="1:17" x14ac:dyDescent="0.25">
      <c r="A257"/>
      <c r="P257"/>
      <c r="Q257"/>
    </row>
    <row r="258" spans="1:17" x14ac:dyDescent="0.25">
      <c r="A258"/>
      <c r="P258"/>
      <c r="Q258"/>
    </row>
    <row r="259" spans="1:17" x14ac:dyDescent="0.25">
      <c r="A259"/>
      <c r="P259"/>
      <c r="Q259"/>
    </row>
    <row r="260" spans="1:17" x14ac:dyDescent="0.25">
      <c r="A260"/>
      <c r="P260"/>
      <c r="Q260"/>
    </row>
    <row r="261" spans="1:17" x14ac:dyDescent="0.25">
      <c r="A261"/>
      <c r="P261"/>
      <c r="Q261"/>
    </row>
    <row r="262" spans="1:17" x14ac:dyDescent="0.25">
      <c r="A262"/>
      <c r="P262"/>
      <c r="Q262"/>
    </row>
    <row r="263" spans="1:17" x14ac:dyDescent="0.25">
      <c r="A263"/>
      <c r="P263"/>
      <c r="Q263"/>
    </row>
    <row r="264" spans="1:17" x14ac:dyDescent="0.25">
      <c r="A264"/>
      <c r="P264"/>
      <c r="Q264"/>
    </row>
    <row r="265" spans="1:17" x14ac:dyDescent="0.25">
      <c r="A265"/>
      <c r="P265"/>
      <c r="Q265"/>
    </row>
    <row r="266" spans="1:17" x14ac:dyDescent="0.25">
      <c r="A266"/>
      <c r="P266"/>
      <c r="Q266"/>
    </row>
    <row r="267" spans="1:17" x14ac:dyDescent="0.25">
      <c r="A267"/>
      <c r="P267"/>
      <c r="Q267"/>
    </row>
    <row r="268" spans="1:17" x14ac:dyDescent="0.25">
      <c r="A268"/>
      <c r="P268"/>
      <c r="Q268"/>
    </row>
    <row r="269" spans="1:17" x14ac:dyDescent="0.25">
      <c r="A269"/>
      <c r="P269"/>
      <c r="Q269"/>
    </row>
    <row r="270" spans="1:17" x14ac:dyDescent="0.25">
      <c r="A270"/>
      <c r="P270"/>
      <c r="Q270"/>
    </row>
    <row r="271" spans="1:17" x14ac:dyDescent="0.25">
      <c r="A271"/>
      <c r="P271"/>
      <c r="Q271"/>
    </row>
    <row r="272" spans="1:17" x14ac:dyDescent="0.25">
      <c r="A272"/>
      <c r="P272"/>
      <c r="Q272"/>
    </row>
    <row r="273" spans="1:17" x14ac:dyDescent="0.25">
      <c r="A273"/>
      <c r="P273"/>
      <c r="Q273"/>
    </row>
    <row r="274" spans="1:17" x14ac:dyDescent="0.25">
      <c r="A274"/>
      <c r="P274"/>
      <c r="Q274"/>
    </row>
    <row r="275" spans="1:17" x14ac:dyDescent="0.25">
      <c r="A275"/>
      <c r="P275"/>
      <c r="Q275"/>
    </row>
    <row r="276" spans="1:17" x14ac:dyDescent="0.25">
      <c r="A276"/>
      <c r="P276"/>
      <c r="Q276"/>
    </row>
    <row r="277" spans="1:17" x14ac:dyDescent="0.25">
      <c r="A277"/>
      <c r="P277"/>
      <c r="Q277"/>
    </row>
    <row r="278" spans="1:17" x14ac:dyDescent="0.25">
      <c r="A278"/>
      <c r="P278"/>
      <c r="Q278"/>
    </row>
    <row r="279" spans="1:17" x14ac:dyDescent="0.25">
      <c r="A279"/>
      <c r="P279"/>
      <c r="Q279"/>
    </row>
    <row r="280" spans="1:17" x14ac:dyDescent="0.25">
      <c r="A280"/>
      <c r="P280"/>
      <c r="Q280"/>
    </row>
    <row r="281" spans="1:17" x14ac:dyDescent="0.25">
      <c r="A281"/>
      <c r="P281"/>
      <c r="Q281"/>
    </row>
    <row r="282" spans="1:17" x14ac:dyDescent="0.25">
      <c r="A282"/>
      <c r="P282"/>
      <c r="Q282"/>
    </row>
    <row r="283" spans="1:17" x14ac:dyDescent="0.25">
      <c r="A283"/>
    </row>
    <row r="284" spans="1:17" x14ac:dyDescent="0.25">
      <c r="A284"/>
    </row>
    <row r="285" spans="1:17" x14ac:dyDescent="0.25">
      <c r="A285"/>
    </row>
    <row r="286" spans="1:17" x14ac:dyDescent="0.25">
      <c r="A286"/>
    </row>
    <row r="287" spans="1:17" x14ac:dyDescent="0.25">
      <c r="A287"/>
    </row>
    <row r="288" spans="1:17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</sheetData>
  <mergeCells count="2">
    <mergeCell ref="A1:L1"/>
    <mergeCell ref="A36:S37"/>
  </mergeCells>
  <pageMargins left="0.7" right="0.7" top="0.75" bottom="0.75" header="0.3" footer="0.3"/>
  <pageSetup paperSize="9" scale="52" fitToHeight="0" orientation="portrait" verticalDpi="0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C8A32-1883-4BF6-B34D-73537CFA720D}">
  <dimension ref="A1:R19"/>
  <sheetViews>
    <sheetView tabSelected="1" workbookViewId="0">
      <selection activeCell="A14" sqref="A14"/>
    </sheetView>
  </sheetViews>
  <sheetFormatPr defaultRowHeight="15" x14ac:dyDescent="0.25"/>
  <cols>
    <col min="1" max="1" width="17.28515625" bestFit="1" customWidth="1"/>
    <col min="2" max="2" width="32" bestFit="1" customWidth="1"/>
    <col min="3" max="3" width="6.5703125" customWidth="1"/>
    <col min="4" max="4" width="5.7109375" bestFit="1" customWidth="1"/>
    <col min="5" max="5" width="12.42578125" customWidth="1"/>
    <col min="6" max="6" width="10.28515625" customWidth="1"/>
    <col min="7" max="7" width="9" customWidth="1"/>
    <col min="8" max="9" width="10.85546875" customWidth="1"/>
    <col min="10" max="10" width="11.7109375" customWidth="1"/>
    <col min="11" max="11" width="8.85546875" customWidth="1"/>
    <col min="13" max="13" width="13" customWidth="1"/>
    <col min="14" max="15" width="11.7109375" bestFit="1" customWidth="1"/>
    <col min="16" max="16" width="6.140625" bestFit="1" customWidth="1"/>
    <col min="17" max="17" width="4.42578125" bestFit="1" customWidth="1"/>
    <col min="18" max="18" width="3.7109375" bestFit="1" customWidth="1"/>
  </cols>
  <sheetData>
    <row r="1" spans="1:18" ht="45" x14ac:dyDescent="0.25">
      <c r="A1" s="202" t="s">
        <v>183</v>
      </c>
      <c r="B1" s="117" t="s">
        <v>190</v>
      </c>
      <c r="C1" s="200" t="s">
        <v>191</v>
      </c>
      <c r="D1" s="200" t="s">
        <v>192</v>
      </c>
      <c r="E1" s="200" t="s">
        <v>193</v>
      </c>
      <c r="F1" s="200" t="s">
        <v>194</v>
      </c>
      <c r="G1" s="200" t="s">
        <v>195</v>
      </c>
      <c r="H1" s="200" t="s">
        <v>196</v>
      </c>
      <c r="I1" s="200" t="s">
        <v>197</v>
      </c>
      <c r="J1" s="200" t="s">
        <v>198</v>
      </c>
      <c r="K1" s="215" t="s">
        <v>199</v>
      </c>
      <c r="M1" s="178"/>
      <c r="N1" s="210" t="s">
        <v>211</v>
      </c>
      <c r="O1" s="210" t="s">
        <v>212</v>
      </c>
      <c r="P1" s="210" t="s">
        <v>213</v>
      </c>
      <c r="Q1" s="210" t="s">
        <v>214</v>
      </c>
      <c r="R1" s="210" t="s">
        <v>215</v>
      </c>
    </row>
    <row r="2" spans="1:18" x14ac:dyDescent="0.25">
      <c r="A2" s="178" t="s">
        <v>187</v>
      </c>
      <c r="B2" s="210">
        <v>-11.967500000000001</v>
      </c>
      <c r="C2" s="210"/>
      <c r="D2" s="210"/>
      <c r="E2" s="210">
        <v>926.6712500000001</v>
      </c>
      <c r="F2" s="210">
        <v>948.4</v>
      </c>
      <c r="G2" s="210">
        <v>914.7</v>
      </c>
      <c r="H2" s="210">
        <v>11.074999999999999</v>
      </c>
      <c r="I2" s="210">
        <v>40</v>
      </c>
      <c r="J2" s="210">
        <v>18</v>
      </c>
      <c r="K2" s="210">
        <v>43.149999999999991</v>
      </c>
      <c r="M2" s="178" t="s">
        <v>210</v>
      </c>
      <c r="N2" s="37">
        <v>23</v>
      </c>
      <c r="O2" s="37">
        <v>73</v>
      </c>
      <c r="P2" s="37">
        <v>107</v>
      </c>
      <c r="Q2" s="37">
        <v>38</v>
      </c>
      <c r="R2" s="37">
        <v>7</v>
      </c>
    </row>
    <row r="3" spans="1:18" x14ac:dyDescent="0.25">
      <c r="A3" s="178" t="s">
        <v>188</v>
      </c>
      <c r="B3" s="210">
        <v>-7.6875000000000009</v>
      </c>
      <c r="C3" s="210"/>
      <c r="D3" s="210"/>
      <c r="E3" s="210">
        <v>937.58750000000009</v>
      </c>
      <c r="F3" s="210">
        <v>957.1</v>
      </c>
      <c r="G3" s="210">
        <v>906</v>
      </c>
      <c r="H3" s="210">
        <v>3.3409090909090908</v>
      </c>
      <c r="I3" s="210">
        <v>13</v>
      </c>
      <c r="J3" s="210">
        <v>20</v>
      </c>
      <c r="K3" s="210">
        <v>0</v>
      </c>
    </row>
    <row r="4" spans="1:18" x14ac:dyDescent="0.25">
      <c r="A4" s="178" t="s">
        <v>189</v>
      </c>
      <c r="B4" s="210">
        <v>-7.3100000000000023</v>
      </c>
      <c r="C4" s="210"/>
      <c r="D4" s="210"/>
      <c r="E4" s="210">
        <v>924.76</v>
      </c>
      <c r="F4" s="210">
        <v>941.9</v>
      </c>
      <c r="G4" s="210">
        <v>893.8</v>
      </c>
      <c r="H4" s="210">
        <v>5.6891891891891895</v>
      </c>
      <c r="I4" s="210">
        <v>22</v>
      </c>
      <c r="J4" s="210">
        <v>29</v>
      </c>
      <c r="K4" s="210">
        <v>0</v>
      </c>
    </row>
    <row r="5" spans="1:18" x14ac:dyDescent="0.25">
      <c r="A5" s="178" t="s">
        <v>71</v>
      </c>
      <c r="B5" s="210">
        <v>-8.9463709677419327</v>
      </c>
      <c r="C5" s="210"/>
      <c r="D5" s="210"/>
      <c r="E5" s="210">
        <v>929.92822580645213</v>
      </c>
      <c r="F5" s="210">
        <v>957.1</v>
      </c>
      <c r="G5" s="210">
        <v>893.8</v>
      </c>
      <c r="H5" s="210">
        <v>6.615702479338843</v>
      </c>
      <c r="I5" s="210">
        <v>40</v>
      </c>
      <c r="J5" s="210">
        <v>29</v>
      </c>
      <c r="K5" s="210">
        <v>43.149999999999991</v>
      </c>
    </row>
    <row r="14" spans="1:18" x14ac:dyDescent="0.25">
      <c r="A14" s="194" t="s">
        <v>183</v>
      </c>
      <c r="B14" s="37" t="s">
        <v>210</v>
      </c>
    </row>
    <row r="15" spans="1:18" x14ac:dyDescent="0.25">
      <c r="A15" s="245" t="s">
        <v>211</v>
      </c>
      <c r="B15" s="244">
        <v>23</v>
      </c>
    </row>
    <row r="16" spans="1:18" x14ac:dyDescent="0.25">
      <c r="A16" s="245" t="s">
        <v>212</v>
      </c>
      <c r="B16" s="244">
        <v>73</v>
      </c>
    </row>
    <row r="17" spans="1:2" x14ac:dyDescent="0.25">
      <c r="A17" s="245" t="s">
        <v>213</v>
      </c>
      <c r="B17" s="244">
        <v>107</v>
      </c>
    </row>
    <row r="18" spans="1:2" x14ac:dyDescent="0.25">
      <c r="A18" s="245" t="s">
        <v>214</v>
      </c>
      <c r="B18" s="244">
        <v>38</v>
      </c>
    </row>
    <row r="19" spans="1:2" x14ac:dyDescent="0.25">
      <c r="A19" s="245" t="s">
        <v>215</v>
      </c>
      <c r="B19" s="244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746D-0729-45A9-BF14-AADB469CF52D}">
  <dimension ref="A13:Y55"/>
  <sheetViews>
    <sheetView topLeftCell="A25" workbookViewId="0">
      <selection activeCell="R58" sqref="R58"/>
    </sheetView>
  </sheetViews>
  <sheetFormatPr defaultRowHeight="15" x14ac:dyDescent="0.25"/>
  <cols>
    <col min="1" max="1" width="8.140625" bestFit="1" customWidth="1"/>
    <col min="2" max="2" width="7.42578125" bestFit="1" customWidth="1"/>
    <col min="3" max="3" width="2" bestFit="1" customWidth="1"/>
    <col min="4" max="4" width="4" bestFit="1" customWidth="1"/>
    <col min="5" max="5" width="3" bestFit="1" customWidth="1"/>
    <col min="6" max="6" width="4.140625" bestFit="1" customWidth="1"/>
    <col min="7" max="7" width="3" bestFit="1" customWidth="1"/>
    <col min="8" max="8" width="4.85546875" bestFit="1" customWidth="1"/>
    <col min="9" max="9" width="3" bestFit="1" customWidth="1"/>
    <col min="10" max="10" width="2.140625" bestFit="1" customWidth="1"/>
    <col min="11" max="11" width="2" bestFit="1" customWidth="1"/>
    <col min="12" max="12" width="3.28515625" bestFit="1" customWidth="1"/>
    <col min="13" max="13" width="2" bestFit="1" customWidth="1"/>
    <col min="14" max="14" width="3.140625" bestFit="1" customWidth="1"/>
    <col min="15" max="16" width="3" bestFit="1" customWidth="1"/>
    <col min="17" max="17" width="2" bestFit="1" customWidth="1"/>
    <col min="18" max="18" width="4" bestFit="1" customWidth="1"/>
    <col min="19" max="19" width="2" bestFit="1" customWidth="1"/>
    <col min="20" max="20" width="3.85546875" bestFit="1" customWidth="1"/>
    <col min="21" max="21" width="2" bestFit="1" customWidth="1"/>
    <col min="22" max="22" width="5.85546875" bestFit="1" customWidth="1"/>
    <col min="23" max="23" width="2" bestFit="1" customWidth="1"/>
    <col min="24" max="24" width="5.7109375" bestFit="1" customWidth="1"/>
    <col min="25" max="25" width="2" bestFit="1" customWidth="1"/>
  </cols>
  <sheetData>
    <row r="13" spans="1:25" x14ac:dyDescent="0.25">
      <c r="A13" s="6"/>
      <c r="B13" s="196" t="s">
        <v>185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x14ac:dyDescent="0.25">
      <c r="A14" s="6"/>
      <c r="B14" s="234" t="s">
        <v>34</v>
      </c>
      <c r="C14" s="235"/>
      <c r="D14" s="236" t="s">
        <v>41</v>
      </c>
      <c r="E14" s="237"/>
      <c r="F14" s="234" t="s">
        <v>42</v>
      </c>
      <c r="G14" s="235"/>
      <c r="H14" s="236" t="s">
        <v>29</v>
      </c>
      <c r="I14" s="237"/>
      <c r="J14" s="234" t="s">
        <v>30</v>
      </c>
      <c r="K14" s="235"/>
      <c r="L14" s="236" t="s">
        <v>32</v>
      </c>
      <c r="M14" s="237"/>
      <c r="N14" s="234" t="s">
        <v>43</v>
      </c>
      <c r="O14" s="235"/>
      <c r="P14" s="236" t="s">
        <v>38</v>
      </c>
      <c r="Q14" s="237"/>
      <c r="R14" s="234" t="s">
        <v>36</v>
      </c>
      <c r="S14" s="235"/>
      <c r="T14" s="236" t="s">
        <v>40</v>
      </c>
      <c r="U14" s="237"/>
      <c r="V14" s="234" t="s">
        <v>37</v>
      </c>
      <c r="W14" s="235"/>
      <c r="X14" s="236" t="s">
        <v>39</v>
      </c>
      <c r="Y14" s="237"/>
    </row>
    <row r="15" spans="1:25" x14ac:dyDescent="0.25">
      <c r="A15" s="197" t="s">
        <v>73</v>
      </c>
      <c r="B15" s="205" t="s">
        <v>75</v>
      </c>
      <c r="C15" s="205" t="s">
        <v>76</v>
      </c>
      <c r="D15" s="204" t="s">
        <v>75</v>
      </c>
      <c r="E15" s="204" t="s">
        <v>76</v>
      </c>
      <c r="F15" s="205" t="s">
        <v>75</v>
      </c>
      <c r="G15" s="205" t="s">
        <v>76</v>
      </c>
      <c r="H15" s="204" t="s">
        <v>75</v>
      </c>
      <c r="I15" s="204" t="s">
        <v>76</v>
      </c>
      <c r="J15" s="205" t="s">
        <v>75</v>
      </c>
      <c r="K15" s="205" t="s">
        <v>76</v>
      </c>
      <c r="L15" s="204" t="s">
        <v>75</v>
      </c>
      <c r="M15" s="204" t="s">
        <v>76</v>
      </c>
      <c r="N15" s="205" t="s">
        <v>75</v>
      </c>
      <c r="O15" s="205" t="s">
        <v>76</v>
      </c>
      <c r="P15" s="204" t="s">
        <v>75</v>
      </c>
      <c r="Q15" s="204" t="s">
        <v>76</v>
      </c>
      <c r="R15" s="205" t="s">
        <v>75</v>
      </c>
      <c r="S15" s="205" t="s">
        <v>76</v>
      </c>
      <c r="T15" s="204" t="s">
        <v>75</v>
      </c>
      <c r="U15" s="204" t="s">
        <v>76</v>
      </c>
      <c r="V15" s="205" t="s">
        <v>75</v>
      </c>
      <c r="W15" s="205" t="s">
        <v>76</v>
      </c>
      <c r="X15" s="204" t="s">
        <v>75</v>
      </c>
      <c r="Y15" s="204" t="s">
        <v>76</v>
      </c>
    </row>
    <row r="16" spans="1:25" x14ac:dyDescent="0.25">
      <c r="A16" s="178" t="s">
        <v>10</v>
      </c>
      <c r="B16" s="206">
        <v>1</v>
      </c>
      <c r="C16" s="206">
        <v>0</v>
      </c>
      <c r="D16" s="207">
        <v>19</v>
      </c>
      <c r="E16" s="207">
        <v>8.9473684210526319</v>
      </c>
      <c r="F16" s="206">
        <v>2</v>
      </c>
      <c r="G16" s="206">
        <v>1.5</v>
      </c>
      <c r="H16" s="207">
        <v>1</v>
      </c>
      <c r="I16" s="207">
        <v>2</v>
      </c>
      <c r="J16" s="206">
        <v>0</v>
      </c>
      <c r="K16" s="206">
        <v>0</v>
      </c>
      <c r="L16" s="207">
        <v>2</v>
      </c>
      <c r="M16" s="207">
        <v>5</v>
      </c>
      <c r="N16" s="206">
        <v>1</v>
      </c>
      <c r="O16" s="206">
        <v>28</v>
      </c>
      <c r="P16" s="207">
        <v>2</v>
      </c>
      <c r="Q16" s="207">
        <v>5</v>
      </c>
      <c r="R16" s="206">
        <v>1</v>
      </c>
      <c r="S16" s="206">
        <v>2</v>
      </c>
      <c r="T16" s="207">
        <v>2</v>
      </c>
      <c r="U16" s="207">
        <v>1.5</v>
      </c>
      <c r="V16" s="206">
        <v>0</v>
      </c>
      <c r="W16" s="206">
        <v>0</v>
      </c>
      <c r="X16" s="207">
        <v>0</v>
      </c>
      <c r="Y16" s="207">
        <v>0</v>
      </c>
    </row>
    <row r="17" spans="1:25" x14ac:dyDescent="0.25">
      <c r="A17" s="178" t="s">
        <v>11</v>
      </c>
      <c r="B17" s="206">
        <v>1</v>
      </c>
      <c r="C17" s="206">
        <v>0</v>
      </c>
      <c r="D17" s="207">
        <v>15</v>
      </c>
      <c r="E17" s="207">
        <v>10.733333333333333</v>
      </c>
      <c r="F17" s="206">
        <v>4</v>
      </c>
      <c r="G17" s="206">
        <v>4.75</v>
      </c>
      <c r="H17" s="207">
        <v>4</v>
      </c>
      <c r="I17" s="207">
        <v>3.5</v>
      </c>
      <c r="J17" s="206">
        <v>0</v>
      </c>
      <c r="K17" s="206">
        <v>0</v>
      </c>
      <c r="L17" s="207">
        <v>0</v>
      </c>
      <c r="M17" s="207">
        <v>0</v>
      </c>
      <c r="N17" s="206">
        <v>3</v>
      </c>
      <c r="O17" s="206">
        <v>10.666666666666666</v>
      </c>
      <c r="P17" s="207">
        <v>2</v>
      </c>
      <c r="Q17" s="207">
        <v>5.5</v>
      </c>
      <c r="R17" s="206">
        <v>1</v>
      </c>
      <c r="S17" s="206">
        <v>1</v>
      </c>
      <c r="T17" s="207">
        <v>1</v>
      </c>
      <c r="U17" s="207">
        <v>2</v>
      </c>
      <c r="V17" s="206">
        <v>0</v>
      </c>
      <c r="W17" s="206">
        <v>0</v>
      </c>
      <c r="X17" s="207">
        <v>0</v>
      </c>
      <c r="Y17" s="207">
        <v>0</v>
      </c>
    </row>
    <row r="18" spans="1:25" x14ac:dyDescent="0.25">
      <c r="A18" s="178" t="s">
        <v>12</v>
      </c>
      <c r="B18" s="206">
        <v>1</v>
      </c>
      <c r="C18" s="206">
        <v>0</v>
      </c>
      <c r="D18" s="207">
        <v>17</v>
      </c>
      <c r="E18" s="207">
        <v>6.3529411764705879</v>
      </c>
      <c r="F18" s="206">
        <v>4</v>
      </c>
      <c r="G18" s="206">
        <v>3.25</v>
      </c>
      <c r="H18" s="207">
        <v>4</v>
      </c>
      <c r="I18" s="207">
        <v>9</v>
      </c>
      <c r="J18" s="206">
        <v>0</v>
      </c>
      <c r="K18" s="206">
        <v>0</v>
      </c>
      <c r="L18" s="207">
        <v>0</v>
      </c>
      <c r="M18" s="207">
        <v>0</v>
      </c>
      <c r="N18" s="206">
        <v>1</v>
      </c>
      <c r="O18" s="206">
        <v>30</v>
      </c>
      <c r="P18" s="207">
        <v>2</v>
      </c>
      <c r="Q18" s="207">
        <v>5</v>
      </c>
      <c r="R18" s="206">
        <v>0</v>
      </c>
      <c r="S18" s="206">
        <v>0</v>
      </c>
      <c r="T18" s="207">
        <v>2</v>
      </c>
      <c r="U18" s="207">
        <v>1</v>
      </c>
      <c r="V18" s="206">
        <v>0</v>
      </c>
      <c r="W18" s="206">
        <v>0</v>
      </c>
      <c r="X18" s="207">
        <v>0</v>
      </c>
      <c r="Y18" s="207">
        <v>0</v>
      </c>
    </row>
    <row r="19" spans="1:25" x14ac:dyDescent="0.25">
      <c r="A19" s="178" t="s">
        <v>13</v>
      </c>
      <c r="B19" s="206">
        <v>0</v>
      </c>
      <c r="C19" s="206">
        <v>0</v>
      </c>
      <c r="D19" s="207">
        <v>15</v>
      </c>
      <c r="E19" s="207">
        <v>6.0666666666666664</v>
      </c>
      <c r="F19" s="206">
        <v>1</v>
      </c>
      <c r="G19" s="206">
        <v>13</v>
      </c>
      <c r="H19" s="207">
        <v>6</v>
      </c>
      <c r="I19" s="207">
        <v>8.1666666666666661</v>
      </c>
      <c r="J19" s="206">
        <v>0</v>
      </c>
      <c r="K19" s="206">
        <v>0</v>
      </c>
      <c r="L19" s="207">
        <v>0</v>
      </c>
      <c r="M19" s="207">
        <v>0</v>
      </c>
      <c r="N19" s="206">
        <v>1</v>
      </c>
      <c r="O19" s="206">
        <v>8</v>
      </c>
      <c r="P19" s="207">
        <v>3</v>
      </c>
      <c r="Q19" s="207">
        <v>5.666666666666667</v>
      </c>
      <c r="R19" s="206">
        <v>0</v>
      </c>
      <c r="S19" s="206">
        <v>0</v>
      </c>
      <c r="T19" s="207">
        <v>3</v>
      </c>
      <c r="U19" s="207">
        <v>1.3333333333333333</v>
      </c>
      <c r="V19" s="206">
        <v>0</v>
      </c>
      <c r="W19" s="206">
        <v>0</v>
      </c>
      <c r="X19" s="207">
        <v>0</v>
      </c>
      <c r="Y19" s="207">
        <v>0</v>
      </c>
    </row>
    <row r="20" spans="1:25" x14ac:dyDescent="0.25">
      <c r="A20" s="178" t="s">
        <v>14</v>
      </c>
      <c r="B20" s="206">
        <v>1</v>
      </c>
      <c r="C20" s="206">
        <v>0</v>
      </c>
      <c r="D20" s="207">
        <v>14</v>
      </c>
      <c r="E20" s="207">
        <v>6.5714285714285712</v>
      </c>
      <c r="F20" s="206">
        <v>1</v>
      </c>
      <c r="G20" s="206">
        <v>11</v>
      </c>
      <c r="H20" s="207">
        <v>3</v>
      </c>
      <c r="I20" s="207">
        <v>12.333333333333334</v>
      </c>
      <c r="J20" s="206">
        <v>1</v>
      </c>
      <c r="K20" s="206">
        <v>1</v>
      </c>
      <c r="L20" s="207">
        <v>0</v>
      </c>
      <c r="M20" s="207">
        <v>0</v>
      </c>
      <c r="N20" s="206">
        <v>1</v>
      </c>
      <c r="O20" s="206">
        <v>9</v>
      </c>
      <c r="P20" s="207">
        <v>4</v>
      </c>
      <c r="Q20" s="207">
        <v>4</v>
      </c>
      <c r="R20" s="206">
        <v>0</v>
      </c>
      <c r="S20" s="206">
        <v>0</v>
      </c>
      <c r="T20" s="207">
        <v>4</v>
      </c>
      <c r="U20" s="207">
        <v>2.25</v>
      </c>
      <c r="V20" s="206">
        <v>0</v>
      </c>
      <c r="W20" s="206">
        <v>0</v>
      </c>
      <c r="X20" s="207">
        <v>1</v>
      </c>
      <c r="Y20" s="207">
        <v>1</v>
      </c>
    </row>
    <row r="21" spans="1:25" x14ac:dyDescent="0.25">
      <c r="A21" s="178" t="s">
        <v>15</v>
      </c>
      <c r="B21" s="206">
        <v>2</v>
      </c>
      <c r="C21" s="206">
        <v>4</v>
      </c>
      <c r="D21" s="207">
        <v>14</v>
      </c>
      <c r="E21" s="207">
        <v>7.7142857142857144</v>
      </c>
      <c r="F21" s="206">
        <v>1</v>
      </c>
      <c r="G21" s="206">
        <v>13</v>
      </c>
      <c r="H21" s="207">
        <v>4</v>
      </c>
      <c r="I21" s="207">
        <v>2.5</v>
      </c>
      <c r="J21" s="206">
        <v>0</v>
      </c>
      <c r="K21" s="206">
        <v>0</v>
      </c>
      <c r="L21" s="207">
        <v>0</v>
      </c>
      <c r="M21" s="207">
        <v>0</v>
      </c>
      <c r="N21" s="206">
        <v>1</v>
      </c>
      <c r="O21" s="206">
        <v>9</v>
      </c>
      <c r="P21" s="207">
        <v>3</v>
      </c>
      <c r="Q21" s="207">
        <v>5.333333333333333</v>
      </c>
      <c r="R21" s="206">
        <v>2</v>
      </c>
      <c r="S21" s="206">
        <v>2.5</v>
      </c>
      <c r="T21" s="207">
        <v>2</v>
      </c>
      <c r="U21" s="207">
        <v>1</v>
      </c>
      <c r="V21" s="206">
        <v>0</v>
      </c>
      <c r="W21" s="206">
        <v>0</v>
      </c>
      <c r="X21" s="207">
        <v>0</v>
      </c>
      <c r="Y21" s="207">
        <v>0</v>
      </c>
    </row>
    <row r="22" spans="1:25" x14ac:dyDescent="0.25">
      <c r="A22" s="178" t="s">
        <v>16</v>
      </c>
      <c r="B22" s="206">
        <v>2</v>
      </c>
      <c r="C22" s="206">
        <v>4.5</v>
      </c>
      <c r="D22" s="207">
        <v>17</v>
      </c>
      <c r="E22" s="207">
        <v>8.6470588235294112</v>
      </c>
      <c r="F22" s="206">
        <v>0</v>
      </c>
      <c r="G22" s="206">
        <v>0</v>
      </c>
      <c r="H22" s="207">
        <v>4</v>
      </c>
      <c r="I22" s="207">
        <v>5.5</v>
      </c>
      <c r="J22" s="206">
        <v>0</v>
      </c>
      <c r="K22" s="206">
        <v>0</v>
      </c>
      <c r="L22" s="207">
        <v>0</v>
      </c>
      <c r="M22" s="207">
        <v>0</v>
      </c>
      <c r="N22" s="206">
        <v>2</v>
      </c>
      <c r="O22" s="206">
        <v>5</v>
      </c>
      <c r="P22" s="207">
        <v>3</v>
      </c>
      <c r="Q22" s="207">
        <v>4.333333333333333</v>
      </c>
      <c r="R22" s="206">
        <v>1</v>
      </c>
      <c r="S22" s="206">
        <v>0</v>
      </c>
      <c r="T22" s="207">
        <v>0</v>
      </c>
      <c r="U22" s="207">
        <v>0</v>
      </c>
      <c r="V22" s="206">
        <v>1</v>
      </c>
      <c r="W22" s="206">
        <v>1</v>
      </c>
      <c r="X22" s="207">
        <v>0</v>
      </c>
      <c r="Y22" s="207">
        <v>0</v>
      </c>
    </row>
    <row r="23" spans="1:25" x14ac:dyDescent="0.25">
      <c r="A23" s="178" t="s">
        <v>17</v>
      </c>
      <c r="B23" s="206">
        <v>2</v>
      </c>
      <c r="C23" s="206">
        <v>4.5</v>
      </c>
      <c r="D23" s="207">
        <v>18</v>
      </c>
      <c r="E23" s="207">
        <v>7.8888888888888893</v>
      </c>
      <c r="F23" s="206">
        <v>1</v>
      </c>
      <c r="G23" s="206">
        <v>2</v>
      </c>
      <c r="H23" s="207">
        <v>1</v>
      </c>
      <c r="I23" s="207">
        <v>1</v>
      </c>
      <c r="J23" s="206">
        <v>0</v>
      </c>
      <c r="K23" s="206">
        <v>0</v>
      </c>
      <c r="L23" s="207">
        <v>1</v>
      </c>
      <c r="M23" s="207">
        <v>5</v>
      </c>
      <c r="N23" s="206">
        <v>1</v>
      </c>
      <c r="O23" s="206">
        <v>27</v>
      </c>
      <c r="P23" s="207">
        <v>3</v>
      </c>
      <c r="Q23" s="207">
        <v>4.333333333333333</v>
      </c>
      <c r="R23" s="206">
        <v>1</v>
      </c>
      <c r="S23" s="206">
        <v>1</v>
      </c>
      <c r="T23" s="207">
        <v>1</v>
      </c>
      <c r="U23" s="207">
        <v>3</v>
      </c>
      <c r="V23" s="206">
        <v>0</v>
      </c>
      <c r="W23" s="206">
        <v>0</v>
      </c>
      <c r="X23" s="207">
        <v>0</v>
      </c>
      <c r="Y23" s="207">
        <v>0</v>
      </c>
    </row>
    <row r="24" spans="1:25" x14ac:dyDescent="0.25">
      <c r="A24" s="6" t="s">
        <v>184</v>
      </c>
      <c r="B24" s="206">
        <v>10</v>
      </c>
      <c r="C24" s="206">
        <v>2.6</v>
      </c>
      <c r="D24" s="207">
        <v>129</v>
      </c>
      <c r="E24" s="207">
        <v>7.8992248062015502</v>
      </c>
      <c r="F24" s="206">
        <v>14</v>
      </c>
      <c r="G24" s="206">
        <v>5.2857142857142856</v>
      </c>
      <c r="H24" s="207">
        <v>27</v>
      </c>
      <c r="I24" s="207">
        <v>6.333333333333333</v>
      </c>
      <c r="J24" s="206">
        <v>1</v>
      </c>
      <c r="K24" s="206">
        <v>1</v>
      </c>
      <c r="L24" s="207">
        <v>3</v>
      </c>
      <c r="M24" s="207">
        <v>5</v>
      </c>
      <c r="N24" s="206">
        <v>11</v>
      </c>
      <c r="O24" s="206">
        <v>13.909090909090908</v>
      </c>
      <c r="P24" s="207">
        <v>22</v>
      </c>
      <c r="Q24" s="207">
        <v>4.8181818181818183</v>
      </c>
      <c r="R24" s="206">
        <v>6</v>
      </c>
      <c r="S24" s="206">
        <v>1.5</v>
      </c>
      <c r="T24" s="207">
        <v>15</v>
      </c>
      <c r="U24" s="207">
        <v>1.6666666666666667</v>
      </c>
      <c r="V24" s="206">
        <v>1</v>
      </c>
      <c r="W24" s="206">
        <v>1</v>
      </c>
      <c r="X24" s="207">
        <v>1</v>
      </c>
      <c r="Y24" s="207">
        <v>1</v>
      </c>
    </row>
    <row r="29" spans="1:25" x14ac:dyDescent="0.25">
      <c r="A29" s="194" t="s">
        <v>46</v>
      </c>
      <c r="B29" s="37" t="s">
        <v>202</v>
      </c>
    </row>
    <row r="30" spans="1:25" x14ac:dyDescent="0.25">
      <c r="A30" s="195" t="s">
        <v>34</v>
      </c>
      <c r="B30" s="37">
        <v>10</v>
      </c>
    </row>
    <row r="31" spans="1:25" x14ac:dyDescent="0.25">
      <c r="A31" s="195" t="s">
        <v>41</v>
      </c>
      <c r="B31" s="37">
        <v>135</v>
      </c>
    </row>
    <row r="32" spans="1:25" x14ac:dyDescent="0.25">
      <c r="A32" s="195" t="s">
        <v>42</v>
      </c>
      <c r="B32" s="37">
        <v>14</v>
      </c>
    </row>
    <row r="33" spans="1:17" x14ac:dyDescent="0.25">
      <c r="A33" s="195" t="s">
        <v>29</v>
      </c>
      <c r="B33" s="37">
        <v>27</v>
      </c>
    </row>
    <row r="34" spans="1:17" x14ac:dyDescent="0.25">
      <c r="A34" s="195" t="s">
        <v>30</v>
      </c>
      <c r="B34" s="37">
        <v>1</v>
      </c>
    </row>
    <row r="35" spans="1:17" x14ac:dyDescent="0.25">
      <c r="A35" s="195" t="s">
        <v>32</v>
      </c>
      <c r="B35" s="37">
        <v>3</v>
      </c>
    </row>
    <row r="36" spans="1:17" x14ac:dyDescent="0.25">
      <c r="A36" s="195" t="s">
        <v>43</v>
      </c>
      <c r="B36" s="37">
        <v>11</v>
      </c>
    </row>
    <row r="37" spans="1:17" x14ac:dyDescent="0.25">
      <c r="A37" s="195" t="s">
        <v>38</v>
      </c>
      <c r="B37" s="37">
        <v>22</v>
      </c>
    </row>
    <row r="38" spans="1:17" x14ac:dyDescent="0.25">
      <c r="A38" s="195" t="s">
        <v>36</v>
      </c>
      <c r="B38" s="37">
        <v>6</v>
      </c>
    </row>
    <row r="39" spans="1:17" x14ac:dyDescent="0.25">
      <c r="A39" s="195" t="s">
        <v>40</v>
      </c>
      <c r="B39" s="37">
        <v>15</v>
      </c>
    </row>
    <row r="40" spans="1:17" x14ac:dyDescent="0.25">
      <c r="A40" s="195" t="s">
        <v>37</v>
      </c>
      <c r="B40" s="37">
        <v>1</v>
      </c>
    </row>
    <row r="41" spans="1:17" x14ac:dyDescent="0.25">
      <c r="A41" s="195" t="s">
        <v>39</v>
      </c>
      <c r="B41" s="37">
        <v>1</v>
      </c>
    </row>
    <row r="44" spans="1:17" x14ac:dyDescent="0.25">
      <c r="A44" s="194" t="s">
        <v>186</v>
      </c>
      <c r="B44" s="194" t="s">
        <v>201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</row>
    <row r="45" spans="1:17" x14ac:dyDescent="0.25">
      <c r="A45" s="37"/>
      <c r="B45" s="37" t="s">
        <v>80</v>
      </c>
      <c r="C45" s="37" t="s">
        <v>81</v>
      </c>
      <c r="D45" s="37" t="s">
        <v>82</v>
      </c>
      <c r="E45" s="37" t="s">
        <v>83</v>
      </c>
      <c r="F45" s="37" t="s">
        <v>84</v>
      </c>
      <c r="G45" s="37" t="s">
        <v>85</v>
      </c>
      <c r="H45" s="37" t="s">
        <v>86</v>
      </c>
      <c r="I45" s="37" t="s">
        <v>87</v>
      </c>
      <c r="J45" s="37" t="s">
        <v>88</v>
      </c>
      <c r="K45" s="37" t="s">
        <v>89</v>
      </c>
      <c r="L45" s="37" t="s">
        <v>90</v>
      </c>
      <c r="M45" s="37" t="s">
        <v>91</v>
      </c>
      <c r="N45" s="37" t="s">
        <v>92</v>
      </c>
      <c r="O45" s="37" t="s">
        <v>200</v>
      </c>
      <c r="P45" s="37" t="s">
        <v>216</v>
      </c>
      <c r="Q45" s="37" t="s">
        <v>217</v>
      </c>
    </row>
    <row r="46" spans="1:17" x14ac:dyDescent="0.25">
      <c r="A46" s="194" t="s">
        <v>73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 t="s">
        <v>216</v>
      </c>
      <c r="Q46" s="37"/>
    </row>
    <row r="47" spans="1:17" x14ac:dyDescent="0.25">
      <c r="A47" s="117" t="s">
        <v>10</v>
      </c>
      <c r="B47" s="117">
        <v>5</v>
      </c>
      <c r="C47" s="117">
        <v>14</v>
      </c>
      <c r="D47" s="117">
        <v>1</v>
      </c>
      <c r="E47" s="117"/>
      <c r="F47" s="117">
        <v>4</v>
      </c>
      <c r="G47" s="117">
        <v>1</v>
      </c>
      <c r="H47" s="117">
        <v>1</v>
      </c>
      <c r="I47" s="117">
        <v>1</v>
      </c>
      <c r="J47" s="117"/>
      <c r="K47" s="117">
        <v>1</v>
      </c>
      <c r="L47" s="117"/>
      <c r="M47" s="117">
        <v>1</v>
      </c>
      <c r="N47" s="117">
        <v>1</v>
      </c>
      <c r="O47" s="117">
        <v>1</v>
      </c>
      <c r="P47" s="117"/>
      <c r="Q47" s="117"/>
    </row>
    <row r="48" spans="1:17" x14ac:dyDescent="0.25">
      <c r="A48" s="117" t="s">
        <v>14</v>
      </c>
      <c r="B48" s="117">
        <v>12</v>
      </c>
      <c r="C48" s="117">
        <v>4</v>
      </c>
      <c r="D48" s="117">
        <v>2</v>
      </c>
      <c r="E48" s="117">
        <v>4</v>
      </c>
      <c r="F48" s="117">
        <v>3</v>
      </c>
      <c r="G48" s="117">
        <v>2</v>
      </c>
      <c r="H48" s="117"/>
      <c r="I48" s="117"/>
      <c r="J48" s="117">
        <v>1</v>
      </c>
      <c r="K48" s="117"/>
      <c r="L48" s="117">
        <v>1</v>
      </c>
      <c r="M48" s="117"/>
      <c r="N48" s="117"/>
      <c r="O48" s="117">
        <v>1</v>
      </c>
      <c r="P48" s="117"/>
      <c r="Q48" s="117"/>
    </row>
    <row r="49" spans="1:17" x14ac:dyDescent="0.25">
      <c r="A49" s="117" t="s">
        <v>15</v>
      </c>
      <c r="B49" s="117">
        <v>12</v>
      </c>
      <c r="C49" s="117">
        <v>2</v>
      </c>
      <c r="D49" s="117">
        <v>2</v>
      </c>
      <c r="E49" s="117">
        <v>6</v>
      </c>
      <c r="F49" s="117">
        <v>3</v>
      </c>
      <c r="G49" s="117">
        <v>1</v>
      </c>
      <c r="H49" s="117">
        <v>1</v>
      </c>
      <c r="I49" s="117"/>
      <c r="J49" s="117"/>
      <c r="K49" s="117"/>
      <c r="L49" s="117"/>
      <c r="M49" s="117">
        <v>1</v>
      </c>
      <c r="N49" s="117"/>
      <c r="O49" s="117">
        <v>1</v>
      </c>
      <c r="P49" s="117"/>
      <c r="Q49" s="117"/>
    </row>
    <row r="50" spans="1:17" x14ac:dyDescent="0.25">
      <c r="A50" s="117" t="s">
        <v>16</v>
      </c>
      <c r="B50" s="117">
        <v>8</v>
      </c>
      <c r="C50" s="117">
        <v>9</v>
      </c>
      <c r="D50" s="117">
        <v>1</v>
      </c>
      <c r="E50" s="117">
        <v>2</v>
      </c>
      <c r="F50" s="117">
        <v>5</v>
      </c>
      <c r="G50" s="117"/>
      <c r="H50" s="117">
        <v>1</v>
      </c>
      <c r="I50" s="117"/>
      <c r="J50" s="117"/>
      <c r="K50" s="117">
        <v>1</v>
      </c>
      <c r="L50" s="117">
        <v>1</v>
      </c>
      <c r="M50" s="117">
        <v>1</v>
      </c>
      <c r="N50" s="117"/>
      <c r="O50" s="117">
        <v>1</v>
      </c>
      <c r="P50" s="117"/>
      <c r="Q50" s="117"/>
    </row>
    <row r="51" spans="1:17" x14ac:dyDescent="0.25">
      <c r="A51" s="117" t="s">
        <v>17</v>
      </c>
      <c r="B51" s="117">
        <v>6</v>
      </c>
      <c r="C51" s="117">
        <v>11</v>
      </c>
      <c r="D51" s="117">
        <v>2</v>
      </c>
      <c r="E51" s="117">
        <v>3</v>
      </c>
      <c r="F51" s="117">
        <v>3</v>
      </c>
      <c r="G51" s="117"/>
      <c r="H51" s="117">
        <v>1</v>
      </c>
      <c r="I51" s="117"/>
      <c r="J51" s="117"/>
      <c r="K51" s="117">
        <v>2</v>
      </c>
      <c r="L51" s="117"/>
      <c r="M51" s="117">
        <v>1</v>
      </c>
      <c r="N51" s="117"/>
      <c r="O51" s="117">
        <v>1</v>
      </c>
      <c r="P51" s="117"/>
      <c r="Q51" s="117"/>
    </row>
    <row r="52" spans="1:17" x14ac:dyDescent="0.25">
      <c r="A52" s="117" t="s">
        <v>11</v>
      </c>
      <c r="B52" s="117">
        <v>6</v>
      </c>
      <c r="C52" s="117">
        <v>11</v>
      </c>
      <c r="D52" s="117">
        <v>2</v>
      </c>
      <c r="E52" s="117">
        <v>3</v>
      </c>
      <c r="F52" s="117">
        <v>2</v>
      </c>
      <c r="G52" s="117">
        <v>2</v>
      </c>
      <c r="H52" s="117"/>
      <c r="I52" s="117"/>
      <c r="J52" s="117"/>
      <c r="K52" s="117"/>
      <c r="L52" s="117">
        <v>2</v>
      </c>
      <c r="M52" s="117"/>
      <c r="N52" s="117">
        <v>2</v>
      </c>
      <c r="O52" s="117">
        <v>1</v>
      </c>
      <c r="P52" s="117"/>
      <c r="Q52" s="117"/>
    </row>
    <row r="53" spans="1:17" x14ac:dyDescent="0.25">
      <c r="A53" s="117" t="s">
        <v>12</v>
      </c>
      <c r="B53" s="117">
        <v>12</v>
      </c>
      <c r="C53" s="117">
        <v>6</v>
      </c>
      <c r="D53" s="117">
        <v>2</v>
      </c>
      <c r="E53" s="117">
        <v>1</v>
      </c>
      <c r="F53" s="117">
        <v>5</v>
      </c>
      <c r="G53" s="117">
        <v>1</v>
      </c>
      <c r="H53" s="117"/>
      <c r="I53" s="117"/>
      <c r="J53" s="117"/>
      <c r="K53" s="117">
        <v>1</v>
      </c>
      <c r="L53" s="117">
        <v>1</v>
      </c>
      <c r="M53" s="117"/>
      <c r="N53" s="117">
        <v>2</v>
      </c>
      <c r="O53" s="117"/>
      <c r="P53" s="117"/>
      <c r="Q53" s="117"/>
    </row>
    <row r="54" spans="1:17" x14ac:dyDescent="0.25">
      <c r="A54" s="117" t="s">
        <v>13</v>
      </c>
      <c r="B54" s="117">
        <v>7</v>
      </c>
      <c r="C54" s="117">
        <v>11</v>
      </c>
      <c r="D54" s="117"/>
      <c r="E54" s="117">
        <v>3</v>
      </c>
      <c r="F54" s="117">
        <v>2</v>
      </c>
      <c r="G54" s="117">
        <v>3</v>
      </c>
      <c r="H54" s="117">
        <v>2</v>
      </c>
      <c r="I54" s="117"/>
      <c r="J54" s="117"/>
      <c r="K54" s="117"/>
      <c r="L54" s="117">
        <v>1</v>
      </c>
      <c r="M54" s="117"/>
      <c r="N54" s="117">
        <v>1</v>
      </c>
      <c r="O54" s="117"/>
      <c r="P54" s="117"/>
      <c r="Q54" s="117"/>
    </row>
    <row r="55" spans="1:17" x14ac:dyDescent="0.25">
      <c r="A55" s="195" t="s">
        <v>184</v>
      </c>
      <c r="B55" s="117">
        <v>68</v>
      </c>
      <c r="C55" s="117">
        <v>68</v>
      </c>
      <c r="D55" s="117">
        <v>12</v>
      </c>
      <c r="E55" s="117">
        <v>22</v>
      </c>
      <c r="F55" s="117">
        <v>27</v>
      </c>
      <c r="G55" s="117">
        <v>10</v>
      </c>
      <c r="H55" s="117">
        <v>6</v>
      </c>
      <c r="I55" s="117">
        <v>1</v>
      </c>
      <c r="J55" s="117">
        <v>1</v>
      </c>
      <c r="K55" s="117">
        <v>5</v>
      </c>
      <c r="L55" s="117">
        <v>6</v>
      </c>
      <c r="M55" s="117">
        <v>4</v>
      </c>
      <c r="N55" s="117">
        <v>6</v>
      </c>
      <c r="O55" s="117">
        <v>6</v>
      </c>
      <c r="P55" s="117"/>
      <c r="Q55" s="117"/>
    </row>
  </sheetData>
  <mergeCells count="12">
    <mergeCell ref="V14:W14"/>
    <mergeCell ref="X14:Y14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</mergeCells>
  <pageMargins left="0.7" right="0.7" top="0.75" bottom="0.75" header="0.3" footer="0.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D8F98-22CC-43B5-BED4-1EA51234A1D2}">
  <sheetPr codeName="Лист4"/>
  <dimension ref="A1:AH11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23" sqref="I23"/>
    </sheetView>
  </sheetViews>
  <sheetFormatPr defaultRowHeight="15" x14ac:dyDescent="0.25"/>
  <cols>
    <col min="1" max="1" width="11" style="81" customWidth="1"/>
    <col min="2" max="2" width="10.85546875" customWidth="1"/>
    <col min="6" max="6" width="10.28515625" bestFit="1" customWidth="1"/>
    <col min="9" max="9" width="7.7109375" customWidth="1"/>
    <col min="14" max="14" width="10.28515625" bestFit="1" customWidth="1"/>
    <col min="17" max="17" width="10.42578125" customWidth="1"/>
    <col min="18" max="18" width="12.5703125" customWidth="1"/>
  </cols>
  <sheetData>
    <row r="1" spans="1:14" x14ac:dyDescent="0.25">
      <c r="A1" s="218" t="s">
        <v>0</v>
      </c>
      <c r="B1" s="78" t="s">
        <v>51</v>
      </c>
      <c r="C1" s="78"/>
      <c r="D1" s="78"/>
      <c r="E1" s="217" t="s">
        <v>62</v>
      </c>
      <c r="F1" s="217"/>
      <c r="G1" s="217"/>
      <c r="H1" s="79" t="s">
        <v>52</v>
      </c>
      <c r="I1" s="78"/>
      <c r="J1" s="78"/>
      <c r="K1" s="78" t="s">
        <v>53</v>
      </c>
      <c r="L1" s="78"/>
      <c r="M1" s="78"/>
      <c r="N1" s="78"/>
    </row>
    <row r="2" spans="1:14" x14ac:dyDescent="0.25">
      <c r="A2" s="218"/>
      <c r="B2" s="78" t="s">
        <v>54</v>
      </c>
      <c r="C2" s="78"/>
      <c r="D2" s="78"/>
      <c r="E2" s="217"/>
      <c r="F2" s="217"/>
      <c r="G2" s="217"/>
      <c r="H2" s="9" t="s">
        <v>55</v>
      </c>
      <c r="I2" s="240" t="s">
        <v>64</v>
      </c>
      <c r="J2" s="1" t="s">
        <v>56</v>
      </c>
      <c r="K2" s="238" t="s">
        <v>63</v>
      </c>
      <c r="L2" s="242" t="s">
        <v>57</v>
      </c>
      <c r="M2" s="238" t="s">
        <v>58</v>
      </c>
      <c r="N2" s="78" t="s">
        <v>126</v>
      </c>
    </row>
    <row r="3" spans="1:14" x14ac:dyDescent="0.25">
      <c r="A3" s="218"/>
      <c r="B3" s="1" t="s">
        <v>55</v>
      </c>
      <c r="C3" s="1" t="s">
        <v>56</v>
      </c>
      <c r="D3" s="1" t="s">
        <v>59</v>
      </c>
      <c r="E3" s="9" t="s">
        <v>55</v>
      </c>
      <c r="F3" s="9" t="s">
        <v>56</v>
      </c>
      <c r="G3" s="9" t="s">
        <v>59</v>
      </c>
      <c r="H3" s="1"/>
      <c r="I3" s="241"/>
      <c r="J3" s="1" t="s">
        <v>60</v>
      </c>
      <c r="K3" s="239"/>
      <c r="L3" s="243"/>
      <c r="M3" s="239"/>
      <c r="N3" s="1" t="s">
        <v>13</v>
      </c>
    </row>
    <row r="4" spans="1:14" ht="16.5" x14ac:dyDescent="0.25">
      <c r="A4" s="218"/>
      <c r="B4" s="80" t="s">
        <v>61</v>
      </c>
      <c r="C4" s="78"/>
      <c r="D4" s="78"/>
      <c r="E4" s="79" t="s">
        <v>8</v>
      </c>
      <c r="F4" s="78"/>
      <c r="G4" s="79"/>
      <c r="H4" s="79" t="s">
        <v>4</v>
      </c>
      <c r="I4" s="78"/>
      <c r="J4" s="78"/>
      <c r="K4" s="78" t="s">
        <v>7</v>
      </c>
      <c r="L4" s="79"/>
      <c r="M4" s="78"/>
      <c r="N4" s="78" t="s">
        <v>6</v>
      </c>
    </row>
    <row r="5" spans="1:14" x14ac:dyDescent="0.25">
      <c r="A5" s="116">
        <f>Рудник!$A$6</f>
        <v>44986</v>
      </c>
      <c r="B5" s="118">
        <f>IFERROR(AVERAGEIFS(Рудник!$F:$F,Рудник!$A:$A,A5),"")</f>
        <v>-13.637499999999999</v>
      </c>
      <c r="C5" s="117">
        <f t="array" ref="C5">MAX(IF(Рудник!$A:$A='Сводная Рудник'!$A5,Рудник!G:G))</f>
        <v>0</v>
      </c>
      <c r="D5" s="117">
        <f t="array" ref="D5">MIN(IF(Рудник!$A:$A='Сводная Рудник'!$A5,Рудник!H:H))</f>
        <v>0</v>
      </c>
      <c r="E5" s="118">
        <f>IFERROR(AVERAGEIFS(Рудник!N:N,Рудник!$A:$A,$A5),"")</f>
        <v>916.0625</v>
      </c>
      <c r="F5" s="117">
        <f t="array" ref="F5">MAX(IF(Рудник!$A:$A='Сводная Рудник'!$A5,Рудник!N:N))</f>
        <v>917.1</v>
      </c>
      <c r="G5" s="117">
        <f t="array" ref="G5">MIN(IF(Рудник!$A:$A='Сводная Рудник'!$A5,Рудник!N:N))</f>
        <v>914.7</v>
      </c>
      <c r="H5" s="120">
        <f>IFERROR(AVERAGEIFS(Рудник!D:D,Рудник!$A:$A,$A5),"")</f>
        <v>34.5</v>
      </c>
      <c r="I5" s="117">
        <f t="array" ref="I5">MAX(IF(Рудник!$A:$A='Сводная Рудник'!$A5,Рудник!D:D))</f>
        <v>38</v>
      </c>
      <c r="J5" s="117">
        <f t="array" ref="J5">MAX(IF(Рудник!$A:$A='Сводная Рудник'!$A5,Рудник!E:E))</f>
        <v>12</v>
      </c>
      <c r="K5" s="117">
        <f>SUMIFS(Рудник!L:L,Рудник!$A:$A,'Сводная Рудник'!$A5)</f>
        <v>11.899999999999999</v>
      </c>
      <c r="L5" s="117">
        <f t="array" ref="L5">SUM(SUMIFS(Рудник!$L:$L,Рудник!$A:$A,A5,Рудник!$B:$B,{"9:00","12:00","15:00","18:00"}))</f>
        <v>1.2</v>
      </c>
      <c r="M5" s="117">
        <f t="array" ref="M5">SUM(SUMIFS(Рудник!$L:$L,Рудник!$A:$A,A5,Рудник!$B:$B,{"0:00","3:00","6:00","21:00"}))</f>
        <v>10.7</v>
      </c>
      <c r="N5" s="117">
        <f>IFERROR(INDEX(Рудник!$A:$P,MATCH(A5,Рудник!$A:$A,0)+3,10),"")</f>
        <v>91</v>
      </c>
    </row>
    <row r="6" spans="1:14" x14ac:dyDescent="0.25">
      <c r="A6" s="116">
        <f>A5+1</f>
        <v>44987</v>
      </c>
      <c r="B6" s="118">
        <f>IFERROR(AVERAGEIFS(Рудник!$F:$F,Рудник!$A:$A,A6),"")</f>
        <v>-14.9125</v>
      </c>
      <c r="C6" s="117">
        <f t="array" ref="C6">MAX(IF(Рудник!$A:$A='Сводная Рудник'!$A6,Рудник!G:G))</f>
        <v>0</v>
      </c>
      <c r="D6" s="117">
        <f t="array" ref="D6">MIN(IF(Рудник!$A:$A='Сводная Рудник'!$A6,Рудник!H:H))</f>
        <v>0</v>
      </c>
      <c r="E6" s="118">
        <f>IFERROR(AVERAGEIFS(Рудник!N:N,Рудник!$A:$A,$A6),"")</f>
        <v>923.25000000000011</v>
      </c>
      <c r="F6" s="117">
        <f t="array" ref="F6">MAX(IF(Рудник!$A:$A='Сводная Рудник'!$A6,Рудник!N:N))</f>
        <v>931.1</v>
      </c>
      <c r="G6" s="117">
        <f t="array" ref="G6">MIN(IF(Рудник!$A:$A='Сводная Рудник'!$A6,Рудник!N:N))</f>
        <v>917.3</v>
      </c>
      <c r="H6" s="120">
        <f>IFERROR(AVERAGEIFS(Рудник!D:D,Рудник!$A:$A,$A6),"")</f>
        <v>19.125</v>
      </c>
      <c r="I6" s="117">
        <f t="array" ref="I6">MAX(IF(Рудник!$A:$A='Сводная Рудник'!$A6,Рудник!D:D))</f>
        <v>40</v>
      </c>
      <c r="J6" s="117">
        <f t="array" ref="J6">MAX(IF(Рудник!$A:$A='Сводная Рудник'!$A6,Рудник!E:E))</f>
        <v>17</v>
      </c>
      <c r="K6" s="117">
        <f>SUMIFS(Рудник!L:L,Рудник!$A:$A,'Сводная Рудник'!$A6)</f>
        <v>8.5500000000000007</v>
      </c>
      <c r="L6" s="117">
        <f t="array" ref="L6">SUM(SUMIFS(Рудник!$L:$L,Рудник!$A:$A,A6,Рудник!$B:$B,{"9:00","12:00","15:00","18:00"}))</f>
        <v>1.6</v>
      </c>
      <c r="M6" s="117">
        <f t="array" ref="M6">SUM(SUMIFS(Рудник!$L:$L,Рудник!$A:$A,A6,Рудник!$B:$B,{"0:00","3:00","6:00","21:00"}))</f>
        <v>6.95</v>
      </c>
      <c r="N6" s="117">
        <f>IFERROR(INDEX(Рудник!$A:$P,MATCH(A6,Рудник!$A:$A,0)+3,10),"")</f>
        <v>89</v>
      </c>
    </row>
    <row r="7" spans="1:14" x14ac:dyDescent="0.25">
      <c r="A7" s="116">
        <f t="shared" ref="A7:A35" si="0">A6+1</f>
        <v>44988</v>
      </c>
      <c r="B7" s="118">
        <f>IFERROR(AVERAGEIFS(Рудник!$F:$F,Рудник!$A:$A,A7),"")</f>
        <v>-12.824999999999999</v>
      </c>
      <c r="C7" s="117">
        <f t="array" ref="C7">MAX(IF(Рудник!$A:$A='Сводная Рудник'!$A7,Рудник!G:G))</f>
        <v>0</v>
      </c>
      <c r="D7" s="117">
        <f t="array" ref="D7">MIN(IF(Рудник!$A:$A='Сводная Рудник'!$A7,Рудник!H:H))</f>
        <v>0</v>
      </c>
      <c r="E7" s="118">
        <f>IFERROR(AVERAGEIFS(Рудник!N:N,Рудник!$A:$A,$A7),"")</f>
        <v>927.82499999999993</v>
      </c>
      <c r="F7" s="117">
        <f t="array" ref="F7">MAX(IF(Рудник!$A:$A='Сводная Рудник'!$A7,Рудник!N:N))</f>
        <v>932.7</v>
      </c>
      <c r="G7" s="117">
        <f t="array" ref="G7">MIN(IF(Рудник!$A:$A='Сводная Рудник'!$A7,Рудник!N:N))</f>
        <v>921.6</v>
      </c>
      <c r="H7" s="120">
        <f>IFERROR(AVERAGEIFS(Рудник!D:D,Рудник!$A:$A,$A7),"")</f>
        <v>23.5</v>
      </c>
      <c r="I7" s="117">
        <f t="array" ref="I7">MAX(IF(Рудник!$A:$A='Сводная Рудник'!$A7,Рудник!D:D))</f>
        <v>27</v>
      </c>
      <c r="J7" s="117">
        <f t="array" ref="J7">MAX(IF(Рудник!$A:$A='Сводная Рудник'!$A7,Рудник!E:E))</f>
        <v>8</v>
      </c>
      <c r="K7" s="117">
        <f>SUMIFS(Рудник!L:L,Рудник!$A:$A,'Сводная Рудник'!$A7)</f>
        <v>5.7</v>
      </c>
      <c r="L7" s="117">
        <f t="array" ref="L7">SUM(SUMIFS(Рудник!$L:$L,Рудник!$A:$A,A7,Рудник!$B:$B,{"9:00","12:00","15:00","18:00"}))</f>
        <v>0</v>
      </c>
      <c r="M7" s="117">
        <f t="array" ref="M7">SUM(SUMIFS(Рудник!$L:$L,Рудник!$A:$A,A7,Рудник!$B:$B,{"0:00","3:00","6:00","21:00"}))</f>
        <v>5.7</v>
      </c>
      <c r="N7" s="117">
        <f>IFERROR(INDEX(Рудник!$A:$P,MATCH(A7,Рудник!$A:$A,0)+3,10),"")</f>
        <v>92</v>
      </c>
    </row>
    <row r="8" spans="1:14" x14ac:dyDescent="0.25">
      <c r="A8" s="116">
        <f t="shared" si="0"/>
        <v>44989</v>
      </c>
      <c r="B8" s="118">
        <f>IFERROR(AVERAGEIFS(Рудник!$F:$F,Рудник!$A:$A,A8),"")</f>
        <v>-14.3375</v>
      </c>
      <c r="C8" s="117">
        <f t="array" ref="C8">MAX(IF(Рудник!$A:$A='Сводная Рудник'!$A8,Рудник!G:G))</f>
        <v>0</v>
      </c>
      <c r="D8" s="117">
        <f t="array" ref="D8">MIN(IF(Рудник!$A:$A='Сводная Рудник'!$A8,Рудник!H:H))</f>
        <v>0</v>
      </c>
      <c r="E8" s="118">
        <f>IFERROR(AVERAGEIFS(Рудник!N:N,Рудник!$A:$A,$A8),"")</f>
        <v>921.41250000000002</v>
      </c>
      <c r="F8" s="117">
        <f t="array" ref="F8">MAX(IF(Рудник!$A:$A='Сводная Рудник'!$A8,Рудник!N:N))</f>
        <v>923.5</v>
      </c>
      <c r="G8" s="117">
        <f t="array" ref="G8">MIN(IF(Рудник!$A:$A='Сводная Рудник'!$A8,Рудник!N:N))</f>
        <v>920.2</v>
      </c>
      <c r="H8" s="120">
        <f>IFERROR(AVERAGEIFS(Рудник!D:D,Рудник!$A:$A,$A8),"")</f>
        <v>15.5</v>
      </c>
      <c r="I8" s="117">
        <f t="array" ref="I8">MAX(IF(Рудник!$A:$A='Сводная Рудник'!$A8,Рудник!D:D))</f>
        <v>30</v>
      </c>
      <c r="J8" s="117">
        <f t="array" ref="J8">MAX(IF(Рудник!$A:$A='Сводная Рудник'!$A8,Рудник!E:E))</f>
        <v>18</v>
      </c>
      <c r="K8" s="117">
        <f>SUMIFS(Рудник!L:L,Рудник!$A:$A,'Сводная Рудник'!$A8)</f>
        <v>1</v>
      </c>
      <c r="L8" s="117">
        <f t="array" ref="L8">SUM(SUMIFS(Рудник!$L:$L,Рудник!$A:$A,A8,Рудник!$B:$B,{"9:00","12:00","15:00","18:00"}))</f>
        <v>1</v>
      </c>
      <c r="M8" s="117">
        <f t="array" ref="M8">SUM(SUMIFS(Рудник!$L:$L,Рудник!$A:$A,A8,Рудник!$B:$B,{"0:00","3:00","6:00","21:00"}))</f>
        <v>0</v>
      </c>
      <c r="N8" s="117">
        <f>IFERROR(INDEX(Рудник!$A:$P,MATCH(A8,Рудник!$A:$A,0)+3,10),"")</f>
        <v>90</v>
      </c>
    </row>
    <row r="9" spans="1:14" x14ac:dyDescent="0.25">
      <c r="A9" s="116">
        <f t="shared" si="0"/>
        <v>44990</v>
      </c>
      <c r="B9" s="118">
        <f>IFERROR(AVERAGEIFS(Рудник!$F:$F,Рудник!$A:$A,A9),"")</f>
        <v>-17.824999999999999</v>
      </c>
      <c r="C9" s="117">
        <f t="array" ref="C9">MAX(IF(Рудник!$A:$A='Сводная Рудник'!$A9,Рудник!G:G))</f>
        <v>0</v>
      </c>
      <c r="D9" s="117">
        <f t="array" ref="D9">MIN(IF(Рудник!$A:$A='Сводная Рудник'!$A9,Рудник!H:H))</f>
        <v>0</v>
      </c>
      <c r="E9" s="118">
        <f>IFERROR(AVERAGEIFS(Рудник!N:N,Рудник!$A:$A,$A9),"")</f>
        <v>922.52499999999998</v>
      </c>
      <c r="F9" s="117">
        <f t="array" ref="F9">MAX(IF(Рудник!$A:$A='Сводная Рудник'!$A9,Рудник!N:N))</f>
        <v>923.8</v>
      </c>
      <c r="G9" s="117">
        <f t="array" ref="G9">MIN(IF(Рудник!$A:$A='Сводная Рудник'!$A9,Рудник!N:N))</f>
        <v>921.2</v>
      </c>
      <c r="H9" s="120">
        <f>IFERROR(AVERAGEIFS(Рудник!D:D,Рудник!$A:$A,$A9),"")</f>
        <v>5.625</v>
      </c>
      <c r="I9" s="117">
        <f t="array" ref="I9">MAX(IF(Рудник!$A:$A='Сводная Рудник'!$A9,Рудник!D:D))</f>
        <v>9</v>
      </c>
      <c r="J9" s="117">
        <f t="array" ref="J9">MAX(IF(Рудник!$A:$A='Сводная Рудник'!$A9,Рудник!E:E))</f>
        <v>13</v>
      </c>
      <c r="K9" s="117">
        <f>SUMIFS(Рудник!L:L,Рудник!$A:$A,'Сводная Рудник'!$A9)</f>
        <v>5</v>
      </c>
      <c r="L9" s="117">
        <f t="array" ref="L9">SUM(SUMIFS(Рудник!$L:$L,Рудник!$A:$A,A9,Рудник!$B:$B,{"9:00","12:00","15:00","18:00"}))</f>
        <v>5</v>
      </c>
      <c r="M9" s="117">
        <f t="array" ref="M9">SUM(SUMIFS(Рудник!$L:$L,Рудник!$A:$A,A9,Рудник!$B:$B,{"0:00","3:00","6:00","21:00"}))</f>
        <v>0</v>
      </c>
      <c r="N9" s="117">
        <f>IFERROR(INDEX(Рудник!$A:$P,MATCH(A9,Рудник!$A:$A,0)+3,10),"")</f>
        <v>87</v>
      </c>
    </row>
    <row r="10" spans="1:14" x14ac:dyDescent="0.25">
      <c r="A10" s="116">
        <f t="shared" si="0"/>
        <v>44991</v>
      </c>
      <c r="B10" s="118">
        <f>IFERROR(AVERAGEIFS(Рудник!$F:$F,Рудник!$A:$A,A10),"")</f>
        <v>-14.4375</v>
      </c>
      <c r="C10" s="117">
        <f t="array" ref="C10">MAX(IF(Рудник!$A:$A='Сводная Рудник'!$A10,Рудник!G:G))</f>
        <v>0</v>
      </c>
      <c r="D10" s="117">
        <f t="array" ref="D10">MIN(IF(Рудник!$A:$A='Сводная Рудник'!$A10,Рудник!H:H))</f>
        <v>0</v>
      </c>
      <c r="E10" s="118">
        <f>IFERROR(AVERAGEIFS(Рудник!N:N,Рудник!$A:$A,$A10),"")</f>
        <v>921.19999999999993</v>
      </c>
      <c r="F10" s="117">
        <f t="array" ref="F10">MAX(IF(Рудник!$A:$A='Сводная Рудник'!$A10,Рудник!N:N))</f>
        <v>922.4</v>
      </c>
      <c r="G10" s="117">
        <f t="array" ref="G10">MIN(IF(Рудник!$A:$A='Сводная Рудник'!$A10,Рудник!N:N))</f>
        <v>919.7</v>
      </c>
      <c r="H10" s="120">
        <f>IFERROR(AVERAGEIFS(Рудник!D:D,Рудник!$A:$A,$A10),"")</f>
        <v>1.75</v>
      </c>
      <c r="I10" s="117">
        <f t="array" ref="I10">MAX(IF(Рудник!$A:$A='Сводная Рудник'!$A10,Рудник!D:D))</f>
        <v>3</v>
      </c>
      <c r="J10" s="117">
        <f t="array" ref="J10">MAX(IF(Рудник!$A:$A='Сводная Рудник'!$A10,Рудник!E:E))</f>
        <v>10</v>
      </c>
      <c r="K10" s="117">
        <f>SUMIFS(Рудник!L:L,Рудник!$A:$A,'Сводная Рудник'!$A10)</f>
        <v>11</v>
      </c>
      <c r="L10" s="117">
        <f t="array" ref="L10">SUM(SUMIFS(Рудник!$L:$L,Рудник!$A:$A,A10,Рудник!$B:$B,{"9:00","12:00","15:00","18:00"}))</f>
        <v>0</v>
      </c>
      <c r="M10" s="117">
        <f t="array" ref="M10">SUM(SUMIFS(Рудник!$L:$L,Рудник!$A:$A,A10,Рудник!$B:$B,{"0:00","3:00","6:00","21:00"}))</f>
        <v>11</v>
      </c>
      <c r="N10" s="117">
        <f>IFERROR(INDEX(Рудник!$A:$P,MATCH(A10,Рудник!$A:$A,0)+3,10),"")</f>
        <v>91</v>
      </c>
    </row>
    <row r="11" spans="1:14" x14ac:dyDescent="0.25">
      <c r="A11" s="116">
        <f t="shared" si="0"/>
        <v>44992</v>
      </c>
      <c r="B11" s="118">
        <f>IFERROR(AVERAGEIFS(Рудник!$F:$F,Рудник!$A:$A,A11),"")</f>
        <v>-6.9250000000000007</v>
      </c>
      <c r="C11" s="117">
        <f t="array" ref="C11">MAX(IF(Рудник!$A:$A='Сводная Рудник'!$A11,Рудник!G:G))</f>
        <v>0</v>
      </c>
      <c r="D11" s="117">
        <f t="array" ref="D11">MIN(IF(Рудник!$A:$A='Сводная Рудник'!$A11,Рудник!H:H))</f>
        <v>0</v>
      </c>
      <c r="E11" s="118">
        <f>IFERROR(AVERAGEIFS(Рудник!N:N,Рудник!$A:$A,$A11),"")</f>
        <v>923.18749999999989</v>
      </c>
      <c r="F11" s="117">
        <f t="array" ref="F11">MAX(IF(Рудник!$A:$A='Сводная Рудник'!$A11,Рудник!N:N))</f>
        <v>928.2</v>
      </c>
      <c r="G11" s="117">
        <f t="array" ref="G11">MIN(IF(Рудник!$A:$A='Сводная Рудник'!$A11,Рудник!N:N))</f>
        <v>920.9</v>
      </c>
      <c r="H11" s="120">
        <f>IFERROR(AVERAGEIFS(Рудник!D:D,Рудник!$A:$A,$A11),"")</f>
        <v>4.25</v>
      </c>
      <c r="I11" s="117">
        <f t="array" ref="I11">MAX(IF(Рудник!$A:$A='Сводная Рудник'!$A11,Рудник!D:D))</f>
        <v>8</v>
      </c>
      <c r="J11" s="117">
        <f t="array" ref="J11">MAX(IF(Рудник!$A:$A='Сводная Рудник'!$A11,Рудник!E:E))</f>
        <v>12</v>
      </c>
      <c r="K11" s="117">
        <f>SUMIFS(Рудник!L:L,Рудник!$A:$A,'Сводная Рудник'!$A11)</f>
        <v>0</v>
      </c>
      <c r="L11" s="117">
        <f t="array" ref="L11">SUM(SUMIFS(Рудник!$L:$L,Рудник!$A:$A,A11,Рудник!$B:$B,{"9:00","12:00","15:00","18:00"}))</f>
        <v>0</v>
      </c>
      <c r="M11" s="117">
        <f t="array" ref="M11">SUM(SUMIFS(Рудник!$L:$L,Рудник!$A:$A,A11,Рудник!$B:$B,{"0:00","3:00","6:00","21:00"}))</f>
        <v>0</v>
      </c>
      <c r="N11" s="117">
        <f>IFERROR(INDEX(Рудник!$A:$P,MATCH(A11,Рудник!$A:$A,0)+3,10),"")</f>
        <v>94</v>
      </c>
    </row>
    <row r="12" spans="1:14" x14ac:dyDescent="0.25">
      <c r="A12" s="116">
        <f t="shared" si="0"/>
        <v>44993</v>
      </c>
      <c r="B12" s="118">
        <f>IFERROR(AVERAGEIFS(Рудник!$F:$F,Рудник!$A:$A,A12),"")</f>
        <v>-8.1750000000000007</v>
      </c>
      <c r="C12" s="117">
        <f t="array" ref="C12">MAX(IF(Рудник!$A:$A='Сводная Рудник'!$A12,Рудник!G:G))</f>
        <v>0</v>
      </c>
      <c r="D12" s="117">
        <f t="array" ref="D12">MIN(IF(Рудник!$A:$A='Сводная Рудник'!$A12,Рудник!H:H))</f>
        <v>0</v>
      </c>
      <c r="E12" s="118">
        <f>IFERROR(AVERAGEIFS(Рудник!N:N,Рудник!$A:$A,$A12),"")</f>
        <v>931.53749999999991</v>
      </c>
      <c r="F12" s="117">
        <f t="array" ref="F12">MAX(IF(Рудник!$A:$A='Сводная Рудник'!$A12,Рудник!N:N))</f>
        <v>932.9</v>
      </c>
      <c r="G12" s="117">
        <f t="array" ref="G12">MIN(IF(Рудник!$A:$A='Сводная Рудник'!$A12,Рудник!N:N))</f>
        <v>929</v>
      </c>
      <c r="H12" s="120">
        <f>IFERROR(AVERAGEIFS(Рудник!D:D,Рудник!$A:$A,$A12),"")</f>
        <v>3</v>
      </c>
      <c r="I12" s="117">
        <f t="array" ref="I12">MAX(IF(Рудник!$A:$A='Сводная Рудник'!$A12,Рудник!D:D))</f>
        <v>10</v>
      </c>
      <c r="J12" s="117">
        <f t="array" ref="J12">MAX(IF(Рудник!$A:$A='Сводная Рудник'!$A12,Рудник!E:E))</f>
        <v>15</v>
      </c>
      <c r="K12" s="117">
        <f>SUMIFS(Рудник!L:L,Рудник!$A:$A,'Сводная Рудник'!$A12)</f>
        <v>0</v>
      </c>
      <c r="L12" s="117">
        <f t="array" ref="L12">SUM(SUMIFS(Рудник!$L:$L,Рудник!$A:$A,A12,Рудник!$B:$B,{"9:00","12:00","15:00","18:00"}))</f>
        <v>0</v>
      </c>
      <c r="M12" s="117">
        <f t="array" ref="M12">SUM(SUMIFS(Рудник!$L:$L,Рудник!$A:$A,A12,Рудник!$B:$B,{"0:00","3:00","6:00","21:00"}))</f>
        <v>0</v>
      </c>
      <c r="N12" s="117">
        <f>IFERROR(INDEX(Рудник!$A:$P,MATCH(A12,Рудник!$A:$A,0)+3,10),"")</f>
        <v>91</v>
      </c>
    </row>
    <row r="13" spans="1:14" x14ac:dyDescent="0.25">
      <c r="A13" s="116">
        <f t="shared" si="0"/>
        <v>44994</v>
      </c>
      <c r="B13" s="118">
        <f>IFERROR(AVERAGEIFS(Рудник!$F:$F,Рудник!$A:$A,A13),"")</f>
        <v>-7.6</v>
      </c>
      <c r="C13" s="117">
        <f t="array" ref="C13">MAX(IF(Рудник!$A:$A='Сводная Рудник'!$A13,Рудник!G:G))</f>
        <v>0</v>
      </c>
      <c r="D13" s="117">
        <f t="array" ref="D13">MIN(IF(Рудник!$A:$A='Сводная Рудник'!$A13,Рудник!H:H))</f>
        <v>0</v>
      </c>
      <c r="E13" s="118">
        <f>IFERROR(AVERAGEIFS(Рудник!N:N,Рудник!$A:$A,$A13),"")</f>
        <v>934.26250000000005</v>
      </c>
      <c r="F13" s="117">
        <f t="array" ref="F13">MAX(IF(Рудник!$A:$A='Сводная Рудник'!$A13,Рудник!N:N))</f>
        <v>938.5</v>
      </c>
      <c r="G13" s="117">
        <f t="array" ref="G13">MIN(IF(Рудник!$A:$A='Сводная Рудник'!$A13,Рудник!N:N))</f>
        <v>930.8</v>
      </c>
      <c r="H13" s="120">
        <f>IFERROR(AVERAGEIFS(Рудник!D:D,Рудник!$A:$A,$A13),"")</f>
        <v>1.5</v>
      </c>
      <c r="I13" s="117">
        <f t="array" ref="I13">MAX(IF(Рудник!$A:$A='Сводная Рудник'!$A13,Рудник!D:D))</f>
        <v>6</v>
      </c>
      <c r="J13" s="117">
        <f t="array" ref="J13">MAX(IF(Рудник!$A:$A='Сводная Рудник'!$A13,Рудник!E:E))</f>
        <v>9</v>
      </c>
      <c r="K13" s="117">
        <f>SUMIFS(Рудник!L:L,Рудник!$A:$A,'Сводная Рудник'!$A13)</f>
        <v>0</v>
      </c>
      <c r="L13" s="117">
        <f t="array" ref="L13">SUM(SUMIFS(Рудник!$L:$L,Рудник!$A:$A,A13,Рудник!$B:$B,{"9:00","12:00","15:00","18:00"}))</f>
        <v>0</v>
      </c>
      <c r="M13" s="117">
        <f t="array" ref="M13">SUM(SUMIFS(Рудник!$L:$L,Рудник!$A:$A,A13,Рудник!$B:$B,{"0:00","3:00","6:00","21:00"}))</f>
        <v>0</v>
      </c>
      <c r="N13" s="117">
        <f>IFERROR(INDEX(Рудник!$A:$P,MATCH(A13,Рудник!$A:$A,0)+3,10),"")</f>
        <v>101</v>
      </c>
    </row>
    <row r="14" spans="1:14" x14ac:dyDescent="0.25">
      <c r="A14" s="116">
        <f t="shared" si="0"/>
        <v>44995</v>
      </c>
      <c r="B14" s="118">
        <f>IFERROR(AVERAGEIFS(Рудник!$F:$F,Рудник!$A:$A,A14),"")</f>
        <v>-9</v>
      </c>
      <c r="C14" s="117">
        <f t="array" ref="C14">MAX(IF(Рудник!$A:$A='Сводная Рудник'!$A14,Рудник!G:G))</f>
        <v>0</v>
      </c>
      <c r="D14" s="117">
        <f t="array" ref="D14">MIN(IF(Рудник!$A:$A='Сводная Рудник'!$A14,Рудник!H:H))</f>
        <v>0</v>
      </c>
      <c r="E14" s="118">
        <f>IFERROR(AVERAGEIFS(Рудник!N:N,Рудник!$A:$A,$A14),"")</f>
        <v>945.44999999999993</v>
      </c>
      <c r="F14" s="117">
        <f t="array" ref="F14">MAX(IF(Рудник!$A:$A='Сводная Рудник'!$A14,Рудник!N:N))</f>
        <v>948.4</v>
      </c>
      <c r="G14" s="117">
        <f t="array" ref="G14">MIN(IF(Рудник!$A:$A='Сводная Рудник'!$A14,Рудник!N:N))</f>
        <v>940.6</v>
      </c>
      <c r="H14" s="120">
        <f>IFERROR(AVERAGEIFS(Рудник!D:D,Рудник!$A:$A,$A14),"")</f>
        <v>2</v>
      </c>
      <c r="I14" s="117">
        <f t="array" ref="I14">MAX(IF(Рудник!$A:$A='Сводная Рудник'!$A14,Рудник!D:D))</f>
        <v>4</v>
      </c>
      <c r="J14" s="117">
        <f t="array" ref="J14">MAX(IF(Рудник!$A:$A='Сводная Рудник'!$A14,Рудник!E:E))</f>
        <v>4</v>
      </c>
      <c r="K14" s="117">
        <f>SUMIFS(Рудник!L:L,Рудник!$A:$A,'Сводная Рудник'!$A14)</f>
        <v>0</v>
      </c>
      <c r="L14" s="117">
        <f t="array" ref="L14">SUM(SUMIFS(Рудник!$L:$L,Рудник!$A:$A,A14,Рудник!$B:$B,{"9:00","12:00","15:00","18:00"}))</f>
        <v>0</v>
      </c>
      <c r="M14" s="117">
        <f t="array" ref="M14">SUM(SUMIFS(Рудник!$L:$L,Рудник!$A:$A,A14,Рудник!$B:$B,{"0:00","3:00","6:00","21:00"}))</f>
        <v>0</v>
      </c>
      <c r="N14" s="117">
        <f>IFERROR(INDEX(Рудник!$A:$P,MATCH(A14,Рудник!$A:$A,0)+3,10),"")</f>
        <v>101</v>
      </c>
    </row>
    <row r="15" spans="1:14" x14ac:dyDescent="0.25">
      <c r="A15" s="116">
        <f t="shared" si="0"/>
        <v>44996</v>
      </c>
      <c r="B15" s="118">
        <f>IFERROR(AVERAGEIFS(Рудник!$F:$F,Рудник!$A:$A,A15),"")</f>
        <v>-9.4625000000000004</v>
      </c>
      <c r="C15" s="117">
        <f t="array" ref="C15">MAX(IF(Рудник!$A:$A='Сводная Рудник'!$A15,Рудник!G:G))</f>
        <v>0</v>
      </c>
      <c r="D15" s="117">
        <f t="array" ref="D15">MIN(IF(Рудник!$A:$A='Сводная Рудник'!$A15,Рудник!H:H))</f>
        <v>0</v>
      </c>
      <c r="E15" s="118">
        <f>IFERROR(AVERAGEIFS(Рудник!N:N,Рудник!$A:$A,$A15),"")</f>
        <v>948.71250000000009</v>
      </c>
      <c r="F15" s="117">
        <f t="array" ref="F15">MAX(IF(Рудник!$A:$A='Сводная Рудник'!$A15,Рудник!N:N))</f>
        <v>950.5</v>
      </c>
      <c r="G15" s="117">
        <f t="array" ref="G15">MIN(IF(Рудник!$A:$A='Сводная Рудник'!$A15,Рудник!N:N))</f>
        <v>947.9</v>
      </c>
      <c r="H15" s="120">
        <f>IFERROR(AVERAGEIFS(Рудник!D:D,Рудник!$A:$A,$A15),"")</f>
        <v>1.875</v>
      </c>
      <c r="I15" s="117">
        <f t="array" ref="I15">MAX(IF(Рудник!$A:$A='Сводная Рудник'!$A15,Рудник!D:D))</f>
        <v>3</v>
      </c>
      <c r="J15" s="117">
        <f t="array" ref="J15">MAX(IF(Рудник!$A:$A='Сводная Рудник'!$A15,Рудник!E:E))</f>
        <v>4</v>
      </c>
      <c r="K15" s="117">
        <f>SUMIFS(Рудник!L:L,Рудник!$A:$A,'Сводная Рудник'!$A15)</f>
        <v>0</v>
      </c>
      <c r="L15" s="117">
        <f t="array" ref="L15">SUM(SUMIFS(Рудник!$L:$L,Рудник!$A:$A,A15,Рудник!$B:$B,{"9:00","12:00","15:00","18:00"}))</f>
        <v>0</v>
      </c>
      <c r="M15" s="117">
        <f t="array" ref="M15">SUM(SUMIFS(Рудник!$L:$L,Рудник!$A:$A,A15,Рудник!$B:$B,{"0:00","3:00","6:00","21:00"}))</f>
        <v>0</v>
      </c>
      <c r="N15" s="117">
        <f>IFERROR(INDEX(Рудник!$A:$P,MATCH(A15,Рудник!$A:$A,0)+3,10),"")</f>
        <v>99</v>
      </c>
    </row>
    <row r="16" spans="1:14" x14ac:dyDescent="0.25">
      <c r="A16" s="116">
        <f t="shared" si="0"/>
        <v>44997</v>
      </c>
      <c r="B16" s="118">
        <f>IFERROR(AVERAGEIFS(Рудник!$F:$F,Рудник!$A:$A,A16),"")</f>
        <v>-11.387500000000001</v>
      </c>
      <c r="C16" s="117">
        <f t="array" ref="C16">MAX(IF(Рудник!$A:$A='Сводная Рудник'!$A16,Рудник!G:G))</f>
        <v>0</v>
      </c>
      <c r="D16" s="117">
        <f t="array" ref="D16">MIN(IF(Рудник!$A:$A='Сводная Рудник'!$A16,Рудник!H:H))</f>
        <v>0</v>
      </c>
      <c r="E16" s="118">
        <f>IFERROR(AVERAGEIFS(Рудник!N:N,Рудник!$A:$A,$A16),"")</f>
        <v>951.17499999999995</v>
      </c>
      <c r="F16" s="117">
        <f t="array" ref="F16">MAX(IF(Рудник!$A:$A='Сводная Рудник'!$A16,Рудник!N:N))</f>
        <v>952.3</v>
      </c>
      <c r="G16" s="117">
        <f t="array" ref="G16">MIN(IF(Рудник!$A:$A='Сводная Рудник'!$A16,Рудник!N:N))</f>
        <v>950.3</v>
      </c>
      <c r="H16" s="120">
        <f>IFERROR(AVERAGEIFS(Рудник!D:D,Рудник!$A:$A,$A16),"")</f>
        <v>2.75</v>
      </c>
      <c r="I16" s="117">
        <f t="array" ref="I16">MAX(IF(Рудник!$A:$A='Сводная Рудник'!$A16,Рудник!D:D))</f>
        <v>4</v>
      </c>
      <c r="J16" s="117">
        <f t="array" ref="J16">MAX(IF(Рудник!$A:$A='Сводная Рудник'!$A16,Рудник!E:E))</f>
        <v>5</v>
      </c>
      <c r="K16" s="117">
        <f>SUMIFS(Рудник!L:L,Рудник!$A:$A,'Сводная Рудник'!$A16)</f>
        <v>0</v>
      </c>
      <c r="L16" s="117">
        <f t="array" ref="L16">SUM(SUMIFS(Рудник!$L:$L,Рудник!$A:$A,A16,Рудник!$B:$B,{"9:00","12:00","15:00","18:00"}))</f>
        <v>0</v>
      </c>
      <c r="M16" s="117">
        <f t="array" ref="M16">SUM(SUMIFS(Рудник!$L:$L,Рудник!$A:$A,A16,Рудник!$B:$B,{"0:00","3:00","6:00","21:00"}))</f>
        <v>0</v>
      </c>
      <c r="N16" s="117">
        <f>IFERROR(INDEX(Рудник!$A:$P,MATCH(A16,Рудник!$A:$A,0)+3,10),"")</f>
        <v>97</v>
      </c>
    </row>
    <row r="17" spans="1:14" x14ac:dyDescent="0.25">
      <c r="A17" s="116">
        <f t="shared" si="0"/>
        <v>44998</v>
      </c>
      <c r="B17" s="118">
        <f>IFERROR(AVERAGEIFS(Рудник!$F:$F,Рудник!$A:$A,A17),"")</f>
        <v>-8.2374999999999989</v>
      </c>
      <c r="C17" s="117">
        <f t="array" ref="C17">MAX(IF(Рудник!$A:$A='Сводная Рудник'!$A17,Рудник!G:G))</f>
        <v>0</v>
      </c>
      <c r="D17" s="117">
        <f t="array" ref="D17">MIN(IF(Рудник!$A:$A='Сводная Рудник'!$A17,Рудник!H:H))</f>
        <v>0</v>
      </c>
      <c r="E17" s="118">
        <f>IFERROR(AVERAGEIFS(Рудник!N:N,Рудник!$A:$A,$A17),"")</f>
        <v>952.375</v>
      </c>
      <c r="F17" s="117">
        <f t="array" ref="F17">MAX(IF(Рудник!$A:$A='Сводная Рудник'!$A17,Рудник!N:N))</f>
        <v>953.7</v>
      </c>
      <c r="G17" s="117">
        <f t="array" ref="G17">MIN(IF(Рудник!$A:$A='Сводная Рудник'!$A17,Рудник!N:N))</f>
        <v>951.3</v>
      </c>
      <c r="H17" s="120">
        <f>IFERROR(AVERAGEIFS(Рудник!D:D,Рудник!$A:$A,$A17),"")</f>
        <v>1.375</v>
      </c>
      <c r="I17" s="117">
        <f t="array" ref="I17">MAX(IF(Рудник!$A:$A='Сводная Рудник'!$A17,Рудник!D:D))</f>
        <v>2</v>
      </c>
      <c r="J17" s="117">
        <f t="array" ref="J17">MAX(IF(Рудник!$A:$A='Сводная Рудник'!$A17,Рудник!E:E))</f>
        <v>4</v>
      </c>
      <c r="K17" s="117">
        <f>SUMIFS(Рудник!L:L,Рудник!$A:$A,'Сводная Рудник'!$A17)</f>
        <v>0</v>
      </c>
      <c r="L17" s="117">
        <f t="array" ref="L17">SUM(SUMIFS(Рудник!$L:$L,Рудник!$A:$A,A17,Рудник!$B:$B,{"9:00","12:00","15:00","18:00"}))</f>
        <v>0</v>
      </c>
      <c r="M17" s="117">
        <f t="array" ref="M17">SUM(SUMIFS(Рудник!$L:$L,Рудник!$A:$A,A17,Рудник!$B:$B,{"0:00","3:00","6:00","21:00"}))</f>
        <v>0</v>
      </c>
      <c r="N17" s="117">
        <f>IFERROR(INDEX(Рудник!$A:$P,MATCH(A17,Рудник!$A:$A,0)+3,10),"")</f>
        <v>100</v>
      </c>
    </row>
    <row r="18" spans="1:14" x14ac:dyDescent="0.25">
      <c r="A18" s="116">
        <f t="shared" si="0"/>
        <v>44999</v>
      </c>
      <c r="B18" s="118">
        <f>IFERROR(AVERAGEIFS(Рудник!$F:$F,Рудник!$A:$A,A18),"")</f>
        <v>-3.2875000000000001</v>
      </c>
      <c r="C18" s="117">
        <f t="array" ref="C18">MAX(IF(Рудник!$A:$A='Сводная Рудник'!$A18,Рудник!G:G))</f>
        <v>0</v>
      </c>
      <c r="D18" s="117">
        <f t="array" ref="D18">MIN(IF(Рудник!$A:$A='Сводная Рудник'!$A18,Рудник!H:H))</f>
        <v>0</v>
      </c>
      <c r="E18" s="118">
        <f>IFERROR(AVERAGEIFS(Рудник!N:N,Рудник!$A:$A,$A18),"")</f>
        <v>955.32500000000005</v>
      </c>
      <c r="F18" s="117">
        <f t="array" ref="F18">MAX(IF(Рудник!$A:$A='Сводная Рудник'!$A18,Рудник!N:N))</f>
        <v>957.1</v>
      </c>
      <c r="G18" s="117">
        <f t="array" ref="G18">MIN(IF(Рудник!$A:$A='Сводная Рудник'!$A18,Рудник!N:N))</f>
        <v>953.9</v>
      </c>
      <c r="H18" s="120">
        <f>IFERROR(AVERAGEIFS(Рудник!D:D,Рудник!$A:$A,$A18),"")</f>
        <v>2.25</v>
      </c>
      <c r="I18" s="117">
        <f t="array" ref="I18">MAX(IF(Рудник!$A:$A='Сводная Рудник'!$A18,Рудник!D:D))</f>
        <v>3</v>
      </c>
      <c r="J18" s="117">
        <f t="array" ref="J18">MAX(IF(Рудник!$A:$A='Сводная Рудник'!$A18,Рудник!E:E))</f>
        <v>5</v>
      </c>
      <c r="K18" s="117">
        <f>SUMIFS(Рудник!L:L,Рудник!$A:$A,'Сводная Рудник'!$A18)</f>
        <v>0</v>
      </c>
      <c r="L18" s="117">
        <f t="array" ref="L18">SUM(SUMIFS(Рудник!$L:$L,Рудник!$A:$A,A18,Рудник!$B:$B,{"9:00","12:00","15:00","18:00"}))</f>
        <v>0</v>
      </c>
      <c r="M18" s="117">
        <f t="array" ref="M18">SUM(SUMIFS(Рудник!$L:$L,Рудник!$A:$A,A18,Рудник!$B:$B,{"0:00","3:00","6:00","21:00"}))</f>
        <v>0</v>
      </c>
      <c r="N18" s="117">
        <f>IFERROR(INDEX(Рудник!$A:$P,MATCH(A18,Рудник!$A:$A,0)+3,10),"")</f>
        <v>102</v>
      </c>
    </row>
    <row r="19" spans="1:14" x14ac:dyDescent="0.25">
      <c r="A19" s="116">
        <f t="shared" si="0"/>
        <v>45000</v>
      </c>
      <c r="B19" s="118">
        <f>IFERROR(AVERAGEIFS(Рудник!$F:$F,Рудник!$A:$A,A19),"")</f>
        <v>-5.6374999999999993</v>
      </c>
      <c r="C19" s="117">
        <f t="array" ref="C19">MAX(IF(Рудник!$A:$A='Сводная Рудник'!$A19,Рудник!G:G))</f>
        <v>0</v>
      </c>
      <c r="D19" s="117">
        <f t="array" ref="D19">MIN(IF(Рудник!$A:$A='Сводная Рудник'!$A19,Рудник!H:H))</f>
        <v>0</v>
      </c>
      <c r="E19" s="118">
        <f>IFERROR(AVERAGEIFS(Рудник!N:N,Рудник!$A:$A,$A19),"")</f>
        <v>954.50000000000011</v>
      </c>
      <c r="F19" s="117">
        <f t="array" ref="F19">MAX(IF(Рудник!$A:$A='Сводная Рудник'!$A19,Рудник!N:N))</f>
        <v>956.9</v>
      </c>
      <c r="G19" s="117">
        <f t="array" ref="G19">MIN(IF(Рудник!$A:$A='Сводная Рудник'!$A19,Рудник!N:N))</f>
        <v>952.1</v>
      </c>
      <c r="H19" s="120">
        <f>IFERROR(AVERAGEIFS(Рудник!D:D,Рудник!$A:$A,$A19),"")</f>
        <v>1.875</v>
      </c>
      <c r="I19" s="117">
        <f t="array" ref="I19">MAX(IF(Рудник!$A:$A='Сводная Рудник'!$A19,Рудник!D:D))</f>
        <v>3</v>
      </c>
      <c r="J19" s="117">
        <f t="array" ref="J19">MAX(IF(Рудник!$A:$A='Сводная Рудник'!$A19,Рудник!E:E))</f>
        <v>5</v>
      </c>
      <c r="K19" s="117">
        <f>SUMIFS(Рудник!L:L,Рудник!$A:$A,'Сводная Рудник'!$A19)</f>
        <v>0</v>
      </c>
      <c r="L19" s="117">
        <f t="array" ref="L19">SUM(SUMIFS(Рудник!$L:$L,Рудник!$A:$A,A19,Рудник!$B:$B,{"9:00","12:00","15:00","18:00"}))</f>
        <v>0</v>
      </c>
      <c r="M19" s="117">
        <f t="array" ref="M19">SUM(SUMIFS(Рудник!$L:$L,Рудник!$A:$A,A19,Рудник!$B:$B,{"0:00","3:00","6:00","21:00"}))</f>
        <v>0</v>
      </c>
      <c r="N19" s="117">
        <f>IFERROR(INDEX(Рудник!$A:$P,MATCH(A19,Рудник!$A:$A,0)+3,10),"")</f>
        <v>99</v>
      </c>
    </row>
    <row r="20" spans="1:14" x14ac:dyDescent="0.25">
      <c r="A20" s="116">
        <f t="shared" si="0"/>
        <v>45001</v>
      </c>
      <c r="B20" s="118">
        <f>IFERROR(AVERAGEIFS(Рудник!$F:$F,Рудник!$A:$A,A20),"")</f>
        <v>-5.375</v>
      </c>
      <c r="C20" s="117">
        <f t="array" ref="C20">MAX(IF(Рудник!$A:$A='Сводная Рудник'!$A20,Рудник!G:G))</f>
        <v>0</v>
      </c>
      <c r="D20" s="117">
        <f t="array" ref="D20">MIN(IF(Рудник!$A:$A='Сводная Рудник'!$A20,Рудник!H:H))</f>
        <v>0</v>
      </c>
      <c r="E20" s="118">
        <f>IFERROR(AVERAGEIFS(Рудник!N:N,Рудник!$A:$A,$A20),"")</f>
        <v>949.51249999999993</v>
      </c>
      <c r="F20" s="117">
        <f t="array" ref="F20">MAX(IF(Рудник!$A:$A='Сводная Рудник'!$A20,Рудник!N:N))</f>
        <v>951.3</v>
      </c>
      <c r="G20" s="117">
        <f t="array" ref="G20">MIN(IF(Рудник!$A:$A='Сводная Рудник'!$A20,Рудник!N:N))</f>
        <v>947.4</v>
      </c>
      <c r="H20" s="120">
        <f>IFERROR(AVERAGEIFS(Рудник!D:D,Рудник!$A:$A,$A20),"")</f>
        <v>1.375</v>
      </c>
      <c r="I20" s="117">
        <f t="array" ref="I20">MAX(IF(Рудник!$A:$A='Сводная Рудник'!$A20,Рудник!D:D))</f>
        <v>3</v>
      </c>
      <c r="J20" s="117">
        <f t="array" ref="J20">MAX(IF(Рудник!$A:$A='Сводная Рудник'!$A20,Рудник!E:E))</f>
        <v>4</v>
      </c>
      <c r="K20" s="117">
        <f>SUMIFS(Рудник!L:L,Рудник!$A:$A,'Сводная Рудник'!$A20)</f>
        <v>0</v>
      </c>
      <c r="L20" s="117">
        <f t="array" ref="L20">SUM(SUMIFS(Рудник!$L:$L,Рудник!$A:$A,A20,Рудник!$B:$B,{"9:00","12:00","15:00","18:00"}))</f>
        <v>0</v>
      </c>
      <c r="M20" s="117">
        <f t="array" ref="M20">SUM(SUMIFS(Рудник!$L:$L,Рудник!$A:$A,A20,Рудник!$B:$B,{"0:00","3:00","6:00","21:00"}))</f>
        <v>0</v>
      </c>
      <c r="N20" s="117">
        <f>IFERROR(INDEX(Рудник!$A:$P,MATCH(A20,Рудник!$A:$A,0)+3,10),"")</f>
        <v>98</v>
      </c>
    </row>
    <row r="21" spans="1:14" x14ac:dyDescent="0.25">
      <c r="A21" s="116">
        <f t="shared" si="0"/>
        <v>45002</v>
      </c>
      <c r="B21" s="118">
        <f>IFERROR(AVERAGEIFS(Рудник!$F:$F,Рудник!$A:$A,A21),"")</f>
        <v>-8.4749999999999996</v>
      </c>
      <c r="C21" s="117">
        <f t="array" ref="C21">MAX(IF(Рудник!$A:$A='Сводная Рудник'!$A21,Рудник!G:G))</f>
        <v>0</v>
      </c>
      <c r="D21" s="117">
        <f t="array" ref="D21">MIN(IF(Рудник!$A:$A='Сводная Рудник'!$A21,Рудник!H:H))</f>
        <v>0</v>
      </c>
      <c r="E21" s="118">
        <f>IFERROR(AVERAGEIFS(Рудник!N:N,Рудник!$A:$A,$A21),"")</f>
        <v>939.5625</v>
      </c>
      <c r="F21" s="117">
        <f t="array" ref="F21">MAX(IF(Рудник!$A:$A='Сводная Рудник'!$A21,Рудник!N:N))</f>
        <v>945.8</v>
      </c>
      <c r="G21" s="117">
        <f t="array" ref="G21">MIN(IF(Рудник!$A:$A='Сводная Рудник'!$A21,Рудник!N:N))</f>
        <v>934</v>
      </c>
      <c r="H21" s="120">
        <f>IFERROR(AVERAGEIFS(Рудник!D:D,Рудник!$A:$A,$A21),"")</f>
        <v>1.25</v>
      </c>
      <c r="I21" s="117">
        <f t="array" ref="I21">MAX(IF(Рудник!$A:$A='Сводная Рудник'!$A21,Рудник!D:D))</f>
        <v>3</v>
      </c>
      <c r="J21" s="117">
        <f t="array" ref="J21">MAX(IF(Рудник!$A:$A='Сводная Рудник'!$A21,Рудник!E:E))</f>
        <v>3</v>
      </c>
      <c r="K21" s="117">
        <f>SUMIFS(Рудник!L:L,Рудник!$A:$A,'Сводная Рудник'!$A21)</f>
        <v>0</v>
      </c>
      <c r="L21" s="117">
        <f t="array" ref="L21">SUM(SUMIFS(Рудник!$L:$L,Рудник!$A:$A,A21,Рудник!$B:$B,{"9:00","12:00","15:00","18:00"}))</f>
        <v>0</v>
      </c>
      <c r="M21" s="117">
        <f t="array" ref="M21">SUM(SUMIFS(Рудник!$L:$L,Рудник!$A:$A,A21,Рудник!$B:$B,{"0:00","3:00","6:00","21:00"}))</f>
        <v>0</v>
      </c>
      <c r="N21" s="117">
        <f>IFERROR(INDEX(Рудник!$A:$P,MATCH(A21,Рудник!$A:$A,0)+3,10),"")</f>
        <v>97</v>
      </c>
    </row>
    <row r="22" spans="1:14" x14ac:dyDescent="0.25">
      <c r="A22" s="116">
        <f t="shared" si="0"/>
        <v>45003</v>
      </c>
      <c r="B22" s="118">
        <f>IFERROR(AVERAGEIFS(Рудник!$F:$F,Рудник!$A:$A,A22),"")</f>
        <v>-5.1749999999999998</v>
      </c>
      <c r="C22" s="117">
        <f t="array" ref="C22">MAX(IF(Рудник!$A:$A='Сводная Рудник'!$A22,Рудник!G:G))</f>
        <v>0</v>
      </c>
      <c r="D22" s="117">
        <f t="array" ref="D22">MIN(IF(Рудник!$A:$A='Сводная Рудник'!$A22,Рудник!H:H))</f>
        <v>0</v>
      </c>
      <c r="E22" s="118">
        <f>IFERROR(AVERAGEIFS(Рудник!N:N,Рудник!$A:$A,$A22),"")</f>
        <v>922.47500000000002</v>
      </c>
      <c r="F22" s="117">
        <f t="array" ref="F22">MAX(IF(Рудник!$A:$A='Сводная Рудник'!$A22,Рудник!N:N))</f>
        <v>932</v>
      </c>
      <c r="G22" s="117">
        <f t="array" ref="G22">MIN(IF(Рудник!$A:$A='Сводная Рудник'!$A22,Рудник!N:N))</f>
        <v>914.5</v>
      </c>
      <c r="H22" s="120">
        <f>IFERROR(AVERAGEIFS(Рудник!D:D,Рудник!$A:$A,$A22),"")</f>
        <v>4.125</v>
      </c>
      <c r="I22" s="117">
        <f t="array" ref="I22">MAX(IF(Рудник!$A:$A='Сводная Рудник'!$A22,Рудник!D:D))</f>
        <v>13</v>
      </c>
      <c r="J22" s="117">
        <f t="array" ref="J22">MAX(IF(Рудник!$A:$A='Сводная Рудник'!$A22,Рудник!E:E))</f>
        <v>20</v>
      </c>
      <c r="K22" s="117">
        <f>SUMIFS(Рудник!L:L,Рудник!$A:$A,'Сводная Рудник'!$A22)</f>
        <v>0</v>
      </c>
      <c r="L22" s="117">
        <f t="array" ref="L22">SUM(SUMIFS(Рудник!$L:$L,Рудник!$A:$A,A22,Рудник!$B:$B,{"9:00","12:00","15:00","18:00"}))</f>
        <v>0</v>
      </c>
      <c r="M22" s="117">
        <f t="array" ref="M22">SUM(SUMIFS(Рудник!$L:$L,Рудник!$A:$A,A22,Рудник!$B:$B,{"0:00","3:00","6:00","21:00"}))</f>
        <v>0</v>
      </c>
      <c r="N22" s="117">
        <f>IFERROR(INDEX(Рудник!$A:$P,MATCH(A22,Рудник!$A:$A,0)+3,10),"")</f>
        <v>100</v>
      </c>
    </row>
    <row r="23" spans="1:14" x14ac:dyDescent="0.25">
      <c r="A23" s="116">
        <f t="shared" si="0"/>
        <v>45004</v>
      </c>
      <c r="B23" s="118">
        <f>IFERROR(AVERAGEIFS(Рудник!$F:$F,Рудник!$A:$A,A23),"")</f>
        <v>-8.4124999999999996</v>
      </c>
      <c r="C23" s="117">
        <f t="array" ref="C23">MAX(IF(Рудник!$A:$A='Сводная Рудник'!$A23,Рудник!G:G))</f>
        <v>0</v>
      </c>
      <c r="D23" s="117">
        <f t="array" ref="D23">MIN(IF(Рудник!$A:$A='Сводная Рудник'!$A23,Рудник!H:H))</f>
        <v>0</v>
      </c>
      <c r="E23" s="118">
        <f>IFERROR(AVERAGEIFS(Рудник!N:N,Рудник!$A:$A,$A23),"")</f>
        <v>916</v>
      </c>
      <c r="F23" s="117">
        <f t="array" ref="F23">MAX(IF(Рудник!$A:$A='Сводная Рудник'!$A23,Рудник!N:N))</f>
        <v>917.7</v>
      </c>
      <c r="G23" s="117">
        <f t="array" ref="G23">MIN(IF(Рудник!$A:$A='Сводная Рудник'!$A23,Рудник!N:N))</f>
        <v>912.2</v>
      </c>
      <c r="H23" s="120">
        <f>IFERROR(AVERAGEIFS(Рудник!D:D,Рудник!$A:$A,$A23),"")</f>
        <v>7.75</v>
      </c>
      <c r="I23" s="117">
        <f t="array" ref="I23">MAX(IF(Рудник!$A:$A='Сводная Рудник'!$A23,Рудник!D:D))</f>
        <v>12</v>
      </c>
      <c r="J23" s="117">
        <f t="array" ref="J23">MAX(IF(Рудник!$A:$A='Сводная Рудник'!$A23,Рудник!E:E))</f>
        <v>19</v>
      </c>
      <c r="K23" s="117">
        <f>SUMIFS(Рудник!L:L,Рудник!$A:$A,'Сводная Рудник'!$A23)</f>
        <v>0</v>
      </c>
      <c r="L23" s="117">
        <f t="array" ref="L23">SUM(SUMIFS(Рудник!$L:$L,Рудник!$A:$A,A23,Рудник!$B:$B,{"9:00","12:00","15:00","18:00"}))</f>
        <v>0</v>
      </c>
      <c r="M23" s="117">
        <f t="array" ref="M23">SUM(SUMIFS(Рудник!$L:$L,Рудник!$A:$A,A23,Рудник!$B:$B,{"0:00","3:00","6:00","21:00"}))</f>
        <v>0</v>
      </c>
      <c r="N23" s="117">
        <f>IFERROR(INDEX(Рудник!$A:$P,MATCH(A23,Рудник!$A:$A,0)+3,10),"")</f>
        <v>97</v>
      </c>
    </row>
    <row r="24" spans="1:14" x14ac:dyDescent="0.25">
      <c r="A24" s="116">
        <f t="shared" si="0"/>
        <v>45005</v>
      </c>
      <c r="B24" s="118">
        <f>IFERROR(AVERAGEIFS(Рудник!$F:$F,Рудник!$A:$A,A24),"")</f>
        <v>-10.275</v>
      </c>
      <c r="C24" s="117">
        <f t="array" ref="C24">MAX(IF(Рудник!$A:$A='Сводная Рудник'!$A24,Рудник!G:G))</f>
        <v>0</v>
      </c>
      <c r="D24" s="117">
        <f t="array" ref="D24">MIN(IF(Рудник!$A:$A='Сводная Рудник'!$A24,Рудник!H:H))</f>
        <v>0</v>
      </c>
      <c r="E24" s="118">
        <f>IFERROR(AVERAGEIFS(Рудник!N:N,Рудник!$A:$A,$A24),"")</f>
        <v>907.22500000000002</v>
      </c>
      <c r="F24" s="117">
        <f t="array" ref="F24">MAX(IF(Рудник!$A:$A='Сводная Рудник'!$A24,Рудник!N:N))</f>
        <v>909.7</v>
      </c>
      <c r="G24" s="117">
        <f t="array" ref="G24">MIN(IF(Рудник!$A:$A='Сводная Рудник'!$A24,Рудник!N:N))</f>
        <v>906</v>
      </c>
      <c r="H24" s="120">
        <f>IFERROR(AVERAGEIFS(Рудник!D:D,Рудник!$A:$A,$A24),"")</f>
        <v>3.375</v>
      </c>
      <c r="I24" s="117">
        <f t="array" ref="I24">MAX(IF(Рудник!$A:$A='Сводная Рудник'!$A24,Рудник!D:D))</f>
        <v>7</v>
      </c>
      <c r="J24" s="117">
        <f t="array" ref="J24">MAX(IF(Рудник!$A:$A='Сводная Рудник'!$A24,Рудник!E:E))</f>
        <v>9</v>
      </c>
      <c r="K24" s="117">
        <f>SUMIFS(Рудник!L:L,Рудник!$A:$A,'Сводная Рудник'!$A24)</f>
        <v>0</v>
      </c>
      <c r="L24" s="117">
        <f t="array" ref="L24">SUM(SUMIFS(Рудник!$L:$L,Рудник!$A:$A,A24,Рудник!$B:$B,{"9:00","12:00","15:00","18:00"}))</f>
        <v>0</v>
      </c>
      <c r="M24" s="117">
        <f t="array" ref="M24">SUM(SUMIFS(Рудник!$L:$L,Рудник!$A:$A,A24,Рудник!$B:$B,{"0:00","3:00","6:00","21:00"}))</f>
        <v>0</v>
      </c>
      <c r="N24" s="117">
        <f>IFERROR(INDEX(Рудник!$A:$P,MATCH(A24,Рудник!$A:$A,0)+3,10),"")</f>
        <v>98</v>
      </c>
    </row>
    <row r="25" spans="1:14" x14ac:dyDescent="0.25">
      <c r="A25" s="116">
        <f t="shared" si="0"/>
        <v>45006</v>
      </c>
      <c r="B25" s="118">
        <f>IFERROR(AVERAGEIFS(Рудник!$F:$F,Рудник!$A:$A,A25),"")</f>
        <v>-8.8375000000000004</v>
      </c>
      <c r="C25" s="117">
        <f t="array" ref="C25">MAX(IF(Рудник!$A:$A='Сводная Рудник'!$A25,Рудник!G:G))</f>
        <v>0</v>
      </c>
      <c r="D25" s="117">
        <f t="array" ref="D25">MIN(IF(Рудник!$A:$A='Сводная Рудник'!$A25,Рудник!H:H))</f>
        <v>0</v>
      </c>
      <c r="E25" s="118">
        <f>IFERROR(AVERAGEIFS(Рудник!N:N,Рудник!$A:$A,$A25),"")</f>
        <v>916.6</v>
      </c>
      <c r="F25" s="117">
        <f t="array" ref="F25">MAX(IF(Рудник!$A:$A='Сводная Рудник'!$A25,Рудник!N:N))</f>
        <v>928.6</v>
      </c>
      <c r="G25" s="117">
        <f t="array" ref="G25">MIN(IF(Рудник!$A:$A='Сводная Рудник'!$A25,Рудник!N:N))</f>
        <v>906.2</v>
      </c>
      <c r="H25" s="120">
        <f>IFERROR(AVERAGEIFS(Рудник!D:D,Рудник!$A:$A,$A25),"")</f>
        <v>8.75</v>
      </c>
      <c r="I25" s="117">
        <f t="array" ref="I25">MAX(IF(Рудник!$A:$A='Сводная Рудник'!$A25,Рудник!D:D))</f>
        <v>13</v>
      </c>
      <c r="J25" s="117">
        <f t="array" ref="J25">MAX(IF(Рудник!$A:$A='Сводная Рудник'!$A25,Рудник!E:E))</f>
        <v>20</v>
      </c>
      <c r="K25" s="117">
        <f>SUMIFS(Рудник!L:L,Рудник!$A:$A,'Сводная Рудник'!$A25)</f>
        <v>0</v>
      </c>
      <c r="L25" s="117">
        <f t="array" ref="L25">SUM(SUMIFS(Рудник!$L:$L,Рудник!$A:$A,A25,Рудник!$B:$B,{"9:00","12:00","15:00","18:00"}))</f>
        <v>0</v>
      </c>
      <c r="M25" s="117">
        <f t="array" ref="M25">SUM(SUMIFS(Рудник!$L:$L,Рудник!$A:$A,A25,Рудник!$B:$B,{"0:00","3:00","6:00","21:00"}))</f>
        <v>0</v>
      </c>
      <c r="N25" s="117">
        <f>IFERROR(INDEX(Рудник!$A:$P,MATCH(A25,Рудник!$A:$A,0)+3,10),"")</f>
        <v>97</v>
      </c>
    </row>
    <row r="26" spans="1:14" x14ac:dyDescent="0.25">
      <c r="A26" s="116">
        <f t="shared" si="0"/>
        <v>45007</v>
      </c>
      <c r="B26" s="118">
        <f>IFERROR(AVERAGEIFS(Рудник!$F:$F,Рудник!$A:$A,A26),"")</f>
        <v>-3.0125000000000006</v>
      </c>
      <c r="C26" s="117">
        <f t="array" ref="C26">MAX(IF(Рудник!$A:$A='Сводная Рудник'!$A26,Рудник!G:G))</f>
        <v>0</v>
      </c>
      <c r="D26" s="117">
        <f t="array" ref="D26">MIN(IF(Рудник!$A:$A='Сводная Рудник'!$A26,Рудник!H:H))</f>
        <v>0</v>
      </c>
      <c r="E26" s="118">
        <f>IFERROR(AVERAGEIFS(Рудник!N:N,Рудник!$A:$A,$A26),"")</f>
        <v>928.25</v>
      </c>
      <c r="F26" s="117">
        <f t="array" ref="F26">MAX(IF(Рудник!$A:$A='Сводная Рудник'!$A26,Рудник!N:N))</f>
        <v>930.2</v>
      </c>
      <c r="G26" s="117">
        <f t="array" ref="G26">MIN(IF(Рудник!$A:$A='Сводная Рудник'!$A26,Рудник!N:N))</f>
        <v>925.7</v>
      </c>
      <c r="H26" s="120">
        <f>IFERROR(AVERAGEIFS(Рудник!D:D,Рудник!$A:$A,$A26),"")</f>
        <v>8.625</v>
      </c>
      <c r="I26" s="117">
        <f t="array" ref="I26">MAX(IF(Рудник!$A:$A='Сводная Рудник'!$A26,Рудник!D:D))</f>
        <v>11</v>
      </c>
      <c r="J26" s="117">
        <f t="array" ref="J26">MAX(IF(Рудник!$A:$A='Сводная Рудник'!$A26,Рудник!E:E))</f>
        <v>20</v>
      </c>
      <c r="K26" s="117">
        <f>SUMIFS(Рудник!L:L,Рудник!$A:$A,'Сводная Рудник'!$A26)</f>
        <v>0</v>
      </c>
      <c r="L26" s="117">
        <f t="array" ref="L26">SUM(SUMIFS(Рудник!$L:$L,Рудник!$A:$A,A26,Рудник!$B:$B,{"9:00","12:00","15:00","18:00"}))</f>
        <v>0</v>
      </c>
      <c r="M26" s="117">
        <f t="array" ref="M26">SUM(SUMIFS(Рудник!$L:$L,Рудник!$A:$A,A26,Рудник!$B:$B,{"0:00","3:00","6:00","21:00"}))</f>
        <v>0</v>
      </c>
      <c r="N26" s="117">
        <f>IFERROR(INDEX(Рудник!$A:$P,MATCH(A26,Рудник!$A:$A,0)+3,10),"")</f>
        <v>95</v>
      </c>
    </row>
    <row r="27" spans="1:14" x14ac:dyDescent="0.25">
      <c r="A27" s="116">
        <f t="shared" si="0"/>
        <v>45008</v>
      </c>
      <c r="B27" s="118">
        <f>IFERROR(AVERAGEIFS(Рудник!$F:$F,Рудник!$A:$A,A27),"")</f>
        <v>-4.4624999999999995</v>
      </c>
      <c r="C27" s="117">
        <f t="array" ref="C27">MAX(IF(Рудник!$A:$A='Сводная Рудник'!$A27,Рудник!G:G))</f>
        <v>0</v>
      </c>
      <c r="D27" s="117">
        <f t="array" ref="D27">MIN(IF(Рудник!$A:$A='Сводная Рудник'!$A27,Рудник!H:H))</f>
        <v>0</v>
      </c>
      <c r="E27" s="118">
        <f>IFERROR(AVERAGEIFS(Рудник!N:N,Рудник!$A:$A,$A27),"")</f>
        <v>927.47499999999991</v>
      </c>
      <c r="F27" s="117">
        <f t="array" ref="F27">MAX(IF(Рудник!$A:$A='Сводная Рудник'!$A27,Рудник!N:N))</f>
        <v>928.4</v>
      </c>
      <c r="G27" s="117">
        <f t="array" ref="G27">MIN(IF(Рудник!$A:$A='Сводная Рудник'!$A27,Рудник!N:N))</f>
        <v>926.9</v>
      </c>
      <c r="H27" s="120">
        <f>IFERROR(AVERAGEIFS(Рудник!D:D,Рудник!$A:$A,$A27),"")</f>
        <v>5.75</v>
      </c>
      <c r="I27" s="117">
        <f t="array" ref="I27">MAX(IF(Рудник!$A:$A='Сводная Рудник'!$A27,Рудник!D:D))</f>
        <v>9</v>
      </c>
      <c r="J27" s="117">
        <f t="array" ref="J27">MAX(IF(Рудник!$A:$A='Сводная Рудник'!$A27,Рудник!E:E))</f>
        <v>15</v>
      </c>
      <c r="K27" s="117">
        <f>SUMIFS(Рудник!L:L,Рудник!$A:$A,'Сводная Рудник'!$A27)</f>
        <v>0</v>
      </c>
      <c r="L27" s="117">
        <f t="array" ref="L27">SUM(SUMIFS(Рудник!$L:$L,Рудник!$A:$A,A27,Рудник!$B:$B,{"9:00","12:00","15:00","18:00"}))</f>
        <v>0</v>
      </c>
      <c r="M27" s="117">
        <f t="array" ref="M27">SUM(SUMIFS(Рудник!$L:$L,Рудник!$A:$A,A27,Рудник!$B:$B,{"0:00","3:00","6:00","21:00"}))</f>
        <v>0</v>
      </c>
      <c r="N27" s="117">
        <f>IFERROR(INDEX(Рудник!$A:$P,MATCH(A27,Рудник!$A:$A,0)+3,10),"")</f>
        <v>95</v>
      </c>
    </row>
    <row r="28" spans="1:14" x14ac:dyDescent="0.25">
      <c r="A28" s="116">
        <f t="shared" si="0"/>
        <v>45009</v>
      </c>
      <c r="B28" s="118">
        <f>IFERROR(AVERAGEIFS(Рудник!$F:$F,Рудник!$A:$A,A28),"")</f>
        <v>-9.65</v>
      </c>
      <c r="C28" s="117">
        <f t="array" ref="C28">MAX(IF(Рудник!$A:$A='Сводная Рудник'!$A28,Рудник!G:G))</f>
        <v>0</v>
      </c>
      <c r="D28" s="117">
        <f t="array" ref="D28">MIN(IF(Рудник!$A:$A='Сводная Рудник'!$A28,Рудник!H:H))</f>
        <v>0</v>
      </c>
      <c r="E28" s="118">
        <f>IFERROR(AVERAGEIFS(Рудник!N:N,Рудник!$A:$A,$A28),"")</f>
        <v>921.5</v>
      </c>
      <c r="F28" s="117">
        <f t="array" ref="F28">MAX(IF(Рудник!$A:$A='Сводная Рудник'!$A28,Рудник!N:N))</f>
        <v>927.4</v>
      </c>
      <c r="G28" s="117">
        <f t="array" ref="G28">MIN(IF(Рудник!$A:$A='Сводная Рудник'!$A28,Рудник!N:N))</f>
        <v>910</v>
      </c>
      <c r="H28" s="120">
        <f>IFERROR(AVERAGEIFS(Рудник!D:D,Рудник!$A:$A,$A28),"")</f>
        <v>0.875</v>
      </c>
      <c r="I28" s="117">
        <f t="array" ref="I28">MAX(IF(Рудник!$A:$A='Сводная Рудник'!$A28,Рудник!D:D))</f>
        <v>5</v>
      </c>
      <c r="J28" s="117">
        <f t="array" ref="J28">MAX(IF(Рудник!$A:$A='Сводная Рудник'!$A28,Рудник!E:E))</f>
        <v>8</v>
      </c>
      <c r="K28" s="117">
        <f>SUMIFS(Рудник!L:L,Рудник!$A:$A,'Сводная Рудник'!$A28)</f>
        <v>0</v>
      </c>
      <c r="L28" s="117">
        <f t="array" ref="L28">SUM(SUMIFS(Рудник!$L:$L,Рудник!$A:$A,A28,Рудник!$B:$B,{"9:00","12:00","15:00","18:00"}))</f>
        <v>0</v>
      </c>
      <c r="M28" s="117">
        <f t="array" ref="M28">SUM(SUMIFS(Рудник!$L:$L,Рудник!$A:$A,A28,Рудник!$B:$B,{"0:00","3:00","6:00","21:00"}))</f>
        <v>0</v>
      </c>
      <c r="N28" s="117">
        <f>IFERROR(INDEX(Рудник!$A:$P,MATCH(A28,Рудник!$A:$A,0)+3,10),"")</f>
        <v>103</v>
      </c>
    </row>
    <row r="29" spans="1:14" x14ac:dyDescent="0.25">
      <c r="A29" s="116">
        <f t="shared" si="0"/>
        <v>45010</v>
      </c>
      <c r="B29" s="118">
        <f>IFERROR(AVERAGEIFS(Рудник!$F:$F,Рудник!$A:$A,A29),"")</f>
        <v>-13.375</v>
      </c>
      <c r="C29" s="117">
        <f t="array" ref="C29">MAX(IF(Рудник!$A:$A='Сводная Рудник'!$A29,Рудник!G:G))</f>
        <v>0</v>
      </c>
      <c r="D29" s="117">
        <f t="array" ref="D29">MIN(IF(Рудник!$A:$A='Сводная Рудник'!$A29,Рудник!H:H))</f>
        <v>0</v>
      </c>
      <c r="E29" s="118">
        <f>IFERROR(AVERAGEIFS(Рудник!N:N,Рудник!$A:$A,$A29),"")</f>
        <v>898.41250000000002</v>
      </c>
      <c r="F29" s="117">
        <f t="array" ref="F29">MAX(IF(Рудник!$A:$A='Сводная Рудник'!$A29,Рудник!N:N))</f>
        <v>905.7</v>
      </c>
      <c r="G29" s="117">
        <f t="array" ref="G29">MIN(IF(Рудник!$A:$A='Сводная Рудник'!$A29,Рудник!N:N))</f>
        <v>893.8</v>
      </c>
      <c r="H29" s="120">
        <f>IFERROR(AVERAGEIFS(Рудник!D:D,Рудник!$A:$A,$A29),"")</f>
        <v>7.8571428571428568</v>
      </c>
      <c r="I29" s="117">
        <f t="array" ref="I29">MAX(IF(Рудник!$A:$A='Сводная Рудник'!$A29,Рудник!D:D))</f>
        <v>22</v>
      </c>
      <c r="J29" s="117">
        <f t="array" ref="J29">MAX(IF(Рудник!$A:$A='Сводная Рудник'!$A29,Рудник!E:E))</f>
        <v>29</v>
      </c>
      <c r="K29" s="117">
        <f>SUMIFS(Рудник!L:L,Рудник!$A:$A,'Сводная Рудник'!$A29)</f>
        <v>0</v>
      </c>
      <c r="L29" s="117">
        <f t="array" ref="L29">SUM(SUMIFS(Рудник!$L:$L,Рудник!$A:$A,A29,Рудник!$B:$B,{"9:00","12:00","15:00","18:00"}))</f>
        <v>0</v>
      </c>
      <c r="M29" s="117">
        <f t="array" ref="M29">SUM(SUMIFS(Рудник!$L:$L,Рудник!$A:$A,A29,Рудник!$B:$B,{"0:00","3:00","6:00","21:00"}))</f>
        <v>0</v>
      </c>
      <c r="N29" s="117">
        <f>IFERROR(INDEX(Рудник!$A:$P,MATCH(A29,Рудник!$A:$A,0)+3,10),"")</f>
        <v>133</v>
      </c>
    </row>
    <row r="30" spans="1:14" x14ac:dyDescent="0.25">
      <c r="A30" s="116">
        <f t="shared" si="0"/>
        <v>45011</v>
      </c>
      <c r="B30" s="118">
        <f>IFERROR(AVERAGEIFS(Рудник!$F:$F,Рудник!$A:$A,A30),"")</f>
        <v>-13.862500000000001</v>
      </c>
      <c r="C30" s="117">
        <f t="array" ref="C30">MAX(IF(Рудник!$A:$A='Сводная Рудник'!$A30,Рудник!G:G))</f>
        <v>0</v>
      </c>
      <c r="D30" s="117">
        <f t="array" ref="D30">MIN(IF(Рудник!$A:$A='Сводная Рудник'!$A30,Рудник!H:H))</f>
        <v>0</v>
      </c>
      <c r="E30" s="118">
        <f>IFERROR(AVERAGEIFS(Рудник!N:N,Рудник!$A:$A,$A30),"")</f>
        <v>913.25</v>
      </c>
      <c r="F30" s="117">
        <f t="array" ref="F30">MAX(IF(Рудник!$A:$A='Сводная Рудник'!$A30,Рудник!N:N))</f>
        <v>921.9</v>
      </c>
      <c r="G30" s="117">
        <f t="array" ref="G30">MIN(IF(Рудник!$A:$A='Сводная Рудник'!$A30,Рудник!N:N))</f>
        <v>905.1</v>
      </c>
      <c r="H30" s="120">
        <f>IFERROR(AVERAGEIFS(Рудник!D:D,Рудник!$A:$A,$A30),"")</f>
        <v>18</v>
      </c>
      <c r="I30" s="117">
        <f t="array" ref="I30">MAX(IF(Рудник!$A:$A='Сводная Рудник'!$A30,Рудник!D:D))</f>
        <v>21</v>
      </c>
      <c r="J30" s="117">
        <f t="array" ref="J30">MAX(IF(Рудник!$A:$A='Сводная Рудник'!$A30,Рудник!E:E))</f>
        <v>22</v>
      </c>
      <c r="K30" s="117">
        <f>SUMIFS(Рудник!L:L,Рудник!$A:$A,'Сводная Рудник'!$A30)</f>
        <v>0</v>
      </c>
      <c r="L30" s="117">
        <f t="array" ref="L30">SUM(SUMIFS(Рудник!$L:$L,Рудник!$A:$A,A30,Рудник!$B:$B,{"9:00","12:00","15:00","18:00"}))</f>
        <v>0</v>
      </c>
      <c r="M30" s="117">
        <f t="array" ref="M30">SUM(SUMIFS(Рудник!$L:$L,Рудник!$A:$A,A30,Рудник!$B:$B,{"0:00","3:00","6:00","21:00"}))</f>
        <v>0</v>
      </c>
      <c r="N30" s="117">
        <f>IFERROR(INDEX(Рудник!$A:$P,MATCH(A30,Рудник!$A:$A,0)+3,10),"")</f>
        <v>87</v>
      </c>
    </row>
    <row r="31" spans="1:14" x14ac:dyDescent="0.25">
      <c r="A31" s="116">
        <f t="shared" si="0"/>
        <v>45012</v>
      </c>
      <c r="B31" s="118">
        <f>IFERROR(AVERAGEIFS(Рудник!$F:$F,Рудник!$A:$A,A31),"")</f>
        <v>-7.6750000000000007</v>
      </c>
      <c r="C31" s="117">
        <f t="array" ref="C31">MAX(IF(Рудник!$A:$A='Сводная Рудник'!$A31,Рудник!G:G))</f>
        <v>0</v>
      </c>
      <c r="D31" s="117">
        <f t="array" ref="D31">MIN(IF(Рудник!$A:$A='Сводная Рудник'!$A31,Рудник!H:H))</f>
        <v>0</v>
      </c>
      <c r="E31" s="118">
        <f>IFERROR(AVERAGEIFS(Рудник!N:N,Рудник!$A:$A,$A31),"")</f>
        <v>932.8125</v>
      </c>
      <c r="F31" s="117">
        <f t="array" ref="F31">MAX(IF(Рудник!$A:$A='Сводная Рудник'!$A31,Рудник!N:N))</f>
        <v>936.5</v>
      </c>
      <c r="G31" s="117">
        <f t="array" ref="G31">MIN(IF(Рудник!$A:$A='Сводная Рудник'!$A31,Рудник!N:N))</f>
        <v>924.8</v>
      </c>
      <c r="H31" s="120">
        <f>IFERROR(AVERAGEIFS(Рудник!D:D,Рудник!$A:$A,$A31),"")</f>
        <v>4.375</v>
      </c>
      <c r="I31" s="117">
        <f t="array" ref="I31">MAX(IF(Рудник!$A:$A='Сводная Рудник'!$A31,Рудник!D:D))</f>
        <v>7</v>
      </c>
      <c r="J31" s="117">
        <f t="array" ref="J31">MAX(IF(Рудник!$A:$A='Сводная Рудник'!$A31,Рудник!E:E))</f>
        <v>12</v>
      </c>
      <c r="K31" s="117">
        <f>SUMIFS(Рудник!L:L,Рудник!$A:$A,'Сводная Рудник'!$A31)</f>
        <v>0</v>
      </c>
      <c r="L31" s="117">
        <f t="array" ref="L31">SUM(SUMIFS(Рудник!$L:$L,Рудник!$A:$A,A31,Рудник!$B:$B,{"9:00","12:00","15:00","18:00"}))</f>
        <v>0</v>
      </c>
      <c r="M31" s="117">
        <f t="array" ref="M31">SUM(SUMIFS(Рудник!$L:$L,Рудник!$A:$A,A31,Рудник!$B:$B,{"0:00","3:00","6:00","21:00"}))</f>
        <v>0</v>
      </c>
      <c r="N31" s="117">
        <f>IFERROR(INDEX(Рудник!$A:$P,MATCH(A31,Рудник!$A:$A,0)+3,10),"")</f>
        <v>90</v>
      </c>
    </row>
    <row r="32" spans="1:14" x14ac:dyDescent="0.25">
      <c r="A32" s="116">
        <f t="shared" si="0"/>
        <v>45013</v>
      </c>
      <c r="B32" s="118">
        <f>IFERROR(AVERAGEIFS(Рудник!$F:$F,Рудник!$A:$A,A32),"")</f>
        <v>-5.8124999999999991</v>
      </c>
      <c r="C32" s="117">
        <f t="array" ref="C32">MAX(IF(Рудник!$A:$A='Сводная Рудник'!$A32,Рудник!G:G))</f>
        <v>0</v>
      </c>
      <c r="D32" s="117">
        <f t="array" ref="D32">MIN(IF(Рудник!$A:$A='Сводная Рудник'!$A32,Рудник!H:H))</f>
        <v>0</v>
      </c>
      <c r="E32" s="118">
        <f>IFERROR(AVERAGEIFS(Рудник!N:N,Рудник!$A:$A,$A32),"")</f>
        <v>923.46249999999998</v>
      </c>
      <c r="F32" s="117">
        <f t="array" ref="F32">MAX(IF(Рудник!$A:$A='Сводная Рудник'!$A32,Рудник!N:N))</f>
        <v>934.4</v>
      </c>
      <c r="G32" s="117">
        <f t="array" ref="G32">MIN(IF(Рудник!$A:$A='Сводная Рудник'!$A32,Рудник!N:N))</f>
        <v>916.2</v>
      </c>
      <c r="H32" s="120">
        <f>IFERROR(AVERAGEIFS(Рудник!D:D,Рудник!$A:$A,$A32),"")</f>
        <v>3.25</v>
      </c>
      <c r="I32" s="117">
        <f t="array" ref="I32">MAX(IF(Рудник!$A:$A='Сводная Рудник'!$A32,Рудник!D:D))</f>
        <v>7</v>
      </c>
      <c r="J32" s="117">
        <f t="array" ref="J32">MAX(IF(Рудник!$A:$A='Сводная Рудник'!$A32,Рудник!E:E))</f>
        <v>12</v>
      </c>
      <c r="K32" s="117">
        <f>SUMIFS(Рудник!L:L,Рудник!$A:$A,'Сводная Рудник'!$A32)</f>
        <v>0</v>
      </c>
      <c r="L32" s="117">
        <f t="array" ref="L32">SUM(SUMIFS(Рудник!$L:$L,Рудник!$A:$A,A32,Рудник!$B:$B,{"9:00","12:00","15:00","18:00"}))</f>
        <v>0</v>
      </c>
      <c r="M32" s="117">
        <f t="array" ref="M32">SUM(SUMIFS(Рудник!$L:$L,Рудник!$A:$A,A32,Рудник!$B:$B,{"0:00","3:00","6:00","21:00"}))</f>
        <v>0</v>
      </c>
      <c r="N32" s="117">
        <f>IFERROR(INDEX(Рудник!$A:$P,MATCH(A32,Рудник!$A:$A,0)+3,10),"")</f>
        <v>93</v>
      </c>
    </row>
    <row r="33" spans="1:34" x14ac:dyDescent="0.25">
      <c r="A33" s="116">
        <f t="shared" si="0"/>
        <v>45014</v>
      </c>
      <c r="B33" s="118">
        <f>IFERROR(AVERAGEIFS(Рудник!$F:$F,Рудник!$A:$A,A33),"")</f>
        <v>-6.2875000000000005</v>
      </c>
      <c r="C33" s="117">
        <f t="array" ref="C33">MAX(IF(Рудник!$A:$A='Сводная Рудник'!$A33,Рудник!G:G))</f>
        <v>0</v>
      </c>
      <c r="D33" s="117">
        <f t="array" ref="D33">MIN(IF(Рудник!$A:$A='Сводная Рудник'!$A33,Рудник!H:H))</f>
        <v>0</v>
      </c>
      <c r="E33" s="118">
        <f>IFERROR(AVERAGEIFS(Рудник!N:N,Рудник!$A:$A,$A33),"")</f>
        <v>927.86249999999995</v>
      </c>
      <c r="F33" s="117">
        <f t="array" ref="F33">MAX(IF(Рудник!$A:$A='Сводная Рудник'!$A33,Рудник!N:N))</f>
        <v>931.2</v>
      </c>
      <c r="G33" s="117">
        <f t="array" ref="G33">MIN(IF(Рудник!$A:$A='Сводная Рудник'!$A33,Рудник!N:N))</f>
        <v>923.4</v>
      </c>
      <c r="H33" s="120">
        <f>IFERROR(AVERAGEIFS(Рудник!D:D,Рудник!$A:$A,$A33),"")</f>
        <v>9.375</v>
      </c>
      <c r="I33" s="117">
        <f t="array" ref="I33">MAX(IF(Рудник!$A:$A='Сводная Рудник'!$A33,Рудник!D:D))</f>
        <v>12</v>
      </c>
      <c r="J33" s="117">
        <f t="array" ref="J33">MAX(IF(Рудник!$A:$A='Сводная Рудник'!$A33,Рудник!E:E))</f>
        <v>17</v>
      </c>
      <c r="K33" s="117">
        <f>SUMIFS(Рудник!L:L,Рудник!$A:$A,'Сводная Рудник'!$A33)</f>
        <v>0</v>
      </c>
      <c r="L33" s="117">
        <f t="array" ref="L33">SUM(SUMIFS(Рудник!$L:$L,Рудник!$A:$A,A33,Рудник!$B:$B,{"9:00","12:00","15:00","18:00"}))</f>
        <v>0</v>
      </c>
      <c r="M33" s="117">
        <f t="array" ref="M33">SUM(SUMIFS(Рудник!$L:$L,Рудник!$A:$A,A33,Рудник!$B:$B,{"0:00","3:00","6:00","21:00"}))</f>
        <v>0</v>
      </c>
      <c r="N33" s="117">
        <f>IFERROR(INDEX(Рудник!$A:$P,MATCH(A33,Рудник!$A:$A,0)+3,10),"")</f>
        <v>89</v>
      </c>
    </row>
    <row r="34" spans="1:34" x14ac:dyDescent="0.25">
      <c r="A34" s="116">
        <f t="shared" si="0"/>
        <v>45015</v>
      </c>
      <c r="B34" s="118">
        <f>IFERROR(AVERAGEIFS(Рудник!$F:$F,Рудник!$A:$A,A34),"")</f>
        <v>-5.7749999999999995</v>
      </c>
      <c r="C34" s="117">
        <f t="array" ref="C34">MAX(IF(Рудник!$A:$A='Сводная Рудник'!$A34,Рудник!G:G))</f>
        <v>0</v>
      </c>
      <c r="D34" s="117">
        <f t="array" ref="D34">MIN(IF(Рудник!$A:$A='Сводная Рудник'!$A34,Рудник!H:H))</f>
        <v>0</v>
      </c>
      <c r="E34" s="118">
        <f>IFERROR(AVERAGEIFS(Рудник!N:N,Рудник!$A:$A,$A34),"")</f>
        <v>934.13750000000005</v>
      </c>
      <c r="F34" s="117">
        <f t="array" ref="F34">MAX(IF(Рудник!$A:$A='Сводная Рудник'!$A34,Рудник!N:N))</f>
        <v>937.6</v>
      </c>
      <c r="G34" s="117">
        <f t="array" ref="G34">MIN(IF(Рудник!$A:$A='Сводная Рудник'!$A34,Рудник!N:N))</f>
        <v>932</v>
      </c>
      <c r="H34" s="120">
        <f>IFERROR(AVERAGEIFS(Рудник!D:D,Рудник!$A:$A,$A34),"")</f>
        <v>4.75</v>
      </c>
      <c r="I34" s="117">
        <f t="array" ref="I34">MAX(IF(Рудник!$A:$A='Сводная Рудник'!$A34,Рудник!D:D))</f>
        <v>10</v>
      </c>
      <c r="J34" s="117">
        <f t="array" ref="J34">MAX(IF(Рудник!$A:$A='Сводная Рудник'!$A34,Рудник!E:E))</f>
        <v>16</v>
      </c>
      <c r="K34" s="117">
        <f>SUMIFS(Рудник!L:L,Рудник!$A:$A,'Сводная Рудник'!$A34)</f>
        <v>0</v>
      </c>
      <c r="L34" s="117">
        <f t="array" ref="L34">SUM(SUMIFS(Рудник!$L:$L,Рудник!$A:$A,A34,Рудник!$B:$B,{"9:00","12:00","15:00","18:00"}))</f>
        <v>0</v>
      </c>
      <c r="M34" s="117">
        <f t="array" ref="M34">SUM(SUMIFS(Рудник!$L:$L,Рудник!$A:$A,A34,Рудник!$B:$B,{"0:00","3:00","6:00","21:00"}))</f>
        <v>0</v>
      </c>
      <c r="N34" s="117">
        <f>IFERROR(INDEX(Рудник!$A:$P,MATCH(A34,Рудник!$A:$A,0)+3,10),"")</f>
        <v>90</v>
      </c>
    </row>
    <row r="35" spans="1:34" x14ac:dyDescent="0.25">
      <c r="A35" s="116">
        <f t="shared" si="0"/>
        <v>45016</v>
      </c>
      <c r="B35" s="118">
        <f>IFERROR(AVERAGEIFS(Рудник!$F:$F,Рудник!$A:$A,A35),"")</f>
        <v>-3.1874999999999996</v>
      </c>
      <c r="C35" s="117">
        <f t="array" ref="C35">MAX(IF(Рудник!$A:$A='Сводная Рудник'!$A35,Рудник!G:G))</f>
        <v>0</v>
      </c>
      <c r="D35" s="117">
        <f t="array" ref="D35">MIN(IF(Рудник!$A:$A='Сводная Рудник'!$A35,Рудник!H:H))</f>
        <v>0</v>
      </c>
      <c r="E35" s="118">
        <f>IFERROR(AVERAGEIFS(Рудник!N:N,Рудник!$A:$A,$A35),"")</f>
        <v>940.4375</v>
      </c>
      <c r="F35" s="117">
        <f t="array" ref="F35">MAX(IF(Рудник!$A:$A='Сводная Рудник'!$A35,Рудник!N:N))</f>
        <v>941.9</v>
      </c>
      <c r="G35" s="117">
        <f t="array" ref="G35">MIN(IF(Рудник!$A:$A='Сводная Рудник'!$A35,Рудник!N:N))</f>
        <v>938.6</v>
      </c>
      <c r="H35" s="120">
        <f>IFERROR(AVERAGEIFS(Рудник!D:D,Рудник!$A:$A,$A35),"")</f>
        <v>2</v>
      </c>
      <c r="I35" s="117">
        <f t="array" ref="I35">MAX(IF(Рудник!$A:$A='Сводная Рудник'!$A35,Рудник!D:D))</f>
        <v>4</v>
      </c>
      <c r="J35" s="117">
        <f t="array" ref="J35">MAX(IF(Рудник!$A:$A='Сводная Рудник'!$A35,Рудник!E:E))</f>
        <v>9</v>
      </c>
      <c r="K35" s="117">
        <f>SUMIFS(Рудник!L:L,Рудник!$A:$A,'Сводная Рудник'!$A35)</f>
        <v>0</v>
      </c>
      <c r="L35" s="117">
        <f t="array" ref="L35">SUM(SUMIFS(Рудник!$L:$L,Рудник!$A:$A,A35,Рудник!$B:$B,{"9:00","12:00","15:00","18:00"}))</f>
        <v>0</v>
      </c>
      <c r="M35" s="117">
        <f t="array" ref="M35">SUM(SUMIFS(Рудник!$L:$L,Рудник!$A:$A,A35,Рудник!$B:$B,{"0:00","3:00","6:00","21:00"}))</f>
        <v>0</v>
      </c>
      <c r="N35" s="117">
        <f>IFERROR(INDEX(Рудник!$A:$P,MATCH(A35,Рудник!$A:$A,0)+3,10),"")</f>
        <v>91</v>
      </c>
    </row>
    <row r="37" spans="1:34" x14ac:dyDescent="0.25">
      <c r="A37" s="127" t="s">
        <v>68</v>
      </c>
      <c r="B37" s="118">
        <f>IFERROR(AVERAGE(B$5:B$14),"~")</f>
        <v>-11.967499999999998</v>
      </c>
      <c r="C37" s="118">
        <f>MAX(C$5:C$14)</f>
        <v>0</v>
      </c>
      <c r="D37" s="118">
        <f>MIN(D$5:D$14)</f>
        <v>0</v>
      </c>
      <c r="E37" s="118">
        <f>IFERROR(AVERAGE(E$5:E$14),"~")</f>
        <v>926.6712500000001</v>
      </c>
      <c r="F37" s="118">
        <f>MAX(F$5:F$14)</f>
        <v>948.4</v>
      </c>
      <c r="G37" s="118">
        <f>MIN(G$5:G$14)</f>
        <v>914.7</v>
      </c>
      <c r="H37" s="118">
        <f>IFERROR(AVERAGE(H$5:H$14),"~")</f>
        <v>11.074999999999999</v>
      </c>
      <c r="I37" s="120">
        <f>MAX(I$5:I$14)</f>
        <v>40</v>
      </c>
      <c r="J37" s="120">
        <f>MAX(J$5:J$14)</f>
        <v>18</v>
      </c>
      <c r="K37" s="118">
        <f t="shared" ref="K37:N37" si="1">AVERAGE(K$5:K$14)</f>
        <v>4.3149999999999995</v>
      </c>
      <c r="L37" s="118">
        <f t="shared" si="1"/>
        <v>0.88000000000000012</v>
      </c>
      <c r="M37" s="118">
        <f t="shared" si="1"/>
        <v>3.4349999999999996</v>
      </c>
      <c r="N37" s="118">
        <f t="shared" si="1"/>
        <v>92.7</v>
      </c>
    </row>
    <row r="38" spans="1:34" x14ac:dyDescent="0.25">
      <c r="A38" s="127" t="s">
        <v>69</v>
      </c>
      <c r="B38" s="118">
        <f>IFERROR(AVERAGE(B$15:B$24),"~")</f>
        <v>-7.5725000000000007</v>
      </c>
      <c r="C38" s="118">
        <f>MAX(C$15:C$24)</f>
        <v>0</v>
      </c>
      <c r="D38" s="118">
        <f>MIN(D$15:D$24)</f>
        <v>0</v>
      </c>
      <c r="E38" s="118">
        <f>IFERROR(AVERAGE(E$15:E$24),"~")</f>
        <v>939.68625000000009</v>
      </c>
      <c r="F38" s="118">
        <f>MAX(F$15:F$24)</f>
        <v>957.1</v>
      </c>
      <c r="G38" s="118">
        <f>MIN(G$15:G$24)</f>
        <v>906</v>
      </c>
      <c r="H38" s="118">
        <f>IFERROR(AVERAGE(H$15:H$24),"~")</f>
        <v>2.8</v>
      </c>
      <c r="I38" s="120">
        <f>MAX(I$15:I$24)</f>
        <v>13</v>
      </c>
      <c r="J38" s="120">
        <f>MAX(J$15:J$24)</f>
        <v>20</v>
      </c>
      <c r="K38" s="118">
        <f t="shared" ref="K38:N38" si="2">AVERAGE(K$15:K$24)</f>
        <v>0</v>
      </c>
      <c r="L38" s="118">
        <f t="shared" si="2"/>
        <v>0</v>
      </c>
      <c r="M38" s="118">
        <f t="shared" si="2"/>
        <v>0</v>
      </c>
      <c r="N38" s="118">
        <f t="shared" si="2"/>
        <v>98.7</v>
      </c>
      <c r="P38" s="221" t="s">
        <v>96</v>
      </c>
      <c r="Q38" s="221"/>
      <c r="R38" s="221"/>
    </row>
    <row r="39" spans="1:34" x14ac:dyDescent="0.25">
      <c r="A39" s="127" t="s">
        <v>70</v>
      </c>
      <c r="B39" s="118">
        <f>IFERROR(AVERAGE(B$25:B$35),"~")</f>
        <v>-7.4488636363636367</v>
      </c>
      <c r="C39" s="118">
        <f>MAX(C$25:C$35)</f>
        <v>0</v>
      </c>
      <c r="D39" s="118">
        <f>MIN(D$25:D$35)</f>
        <v>0</v>
      </c>
      <c r="E39" s="118">
        <f>IFERROR(AVERAGE(E$25:E$35),"~")</f>
        <v>924.01818181818192</v>
      </c>
      <c r="F39" s="118">
        <f>MAX(F$25:F$35)</f>
        <v>941.9</v>
      </c>
      <c r="G39" s="118">
        <f>MIN(G$25:G$35)</f>
        <v>893.8</v>
      </c>
      <c r="H39" s="118">
        <f>IFERROR(AVERAGE(H$25:H$35),"~")</f>
        <v>6.6915584415584419</v>
      </c>
      <c r="I39" s="120">
        <f>MAX(I$25:I$35)</f>
        <v>22</v>
      </c>
      <c r="J39" s="120">
        <f>MAX(J$25:J$35)</f>
        <v>29</v>
      </c>
      <c r="K39" s="118">
        <f t="shared" ref="K39:N39" si="3">AVERAGE(K$25:K$35)</f>
        <v>0</v>
      </c>
      <c r="L39" s="118">
        <f t="shared" si="3"/>
        <v>0</v>
      </c>
      <c r="M39" s="118">
        <f t="shared" si="3"/>
        <v>0</v>
      </c>
      <c r="N39" s="118">
        <f t="shared" si="3"/>
        <v>96.63636363636364</v>
      </c>
      <c r="P39" s="117" t="s">
        <v>67</v>
      </c>
      <c r="Q39" s="117" t="s">
        <v>0</v>
      </c>
      <c r="R39" s="37" t="s">
        <v>125</v>
      </c>
    </row>
    <row r="40" spans="1:34" x14ac:dyDescent="0.25">
      <c r="A40" s="127" t="s">
        <v>71</v>
      </c>
      <c r="B40" s="118">
        <f>AVERAGE(B$5:B$35)</f>
        <v>-8.9463709677419345</v>
      </c>
      <c r="C40" s="118">
        <f>MAX(C$5:C$35)</f>
        <v>0</v>
      </c>
      <c r="D40" s="118">
        <f>MIN(D$5:D$35)</f>
        <v>0</v>
      </c>
      <c r="E40" s="118">
        <f t="shared" ref="E40:N40" si="4">AVERAGE(E$5:E$35)</f>
        <v>929.92822580645156</v>
      </c>
      <c r="F40" s="118">
        <f>MAX(F$5:F$35)</f>
        <v>957.1</v>
      </c>
      <c r="G40" s="118">
        <f>MIN(G$5:G$35)</f>
        <v>893.8</v>
      </c>
      <c r="H40" s="120">
        <f t="shared" si="4"/>
        <v>6.8502304147465436</v>
      </c>
      <c r="I40" s="120">
        <f>MAX(I$5:I$35)</f>
        <v>40</v>
      </c>
      <c r="J40" s="120">
        <f>MAX(J$5:J$35)</f>
        <v>29</v>
      </c>
      <c r="K40" s="118">
        <f t="shared" si="4"/>
        <v>1.3919354838709677</v>
      </c>
      <c r="L40" s="118">
        <f t="shared" si="4"/>
        <v>0.28387096774193549</v>
      </c>
      <c r="M40" s="118">
        <f t="shared" si="4"/>
        <v>1.1080645161290321</v>
      </c>
      <c r="N40" s="118">
        <f t="shared" si="4"/>
        <v>96.032258064516128</v>
      </c>
      <c r="P40" s="118">
        <f>MAX('Сводная Рудник'!K5:K35)</f>
        <v>11.899999999999999</v>
      </c>
      <c r="Q40" s="119">
        <f>INDEX(A2:N36,MATCH(P40,K2:K36,0),1)</f>
        <v>44986</v>
      </c>
      <c r="R40" s="37">
        <f>SUM(K5:K35)</f>
        <v>43.15</v>
      </c>
    </row>
    <row r="42" spans="1:34" ht="16.5" thickBot="1" x14ac:dyDescent="0.3">
      <c r="A42" s="93" t="s">
        <v>72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</row>
    <row r="43" spans="1:34" ht="15.75" x14ac:dyDescent="0.25">
      <c r="A43" s="94" t="s">
        <v>73</v>
      </c>
      <c r="B43" s="95" t="s">
        <v>30</v>
      </c>
      <c r="C43" s="96"/>
      <c r="D43" s="96" t="s">
        <v>31</v>
      </c>
      <c r="E43" s="96"/>
      <c r="F43" s="96" t="s">
        <v>32</v>
      </c>
      <c r="G43" s="96"/>
      <c r="H43" s="96" t="s">
        <v>33</v>
      </c>
      <c r="I43" s="96"/>
      <c r="J43" s="96" t="s">
        <v>34</v>
      </c>
      <c r="K43" s="96"/>
      <c r="L43" s="96" t="s">
        <v>35</v>
      </c>
      <c r="M43" s="96"/>
      <c r="N43" s="96" t="s">
        <v>36</v>
      </c>
      <c r="O43" s="96"/>
      <c r="P43" s="96" t="s">
        <v>37</v>
      </c>
      <c r="Q43" s="96"/>
      <c r="R43" s="96" t="s">
        <v>38</v>
      </c>
      <c r="S43" s="96"/>
      <c r="T43" s="96" t="s">
        <v>39</v>
      </c>
      <c r="U43" s="96"/>
      <c r="V43" s="96" t="s">
        <v>40</v>
      </c>
      <c r="W43" s="96"/>
      <c r="X43" s="96" t="s">
        <v>29</v>
      </c>
      <c r="Y43" s="96"/>
      <c r="Z43" s="96" t="s">
        <v>41</v>
      </c>
      <c r="AA43" s="96"/>
      <c r="AB43" s="96" t="s">
        <v>42</v>
      </c>
      <c r="AC43" s="96"/>
      <c r="AD43" s="96" t="s">
        <v>43</v>
      </c>
      <c r="AE43" s="96"/>
      <c r="AF43" s="96" t="s">
        <v>44</v>
      </c>
      <c r="AG43" s="96"/>
      <c r="AH43" s="96" t="s">
        <v>74</v>
      </c>
    </row>
    <row r="44" spans="1:34" ht="15.75" x14ac:dyDescent="0.25">
      <c r="A44" s="97"/>
      <c r="B44" s="98" t="s">
        <v>75</v>
      </c>
      <c r="C44" s="98" t="s">
        <v>76</v>
      </c>
      <c r="D44" s="98" t="s">
        <v>75</v>
      </c>
      <c r="E44" s="98" t="s">
        <v>76</v>
      </c>
      <c r="F44" s="98" t="s">
        <v>75</v>
      </c>
      <c r="G44" s="98" t="s">
        <v>76</v>
      </c>
      <c r="H44" s="98" t="s">
        <v>75</v>
      </c>
      <c r="I44" s="98" t="s">
        <v>76</v>
      </c>
      <c r="J44" s="98" t="s">
        <v>75</v>
      </c>
      <c r="K44" s="98" t="s">
        <v>76</v>
      </c>
      <c r="L44" s="98" t="s">
        <v>75</v>
      </c>
      <c r="M44" s="98" t="s">
        <v>76</v>
      </c>
      <c r="N44" s="98" t="s">
        <v>75</v>
      </c>
      <c r="O44" s="98" t="s">
        <v>76</v>
      </c>
      <c r="P44" s="98" t="s">
        <v>75</v>
      </c>
      <c r="Q44" s="98" t="s">
        <v>76</v>
      </c>
      <c r="R44" s="98" t="s">
        <v>75</v>
      </c>
      <c r="S44" s="98" t="s">
        <v>76</v>
      </c>
      <c r="T44" s="98" t="s">
        <v>75</v>
      </c>
      <c r="U44" s="98" t="s">
        <v>76</v>
      </c>
      <c r="V44" s="98" t="s">
        <v>75</v>
      </c>
      <c r="W44" s="98" t="s">
        <v>76</v>
      </c>
      <c r="X44" s="98" t="s">
        <v>75</v>
      </c>
      <c r="Y44" s="98" t="s">
        <v>76</v>
      </c>
      <c r="Z44" s="98" t="s">
        <v>75</v>
      </c>
      <c r="AA44" s="98" t="s">
        <v>76</v>
      </c>
      <c r="AB44" s="98" t="s">
        <v>75</v>
      </c>
      <c r="AC44" s="98" t="s">
        <v>76</v>
      </c>
      <c r="AD44" s="98" t="s">
        <v>75</v>
      </c>
      <c r="AE44" s="98" t="s">
        <v>76</v>
      </c>
      <c r="AF44" s="98" t="s">
        <v>75</v>
      </c>
      <c r="AG44" s="98" t="s">
        <v>76</v>
      </c>
      <c r="AH44" s="98" t="s">
        <v>75</v>
      </c>
    </row>
    <row r="45" spans="1:34" ht="15.75" x14ac:dyDescent="0.25">
      <c r="A45" s="8" t="s">
        <v>10</v>
      </c>
      <c r="B45" s="99">
        <f>COUNTIFS(Рудник!$C:$C,B$43,Рудник!B:B,$A45)</f>
        <v>0</v>
      </c>
      <c r="C45" s="99" t="str">
        <f>IFERROR(IF(B45&lt;&gt;0,AVERAGEIFS(Рудник!$D:$D,Рудник!B:B,$A45,Рудник!C:C,B$43),"~"),"~")</f>
        <v>~</v>
      </c>
      <c r="D45" s="99">
        <f>COUNTIFS(Рудник!$C:$C,D$43,Рудник!D:D,$A45)</f>
        <v>0</v>
      </c>
      <c r="E45" s="99" t="str">
        <f>IFERROR(IF(D45&lt;&gt;0,AVERAGEIFS(Рудник!$D:$D,Рудник!D:D,$A45,Рудник!E:E,D$43),"~"),"~")</f>
        <v>~</v>
      </c>
      <c r="F45" s="99">
        <f>COUNTIFS(Рудник!$C:$C,F$43,Рудник!F:F,$A45)</f>
        <v>0</v>
      </c>
      <c r="G45" s="99" t="str">
        <f>IFERROR(IF(F45&lt;&gt;0,AVERAGEIFS(Рудник!$D:$D,Рудник!F:F,$A45,Рудник!G:G,F$43),"~"),"~")</f>
        <v>~</v>
      </c>
      <c r="H45" s="99">
        <f>COUNTIFS(Рудник!$C:$C,H$43,Рудник!$B:$B,$A45)</f>
        <v>0</v>
      </c>
      <c r="I45" s="99" t="str">
        <f>IFERROR(IF(H45&lt;&gt;0,AVERAGEIFS(Рудник!$D:$D,Рудник!$B:$B,$A45,Рудник!$C:$C,H$43),"~"),"~")</f>
        <v>~</v>
      </c>
      <c r="J45" s="99">
        <f>COUNTIFS(Рудник!$C:$C,J$43,Рудник!$B:$B,$A45)</f>
        <v>1</v>
      </c>
      <c r="K45" s="99">
        <f>IFERROR(IF(J45&lt;&gt;0,AVERAGEIFS(Рудник!$D:$D,Рудник!$B:$B,$A45,Рудник!$C:$C,J$43),"~"),"~")</f>
        <v>0</v>
      </c>
      <c r="L45" s="99">
        <f>COUNTIFS(Рудник!$C:$C,L$43,Рудник!$B:$B,$A45)</f>
        <v>0</v>
      </c>
      <c r="M45" s="99" t="str">
        <f>IFERROR(IF(L45&lt;&gt;0,AVERAGEIFS(Рудник!$D:$D,Рудник!$B:$B,$A45,Рудник!$C:$C,L$43),"~"),"~")</f>
        <v>~</v>
      </c>
      <c r="N45" s="99">
        <f>COUNTIFS(Рудник!$C:$C,N$43,Рудник!$B:$B,$A45)</f>
        <v>1</v>
      </c>
      <c r="O45" s="99">
        <f>IFERROR(IF(N45&lt;&gt;0,AVERAGEIFS(Рудник!$D:$D,Рудник!$B:$B,$A45,Рудник!$C:$C,N$43),"~"),"~")</f>
        <v>2</v>
      </c>
      <c r="P45" s="99">
        <f>COUNTIFS(Рудник!$C:$C,P$43,Рудник!$B:$B,$A45)</f>
        <v>0</v>
      </c>
      <c r="Q45" s="99" t="str">
        <f>IFERROR(IF(P45&lt;&gt;0,AVERAGEIFS(Рудник!$D:$D,Рудник!$B:$B,$A45,Рудник!$C:$C,P$43),"~"),"~")</f>
        <v>~</v>
      </c>
      <c r="R45" s="99">
        <f>COUNTIFS(Рудник!$C:$C,R$43,Рудник!$B:$B,$A45)</f>
        <v>2</v>
      </c>
      <c r="S45" s="99">
        <f>IFERROR(IF(R45&lt;&gt;0,AVERAGEIFS(Рудник!$D:$D,Рудник!$B:$B,$A45,Рудник!$C:$C,R$43),"~"),"~")</f>
        <v>5</v>
      </c>
      <c r="T45" s="99">
        <f>COUNTIFS(Рудник!$C:$C,T$43,Рудник!$B:$B,$A45)</f>
        <v>0</v>
      </c>
      <c r="U45" s="99" t="str">
        <f>IFERROR(IF(T45&lt;&gt;0,AVERAGEIFS(Рудник!$D:$D,Рудник!$B:$B,$A45,Рудник!$C:$C,T$43),"~"),"~")</f>
        <v>~</v>
      </c>
      <c r="V45" s="99">
        <f>COUNTIFS(Рудник!$C:$C,V$43,Рудник!$B:$B,$A45)</f>
        <v>2</v>
      </c>
      <c r="W45" s="99">
        <f>IFERROR(IF(V45&lt;&gt;0,AVERAGEIFS(Рудник!$D:$D,Рудник!$B:$B,$A45,Рудник!$C:$C,V$43),"~"),"~")</f>
        <v>1.5</v>
      </c>
      <c r="X45" s="99">
        <f>COUNTIFS(Рудник!$C:$C,X$43,Рудник!$B:$B,$A45)</f>
        <v>1</v>
      </c>
      <c r="Y45" s="99">
        <f>IFERROR(IF(X45&lt;&gt;0,AVERAGEIFS(Рудник!$D:$D,Рудник!$B:$B,$A45,Рудник!$C:$C,X$43),"~"),"~")</f>
        <v>2</v>
      </c>
      <c r="Z45" s="99">
        <f>COUNTIFS(Рудник!$C:$C,Z$43,Рудник!$B:$B,$A45)</f>
        <v>19</v>
      </c>
      <c r="AA45" s="99">
        <f>IFERROR(IF(Z45&lt;&gt;0,AVERAGEIFS(Рудник!$D:$D,Рудник!$B:$B,$A45,Рудник!$C:$C,Z$43),"~"),"~")</f>
        <v>8.9473684210526319</v>
      </c>
      <c r="AB45" s="99">
        <f>COUNTIFS(Рудник!$C:$C,AB$43,Рудник!$B:$B,$A45)</f>
        <v>2</v>
      </c>
      <c r="AC45" s="99">
        <f>IFERROR(IF(AB45&lt;&gt;0,AVERAGEIFS(Рудник!$D:$D,Рудник!$B:$B,$A45,Рудник!$C:$C,AB$43),"~"),"~")</f>
        <v>1.5</v>
      </c>
      <c r="AD45" s="99">
        <f>COUNTIFS(Рудник!$C:$C,AD$43,Рудник!$B:$B,$A45)</f>
        <v>1</v>
      </c>
      <c r="AE45" s="99">
        <f>IFERROR(IF(AD45&lt;&gt;0,AVERAGEIFS(Рудник!$D:$D,Рудник!$B:$B,$A45,Рудник!$C:$C,AD$43),"~"),"~")</f>
        <v>28</v>
      </c>
      <c r="AF45" s="99">
        <f>COUNTIFS(Рудник!$C:$C,AF$43,Рудник!$B:$B,$A45)</f>
        <v>0</v>
      </c>
      <c r="AG45" s="99" t="str">
        <f>IFERROR(IF(AF45&lt;&gt;0,AVERAGEIFS(Рудник!$D:$D,Рудник!$B:$B,$A45,Рудник!$C:$C,AF$43),"~"),"~")</f>
        <v>~</v>
      </c>
      <c r="AH45" s="99">
        <f>COUNTIFS(Рудник!$C:$C,AH$43,Рудник!$B:$B,$A45)</f>
        <v>0</v>
      </c>
    </row>
    <row r="46" spans="1:34" ht="15.75" x14ac:dyDescent="0.25">
      <c r="A46" s="8" t="s">
        <v>11</v>
      </c>
      <c r="B46" s="99">
        <f>COUNTIFS(Рудник!$C:$C,B$43,Рудник!B:B,$A46)</f>
        <v>0</v>
      </c>
      <c r="C46" s="99" t="str">
        <f>IFERROR(IF(B46&lt;&gt;0,AVERAGEIFS(Рудник!$D:$D,Рудник!B:B,$A46,Рудник!C:C,B$43),"~"),"~")</f>
        <v>~</v>
      </c>
      <c r="D46" s="99">
        <f>COUNTIFS(Рудник!$C:$C,D$43,Рудник!D:D,$A46)</f>
        <v>0</v>
      </c>
      <c r="E46" s="99" t="str">
        <f>IFERROR(IF(D46&lt;&gt;0,AVERAGEIFS(Рудник!$D:$D,Рудник!D:D,$A46,Рудник!E:E,D$43),"~"),"~")</f>
        <v>~</v>
      </c>
      <c r="F46" s="99">
        <f>COUNTIFS(Рудник!$C:$C,F$43,Рудник!F:F,$A46)</f>
        <v>0</v>
      </c>
      <c r="G46" s="99" t="str">
        <f>IFERROR(IF(F46&lt;&gt;0,AVERAGEIFS(Рудник!$D:$D,Рудник!F:F,$A46,Рудник!G:G,F$43),"~"),"~")</f>
        <v>~</v>
      </c>
      <c r="H46" s="99">
        <f>COUNTIFS(Рудник!$C:$C,H$43,Рудник!$B:$B,$A46)</f>
        <v>0</v>
      </c>
      <c r="I46" s="99" t="str">
        <f>IFERROR(IF(H46&lt;&gt;0,AVERAGEIFS(Рудник!$D:$D,Рудник!$B:$B,$A46,Рудник!$C:$C,H$43),"~"),"~")</f>
        <v>~</v>
      </c>
      <c r="J46" s="99">
        <f>COUNTIFS(Рудник!$C:$C,J$43,Рудник!$B:$B,$A46)</f>
        <v>1</v>
      </c>
      <c r="K46" s="99">
        <f>IFERROR(IF(J46&lt;&gt;0,AVERAGEIFS(Рудник!$D:$D,Рудник!$B:$B,$A46,Рудник!$C:$C,J$43),"~"),"~")</f>
        <v>0</v>
      </c>
      <c r="L46" s="99">
        <f>COUNTIFS(Рудник!$C:$C,L$43,Рудник!$B:$B,$A46)</f>
        <v>0</v>
      </c>
      <c r="M46" s="99" t="str">
        <f>IFERROR(IF(L46&lt;&gt;0,AVERAGEIFS(Рудник!$D:$D,Рудник!$B:$B,$A46,Рудник!$C:$C,L$43),"~"),"~")</f>
        <v>~</v>
      </c>
      <c r="N46" s="99">
        <f>COUNTIFS(Рудник!$C:$C,N$43,Рудник!$B:$B,$A46)</f>
        <v>1</v>
      </c>
      <c r="O46" s="99">
        <f>IFERROR(IF(N46&lt;&gt;0,AVERAGEIFS(Рудник!$D:$D,Рудник!$B:$B,$A46,Рудник!$C:$C,N$43),"~"),"~")</f>
        <v>1</v>
      </c>
      <c r="P46" s="99">
        <f>COUNTIFS(Рудник!$C:$C,P$43,Рудник!$B:$B,$A46)</f>
        <v>0</v>
      </c>
      <c r="Q46" s="99" t="str">
        <f>IFERROR(IF(P46&lt;&gt;0,AVERAGEIFS(Рудник!$D:$D,Рудник!$B:$B,$A46,Рудник!$C:$C,P$43),"~"),"~")</f>
        <v>~</v>
      </c>
      <c r="R46" s="99">
        <f>COUNTIFS(Рудник!$C:$C,R$43,Рудник!$B:$B,$A46)</f>
        <v>2</v>
      </c>
      <c r="S46" s="99">
        <f>IFERROR(IF(R46&lt;&gt;0,AVERAGEIFS(Рудник!$D:$D,Рудник!$B:$B,$A46,Рудник!$C:$C,R$43),"~"),"~")</f>
        <v>5.5</v>
      </c>
      <c r="T46" s="99">
        <f>COUNTIFS(Рудник!$C:$C,T$43,Рудник!$B:$B,$A46)</f>
        <v>0</v>
      </c>
      <c r="U46" s="99" t="str">
        <f>IFERROR(IF(T46&lt;&gt;0,AVERAGEIFS(Рудник!$D:$D,Рудник!$B:$B,$A46,Рудник!$C:$C,T$43),"~"),"~")</f>
        <v>~</v>
      </c>
      <c r="V46" s="99">
        <f>COUNTIFS(Рудник!$C:$C,V$43,Рудник!$B:$B,$A46)</f>
        <v>1</v>
      </c>
      <c r="W46" s="99">
        <f>IFERROR(IF(V46&lt;&gt;0,AVERAGEIFS(Рудник!$D:$D,Рудник!$B:$B,$A46,Рудник!$C:$C,V$43),"~"),"~")</f>
        <v>2</v>
      </c>
      <c r="X46" s="99">
        <f>COUNTIFS(Рудник!$C:$C,X$43,Рудник!$B:$B,$A46)</f>
        <v>4</v>
      </c>
      <c r="Y46" s="99">
        <f>IFERROR(IF(X46&lt;&gt;0,AVERAGEIFS(Рудник!$D:$D,Рудник!$B:$B,$A46,Рудник!$C:$C,X$43),"~"),"~")</f>
        <v>3.5</v>
      </c>
      <c r="Z46" s="99">
        <f>COUNTIFS(Рудник!$C:$C,Z$43,Рудник!$B:$B,$A46)</f>
        <v>15</v>
      </c>
      <c r="AA46" s="99">
        <f>IFERROR(IF(Z46&lt;&gt;0,AVERAGEIFS(Рудник!$D:$D,Рудник!$B:$B,$A46,Рудник!$C:$C,Z$43),"~"),"~")</f>
        <v>10.733333333333333</v>
      </c>
      <c r="AB46" s="99">
        <f>COUNTIFS(Рудник!$C:$C,AB$43,Рудник!$B:$B,$A46)</f>
        <v>4</v>
      </c>
      <c r="AC46" s="99">
        <f>IFERROR(IF(AB46&lt;&gt;0,AVERAGEIFS(Рудник!$D:$D,Рудник!$B:$B,$A46,Рудник!$C:$C,AB$43),"~"),"~")</f>
        <v>4.75</v>
      </c>
      <c r="AD46" s="99">
        <f>COUNTIFS(Рудник!$C:$C,AD$43,Рудник!$B:$B,$A46)</f>
        <v>3</v>
      </c>
      <c r="AE46" s="99">
        <f>IFERROR(IF(AD46&lt;&gt;0,AVERAGEIFS(Рудник!$D:$D,Рудник!$B:$B,$A46,Рудник!$C:$C,AD$43),"~"),"~")</f>
        <v>10.666666666666666</v>
      </c>
      <c r="AF46" s="99">
        <f>COUNTIFS(Рудник!$C:$C,AF$43,Рудник!$B:$B,$A46)</f>
        <v>0</v>
      </c>
      <c r="AG46" s="99" t="str">
        <f>IFERROR(IF(AF46&lt;&gt;0,AVERAGEIFS(Рудник!$D:$D,Рудник!$B:$B,$A46,Рудник!$C:$C,AF$43),"~"),"~")</f>
        <v>~</v>
      </c>
      <c r="AH46" s="99">
        <f>COUNTIFS(Рудник!$C:$C,AH$43,Рудник!$B:$B,$A46)</f>
        <v>0</v>
      </c>
    </row>
    <row r="47" spans="1:34" ht="15.75" x14ac:dyDescent="0.25">
      <c r="A47" s="8" t="s">
        <v>12</v>
      </c>
      <c r="B47" s="99">
        <f>COUNTIFS(Рудник!$C:$C,B$43,Рудник!B:B,$A47)</f>
        <v>0</v>
      </c>
      <c r="C47" s="99" t="str">
        <f>IFERROR(IF(B47&lt;&gt;0,AVERAGEIFS(Рудник!$D:$D,Рудник!B:B,$A47,Рудник!C:C,B$43),"~"),"~")</f>
        <v>~</v>
      </c>
      <c r="D47" s="99">
        <f>COUNTIFS(Рудник!$C:$C,D$43,Рудник!D:D,$A47)</f>
        <v>0</v>
      </c>
      <c r="E47" s="99" t="str">
        <f>IFERROR(IF(D47&lt;&gt;0,AVERAGEIFS(Рудник!$D:$D,Рудник!D:D,$A47,Рудник!E:E,D$43),"~"),"~")</f>
        <v>~</v>
      </c>
      <c r="F47" s="99">
        <f>COUNTIFS(Рудник!$C:$C,F$43,Рудник!F:F,$A47)</f>
        <v>0</v>
      </c>
      <c r="G47" s="99" t="str">
        <f>IFERROR(IF(F47&lt;&gt;0,AVERAGEIFS(Рудник!$D:$D,Рудник!F:F,$A47,Рудник!G:G,F$43),"~"),"~")</f>
        <v>~</v>
      </c>
      <c r="H47" s="99">
        <f>COUNTIFS(Рудник!$C:$C,H$43,Рудник!$B:$B,$A47)</f>
        <v>0</v>
      </c>
      <c r="I47" s="99" t="str">
        <f>IFERROR(IF(H47&lt;&gt;0,AVERAGEIFS(Рудник!$D:$D,Рудник!$B:$B,$A47,Рудник!$C:$C,H$43),"~"),"~")</f>
        <v>~</v>
      </c>
      <c r="J47" s="99">
        <f>COUNTIFS(Рудник!$C:$C,J$43,Рудник!$B:$B,$A47)</f>
        <v>1</v>
      </c>
      <c r="K47" s="99">
        <f>IFERROR(IF(J47&lt;&gt;0,AVERAGEIFS(Рудник!$D:$D,Рудник!$B:$B,$A47,Рудник!$C:$C,J$43),"~"),"~")</f>
        <v>0</v>
      </c>
      <c r="L47" s="99">
        <f>COUNTIFS(Рудник!$C:$C,L$43,Рудник!$B:$B,$A47)</f>
        <v>0</v>
      </c>
      <c r="M47" s="99" t="str">
        <f>IFERROR(IF(L47&lt;&gt;0,AVERAGEIFS(Рудник!$D:$D,Рудник!$B:$B,$A47,Рудник!$C:$C,L$43),"~"),"~")</f>
        <v>~</v>
      </c>
      <c r="N47" s="99">
        <f>COUNTIFS(Рудник!$C:$C,N$43,Рудник!$B:$B,$A47)</f>
        <v>0</v>
      </c>
      <c r="O47" s="99" t="str">
        <f>IFERROR(IF(N47&lt;&gt;0,AVERAGEIFS(Рудник!$D:$D,Рудник!$B:$B,$A47,Рудник!$C:$C,N$43),"~"),"~")</f>
        <v>~</v>
      </c>
      <c r="P47" s="99">
        <f>COUNTIFS(Рудник!$C:$C,P$43,Рудник!$B:$B,$A47)</f>
        <v>0</v>
      </c>
      <c r="Q47" s="99" t="str">
        <f>IFERROR(IF(P47&lt;&gt;0,AVERAGEIFS(Рудник!$D:$D,Рудник!$B:$B,$A47,Рудник!$C:$C,P$43),"~"),"~")</f>
        <v>~</v>
      </c>
      <c r="R47" s="99">
        <f>COUNTIFS(Рудник!$C:$C,R$43,Рудник!$B:$B,$A47)</f>
        <v>2</v>
      </c>
      <c r="S47" s="99">
        <f>IFERROR(IF(R47&lt;&gt;0,AVERAGEIFS(Рудник!$D:$D,Рудник!$B:$B,$A47,Рудник!$C:$C,R$43),"~"),"~")</f>
        <v>5</v>
      </c>
      <c r="T47" s="99">
        <f>COUNTIFS(Рудник!$C:$C,T$43,Рудник!$B:$B,$A47)</f>
        <v>0</v>
      </c>
      <c r="U47" s="99" t="str">
        <f>IFERROR(IF(T47&lt;&gt;0,AVERAGEIFS(Рудник!$D:$D,Рудник!$B:$B,$A47,Рудник!$C:$C,T$43),"~"),"~")</f>
        <v>~</v>
      </c>
      <c r="V47" s="99">
        <f>COUNTIFS(Рудник!$C:$C,V$43,Рудник!$B:$B,$A47)</f>
        <v>2</v>
      </c>
      <c r="W47" s="99">
        <f>IFERROR(IF(V47&lt;&gt;0,AVERAGEIFS(Рудник!$D:$D,Рудник!$B:$B,$A47,Рудник!$C:$C,V$43),"~"),"~")</f>
        <v>1</v>
      </c>
      <c r="X47" s="99">
        <f>COUNTIFS(Рудник!$C:$C,X$43,Рудник!$B:$B,$A47)</f>
        <v>4</v>
      </c>
      <c r="Y47" s="99">
        <f>IFERROR(IF(X47&lt;&gt;0,AVERAGEIFS(Рудник!$D:$D,Рудник!$B:$B,$A47,Рудник!$C:$C,X$43),"~"),"~")</f>
        <v>9</v>
      </c>
      <c r="Z47" s="99">
        <f>COUNTIFS(Рудник!$C:$C,Z$43,Рудник!$B:$B,$A47)</f>
        <v>17</v>
      </c>
      <c r="AA47" s="99">
        <f>IFERROR(IF(Z47&lt;&gt;0,AVERAGEIFS(Рудник!$D:$D,Рудник!$B:$B,$A47,Рудник!$C:$C,Z$43),"~"),"~")</f>
        <v>6.3529411764705879</v>
      </c>
      <c r="AB47" s="99">
        <f>COUNTIFS(Рудник!$C:$C,AB$43,Рудник!$B:$B,$A47)</f>
        <v>4</v>
      </c>
      <c r="AC47" s="99">
        <f>IFERROR(IF(AB47&lt;&gt;0,AVERAGEIFS(Рудник!$D:$D,Рудник!$B:$B,$A47,Рудник!$C:$C,AB$43),"~"),"~")</f>
        <v>3.25</v>
      </c>
      <c r="AD47" s="99">
        <f>COUNTIFS(Рудник!$C:$C,AD$43,Рудник!$B:$B,$A47)</f>
        <v>1</v>
      </c>
      <c r="AE47" s="99">
        <f>IFERROR(IF(AD47&lt;&gt;0,AVERAGEIFS(Рудник!$D:$D,Рудник!$B:$B,$A47,Рудник!$C:$C,AD$43),"~"),"~")</f>
        <v>30</v>
      </c>
      <c r="AF47" s="99">
        <f>COUNTIFS(Рудник!$C:$C,AF$43,Рудник!$B:$B,$A47)</f>
        <v>0</v>
      </c>
      <c r="AG47" s="99" t="str">
        <f>IFERROR(IF(AF47&lt;&gt;0,AVERAGEIFS(Рудник!$D:$D,Рудник!$B:$B,$A47,Рудник!$C:$C,AF$43),"~"),"~")</f>
        <v>~</v>
      </c>
      <c r="AH47" s="99">
        <f>COUNTIFS(Рудник!$C:$C,AH$43,Рудник!$B:$B,$A47)</f>
        <v>0</v>
      </c>
    </row>
    <row r="48" spans="1:34" ht="15.75" x14ac:dyDescent="0.25">
      <c r="A48" s="8" t="s">
        <v>13</v>
      </c>
      <c r="B48" s="99">
        <f>COUNTIFS(Рудник!$C:$C,B$43,Рудник!B:B,$A48)</f>
        <v>0</v>
      </c>
      <c r="C48" s="99" t="str">
        <f>IFERROR(IF(B48&lt;&gt;0,AVERAGEIFS(Рудник!$D:$D,Рудник!B:B,$A48,Рудник!C:C,B$43),"~"),"~")</f>
        <v>~</v>
      </c>
      <c r="D48" s="99">
        <f>COUNTIFS(Рудник!$C:$C,D$43,Рудник!D:D,$A48)</f>
        <v>0</v>
      </c>
      <c r="E48" s="99" t="str">
        <f>IFERROR(IF(D48&lt;&gt;0,AVERAGEIFS(Рудник!$D:$D,Рудник!D:D,$A48,Рудник!E:E,D$43),"~"),"~")</f>
        <v>~</v>
      </c>
      <c r="F48" s="99">
        <f>COUNTIFS(Рудник!$C:$C,F$43,Рудник!F:F,$A48)</f>
        <v>0</v>
      </c>
      <c r="G48" s="99" t="str">
        <f>IFERROR(IF(F48&lt;&gt;0,AVERAGEIFS(Рудник!$D:$D,Рудник!F:F,$A48,Рудник!G:G,F$43),"~"),"~")</f>
        <v>~</v>
      </c>
      <c r="H48" s="99">
        <f>COUNTIFS(Рудник!$C:$C,H$43,Рудник!$B:$B,$A48)</f>
        <v>0</v>
      </c>
      <c r="I48" s="99" t="str">
        <f>IFERROR(IF(H48&lt;&gt;0,AVERAGEIFS(Рудник!$D:$D,Рудник!$B:$B,$A48,Рудник!$C:$C,H$43),"~"),"~")</f>
        <v>~</v>
      </c>
      <c r="J48" s="99">
        <f>COUNTIFS(Рудник!$C:$C,J$43,Рудник!$B:$B,$A48)</f>
        <v>0</v>
      </c>
      <c r="K48" s="99" t="str">
        <f>IFERROR(IF(J48&lt;&gt;0,AVERAGEIFS(Рудник!$D:$D,Рудник!$B:$B,$A48,Рудник!$C:$C,J$43),"~"),"~")</f>
        <v>~</v>
      </c>
      <c r="L48" s="99">
        <f>COUNTIFS(Рудник!$C:$C,L$43,Рудник!$B:$B,$A48)</f>
        <v>0</v>
      </c>
      <c r="M48" s="99" t="str">
        <f>IFERROR(IF(L48&lt;&gt;0,AVERAGEIFS(Рудник!$D:$D,Рудник!$B:$B,$A48,Рудник!$C:$C,L$43),"~"),"~")</f>
        <v>~</v>
      </c>
      <c r="N48" s="99">
        <f>COUNTIFS(Рудник!$C:$C,N$43,Рудник!$B:$B,$A48)</f>
        <v>0</v>
      </c>
      <c r="O48" s="99" t="str">
        <f>IFERROR(IF(N48&lt;&gt;0,AVERAGEIFS(Рудник!$D:$D,Рудник!$B:$B,$A48,Рудник!$C:$C,N$43),"~"),"~")</f>
        <v>~</v>
      </c>
      <c r="P48" s="99">
        <f>COUNTIFS(Рудник!$C:$C,P$43,Рудник!$B:$B,$A48)</f>
        <v>0</v>
      </c>
      <c r="Q48" s="99" t="str">
        <f>IFERROR(IF(P48&lt;&gt;0,AVERAGEIFS(Рудник!$D:$D,Рудник!$B:$B,$A48,Рудник!$C:$C,P$43),"~"),"~")</f>
        <v>~</v>
      </c>
      <c r="R48" s="99">
        <f>COUNTIFS(Рудник!$C:$C,R$43,Рудник!$B:$B,$A48)</f>
        <v>3</v>
      </c>
      <c r="S48" s="99">
        <f>IFERROR(IF(R48&lt;&gt;0,AVERAGEIFS(Рудник!$D:$D,Рудник!$B:$B,$A48,Рудник!$C:$C,R$43),"~"),"~")</f>
        <v>5.666666666666667</v>
      </c>
      <c r="T48" s="99">
        <f>COUNTIFS(Рудник!$C:$C,T$43,Рудник!$B:$B,$A48)</f>
        <v>0</v>
      </c>
      <c r="U48" s="99" t="str">
        <f>IFERROR(IF(T48&lt;&gt;0,AVERAGEIFS(Рудник!$D:$D,Рудник!$B:$B,$A48,Рудник!$C:$C,T$43),"~"),"~")</f>
        <v>~</v>
      </c>
      <c r="V48" s="99">
        <f>COUNTIFS(Рудник!$C:$C,V$43,Рудник!$B:$B,$A48)</f>
        <v>3</v>
      </c>
      <c r="W48" s="99">
        <f>IFERROR(IF(V48&lt;&gt;0,AVERAGEIFS(Рудник!$D:$D,Рудник!$B:$B,$A48,Рудник!$C:$C,V$43),"~"),"~")</f>
        <v>1.3333333333333333</v>
      </c>
      <c r="X48" s="99">
        <f>COUNTIFS(Рудник!$C:$C,X$43,Рудник!$B:$B,$A48)</f>
        <v>6</v>
      </c>
      <c r="Y48" s="99">
        <f>IFERROR(IF(X48&lt;&gt;0,AVERAGEIFS(Рудник!$D:$D,Рудник!$B:$B,$A48,Рудник!$C:$C,X$43),"~"),"~")</f>
        <v>8.1666666666666661</v>
      </c>
      <c r="Z48" s="99">
        <f>COUNTIFS(Рудник!$C:$C,Z$43,Рудник!$B:$B,$A48)</f>
        <v>16</v>
      </c>
      <c r="AA48" s="99">
        <f>IFERROR(IF(Z48&lt;&gt;0,AVERAGEIFS(Рудник!$D:$D,Рудник!$B:$B,$A48,Рудник!$C:$C,Z$43),"~"),"~")</f>
        <v>6.0666666666666664</v>
      </c>
      <c r="AB48" s="99">
        <f>COUNTIFS(Рудник!$C:$C,AB$43,Рудник!$B:$B,$A48)</f>
        <v>1</v>
      </c>
      <c r="AC48" s="99">
        <f>IFERROR(IF(AB48&lt;&gt;0,AVERAGEIFS(Рудник!$D:$D,Рудник!$B:$B,$A48,Рудник!$C:$C,AB$43),"~"),"~")</f>
        <v>13</v>
      </c>
      <c r="AD48" s="99">
        <f>COUNTIFS(Рудник!$C:$C,AD$43,Рудник!$B:$B,$A48)</f>
        <v>1</v>
      </c>
      <c r="AE48" s="99">
        <f>IFERROR(IF(AD48&lt;&gt;0,AVERAGEIFS(Рудник!$D:$D,Рудник!$B:$B,$A48,Рудник!$C:$C,AD$43),"~"),"~")</f>
        <v>8</v>
      </c>
      <c r="AF48" s="99">
        <f>COUNTIFS(Рудник!$C:$C,AF$43,Рудник!$B:$B,$A48)</f>
        <v>0</v>
      </c>
      <c r="AG48" s="99" t="str">
        <f>IFERROR(IF(AF48&lt;&gt;0,AVERAGEIFS(Рудник!$D:$D,Рудник!$B:$B,$A48,Рудник!$C:$C,AF$43),"~"),"~")</f>
        <v>~</v>
      </c>
      <c r="AH48" s="99">
        <f>COUNTIFS(Рудник!$C:$C,AH$43,Рудник!$B:$B,$A48)</f>
        <v>0</v>
      </c>
    </row>
    <row r="49" spans="1:34" ht="15.75" x14ac:dyDescent="0.25">
      <c r="A49" s="8" t="s">
        <v>14</v>
      </c>
      <c r="B49" s="99">
        <f>COUNTIFS(Рудник!$C:$C,B$43,Рудник!B:B,$A49)</f>
        <v>1</v>
      </c>
      <c r="C49" s="99">
        <f>IFERROR(IF(B49&lt;&gt;0,AVERAGEIFS(Рудник!$D:$D,Рудник!B:B,$A49,Рудник!C:C,B$43),"~"),"~")</f>
        <v>1</v>
      </c>
      <c r="D49" s="99">
        <f>COUNTIFS(Рудник!$C:$C,D$43,Рудник!D:D,$A49)</f>
        <v>0</v>
      </c>
      <c r="E49" s="99" t="str">
        <f>IFERROR(IF(D49&lt;&gt;0,AVERAGEIFS(Рудник!$D:$D,Рудник!D:D,$A49,Рудник!E:E,D$43),"~"),"~")</f>
        <v>~</v>
      </c>
      <c r="F49" s="99">
        <f>COUNTIFS(Рудник!$C:$C,F$43,Рудник!F:F,$A49)</f>
        <v>0</v>
      </c>
      <c r="G49" s="99" t="str">
        <f>IFERROR(IF(F49&lt;&gt;0,AVERAGEIFS(Рудник!$D:$D,Рудник!F:F,$A49,Рудник!G:G,F$43),"~"),"~")</f>
        <v>~</v>
      </c>
      <c r="H49" s="99">
        <f>COUNTIFS(Рудник!$C:$C,H$43,Рудник!$B:$B,$A49)</f>
        <v>0</v>
      </c>
      <c r="I49" s="99" t="str">
        <f>IFERROR(IF(H49&lt;&gt;0,AVERAGEIFS(Рудник!$D:$D,Рудник!$B:$B,$A49,Рудник!$C:$C,H$43),"~"),"~")</f>
        <v>~</v>
      </c>
      <c r="J49" s="99">
        <f>COUNTIFS(Рудник!$C:$C,J$43,Рудник!$B:$B,$A49)</f>
        <v>1</v>
      </c>
      <c r="K49" s="99">
        <f>IFERROR(IF(J49&lt;&gt;0,AVERAGEIFS(Рудник!$D:$D,Рудник!$B:$B,$A49,Рудник!$C:$C,J$43),"~"),"~")</f>
        <v>0</v>
      </c>
      <c r="L49" s="99">
        <f>COUNTIFS(Рудник!$C:$C,L$43,Рудник!$B:$B,$A49)</f>
        <v>0</v>
      </c>
      <c r="M49" s="99" t="str">
        <f>IFERROR(IF(L49&lt;&gt;0,AVERAGEIFS(Рудник!$D:$D,Рудник!$B:$B,$A49,Рудник!$C:$C,L$43),"~"),"~")</f>
        <v>~</v>
      </c>
      <c r="N49" s="99">
        <f>COUNTIFS(Рудник!$C:$C,N$43,Рудник!$B:$B,$A49)</f>
        <v>0</v>
      </c>
      <c r="O49" s="99" t="str">
        <f>IFERROR(IF(N49&lt;&gt;0,AVERAGEIFS(Рудник!$D:$D,Рудник!$B:$B,$A49,Рудник!$C:$C,N$43),"~"),"~")</f>
        <v>~</v>
      </c>
      <c r="P49" s="99">
        <f>COUNTIFS(Рудник!$C:$C,P$43,Рудник!$B:$B,$A49)</f>
        <v>0</v>
      </c>
      <c r="Q49" s="99" t="str">
        <f>IFERROR(IF(P49&lt;&gt;0,AVERAGEIFS(Рудник!$D:$D,Рудник!$B:$B,$A49,Рудник!$C:$C,P$43),"~"),"~")</f>
        <v>~</v>
      </c>
      <c r="R49" s="99">
        <f>COUNTIFS(Рудник!$C:$C,R$43,Рудник!$B:$B,$A49)</f>
        <v>4</v>
      </c>
      <c r="S49" s="99">
        <f>IFERROR(IF(R49&lt;&gt;0,AVERAGEIFS(Рудник!$D:$D,Рудник!$B:$B,$A49,Рудник!$C:$C,R$43),"~"),"~")</f>
        <v>4</v>
      </c>
      <c r="T49" s="99">
        <f>COUNTIFS(Рудник!$C:$C,T$43,Рудник!$B:$B,$A49)</f>
        <v>1</v>
      </c>
      <c r="U49" s="99">
        <f>IFERROR(IF(T49&lt;&gt;0,AVERAGEIFS(Рудник!$D:$D,Рудник!$B:$B,$A49,Рудник!$C:$C,T$43),"~"),"~")</f>
        <v>1</v>
      </c>
      <c r="V49" s="99">
        <f>COUNTIFS(Рудник!$C:$C,V$43,Рудник!$B:$B,$A49)</f>
        <v>4</v>
      </c>
      <c r="W49" s="99">
        <f>IFERROR(IF(V49&lt;&gt;0,AVERAGEIFS(Рудник!$D:$D,Рудник!$B:$B,$A49,Рудник!$C:$C,V$43),"~"),"~")</f>
        <v>2.25</v>
      </c>
      <c r="X49" s="99">
        <f>COUNTIFS(Рудник!$C:$C,X$43,Рудник!$B:$B,$A49)</f>
        <v>3</v>
      </c>
      <c r="Y49" s="99">
        <f>IFERROR(IF(X49&lt;&gt;0,AVERAGEIFS(Рудник!$D:$D,Рудник!$B:$B,$A49,Рудник!$C:$C,X$43),"~"),"~")</f>
        <v>12.333333333333334</v>
      </c>
      <c r="Z49" s="99">
        <f>COUNTIFS(Рудник!$C:$C,Z$43,Рудник!$B:$B,$A49)</f>
        <v>15</v>
      </c>
      <c r="AA49" s="99">
        <f>IFERROR(IF(Z49&lt;&gt;0,AVERAGEIFS(Рудник!$D:$D,Рудник!$B:$B,$A49,Рудник!$C:$C,Z$43),"~"),"~")</f>
        <v>6.5714285714285712</v>
      </c>
      <c r="AB49" s="99">
        <f>COUNTIFS(Рудник!$C:$C,AB$43,Рудник!$B:$B,$A49)</f>
        <v>1</v>
      </c>
      <c r="AC49" s="99">
        <f>IFERROR(IF(AB49&lt;&gt;0,AVERAGEIFS(Рудник!$D:$D,Рудник!$B:$B,$A49,Рудник!$C:$C,AB$43),"~"),"~")</f>
        <v>11</v>
      </c>
      <c r="AD49" s="99">
        <f>COUNTIFS(Рудник!$C:$C,AD$43,Рудник!$B:$B,$A49)</f>
        <v>1</v>
      </c>
      <c r="AE49" s="99">
        <f>IFERROR(IF(AD49&lt;&gt;0,AVERAGEIFS(Рудник!$D:$D,Рудник!$B:$B,$A49,Рудник!$C:$C,AD$43),"~"),"~")</f>
        <v>9</v>
      </c>
      <c r="AF49" s="99">
        <f>COUNTIFS(Рудник!$C:$C,AF$43,Рудник!$B:$B,$A49)</f>
        <v>0</v>
      </c>
      <c r="AG49" s="99" t="str">
        <f>IFERROR(IF(AF49&lt;&gt;0,AVERAGEIFS(Рудник!$D:$D,Рудник!$B:$B,$A49,Рудник!$C:$C,AF$43),"~"),"~")</f>
        <v>~</v>
      </c>
      <c r="AH49" s="99">
        <f>COUNTIFS(Рудник!$C:$C,AH$43,Рудник!$B:$B,$A49)</f>
        <v>0</v>
      </c>
    </row>
    <row r="50" spans="1:34" ht="15.75" x14ac:dyDescent="0.25">
      <c r="A50" s="8" t="s">
        <v>15</v>
      </c>
      <c r="B50" s="99">
        <f>COUNTIFS(Рудник!$C:$C,B$43,Рудник!B:B,$A50)</f>
        <v>0</v>
      </c>
      <c r="C50" s="99" t="str">
        <f>IFERROR(IF(B50&lt;&gt;0,AVERAGEIFS(Рудник!$D:$D,Рудник!B:B,$A50,Рудник!C:C,B$43),"~"),"~")</f>
        <v>~</v>
      </c>
      <c r="D50" s="99">
        <f>COUNTIFS(Рудник!$C:$C,D$43,Рудник!D:D,$A50)</f>
        <v>0</v>
      </c>
      <c r="E50" s="99" t="str">
        <f>IFERROR(IF(D50&lt;&gt;0,AVERAGEIFS(Рудник!$D:$D,Рудник!D:D,$A50,Рудник!E:E,D$43),"~"),"~")</f>
        <v>~</v>
      </c>
      <c r="F50" s="99">
        <f>COUNTIFS(Рудник!$C:$C,F$43,Рудник!F:F,$A50)</f>
        <v>0</v>
      </c>
      <c r="G50" s="99" t="str">
        <f>IFERROR(IF(F50&lt;&gt;0,AVERAGEIFS(Рудник!$D:$D,Рудник!F:F,$A50,Рудник!G:G,F$43),"~"),"~")</f>
        <v>~</v>
      </c>
      <c r="H50" s="99">
        <f>COUNTIFS(Рудник!$C:$C,H$43,Рудник!$B:$B,$A50)</f>
        <v>0</v>
      </c>
      <c r="I50" s="99" t="str">
        <f>IFERROR(IF(H50&lt;&gt;0,AVERAGEIFS(Рудник!$D:$D,Рудник!$B:$B,$A50,Рудник!$C:$C,H$43),"~"),"~")</f>
        <v>~</v>
      </c>
      <c r="J50" s="99">
        <f>COUNTIFS(Рудник!$C:$C,J$43,Рудник!$B:$B,$A50)</f>
        <v>2</v>
      </c>
      <c r="K50" s="99">
        <f>IFERROR(IF(J50&lt;&gt;0,AVERAGEIFS(Рудник!$D:$D,Рудник!$B:$B,$A50,Рудник!$C:$C,J$43),"~"),"~")</f>
        <v>4</v>
      </c>
      <c r="L50" s="99">
        <f>COUNTIFS(Рудник!$C:$C,L$43,Рудник!$B:$B,$A50)</f>
        <v>0</v>
      </c>
      <c r="M50" s="99" t="str">
        <f>IFERROR(IF(L50&lt;&gt;0,AVERAGEIFS(Рудник!$D:$D,Рудник!$B:$B,$A50,Рудник!$C:$C,L$43),"~"),"~")</f>
        <v>~</v>
      </c>
      <c r="N50" s="99">
        <f>COUNTIFS(Рудник!$C:$C,N$43,Рудник!$B:$B,$A50)</f>
        <v>2</v>
      </c>
      <c r="O50" s="99">
        <f>IFERROR(IF(N50&lt;&gt;0,AVERAGEIFS(Рудник!$D:$D,Рудник!$B:$B,$A50,Рудник!$C:$C,N$43),"~"),"~")</f>
        <v>2.5</v>
      </c>
      <c r="P50" s="99">
        <f>COUNTIFS(Рудник!$C:$C,P$43,Рудник!$B:$B,$A50)</f>
        <v>0</v>
      </c>
      <c r="Q50" s="99" t="str">
        <f>IFERROR(IF(P50&lt;&gt;0,AVERAGEIFS(Рудник!$D:$D,Рудник!$B:$B,$A50,Рудник!$C:$C,P$43),"~"),"~")</f>
        <v>~</v>
      </c>
      <c r="R50" s="99">
        <f>COUNTIFS(Рудник!$C:$C,R$43,Рудник!$B:$B,$A50)</f>
        <v>3</v>
      </c>
      <c r="S50" s="99">
        <f>IFERROR(IF(R50&lt;&gt;0,AVERAGEIFS(Рудник!$D:$D,Рудник!$B:$B,$A50,Рудник!$C:$C,R$43),"~"),"~")</f>
        <v>5.333333333333333</v>
      </c>
      <c r="T50" s="99">
        <f>COUNTIFS(Рудник!$C:$C,T$43,Рудник!$B:$B,$A50)</f>
        <v>0</v>
      </c>
      <c r="U50" s="99" t="str">
        <f>IFERROR(IF(T50&lt;&gt;0,AVERAGEIFS(Рудник!$D:$D,Рудник!$B:$B,$A50,Рудник!$C:$C,T$43),"~"),"~")</f>
        <v>~</v>
      </c>
      <c r="V50" s="99">
        <f>COUNTIFS(Рудник!$C:$C,V$43,Рудник!$B:$B,$A50)</f>
        <v>2</v>
      </c>
      <c r="W50" s="99">
        <f>IFERROR(IF(V50&lt;&gt;0,AVERAGEIFS(Рудник!$D:$D,Рудник!$B:$B,$A50,Рудник!$C:$C,V$43),"~"),"~")</f>
        <v>1</v>
      </c>
      <c r="X50" s="99">
        <f>COUNTIFS(Рудник!$C:$C,X$43,Рудник!$B:$B,$A50)</f>
        <v>4</v>
      </c>
      <c r="Y50" s="99">
        <f>IFERROR(IF(X50&lt;&gt;0,AVERAGEIFS(Рудник!$D:$D,Рудник!$B:$B,$A50,Рудник!$C:$C,X$43),"~"),"~")</f>
        <v>2.5</v>
      </c>
      <c r="Z50" s="99">
        <f>COUNTIFS(Рудник!$C:$C,Z$43,Рудник!$B:$B,$A50)</f>
        <v>16</v>
      </c>
      <c r="AA50" s="99">
        <f>IFERROR(IF(Z50&lt;&gt;0,AVERAGEIFS(Рудник!$D:$D,Рудник!$B:$B,$A50,Рудник!$C:$C,Z$43),"~"),"~")</f>
        <v>7.7142857142857144</v>
      </c>
      <c r="AB50" s="99">
        <f>COUNTIFS(Рудник!$C:$C,AB$43,Рудник!$B:$B,$A50)</f>
        <v>1</v>
      </c>
      <c r="AC50" s="99">
        <f>IFERROR(IF(AB50&lt;&gt;0,AVERAGEIFS(Рудник!$D:$D,Рудник!$B:$B,$A50,Рудник!$C:$C,AB$43),"~"),"~")</f>
        <v>13</v>
      </c>
      <c r="AD50" s="99">
        <f>COUNTIFS(Рудник!$C:$C,AD$43,Рудник!$B:$B,$A50)</f>
        <v>1</v>
      </c>
      <c r="AE50" s="99">
        <f>IFERROR(IF(AD50&lt;&gt;0,AVERAGEIFS(Рудник!$D:$D,Рудник!$B:$B,$A50,Рудник!$C:$C,AD$43),"~"),"~")</f>
        <v>9</v>
      </c>
      <c r="AF50" s="99">
        <f>COUNTIFS(Рудник!$C:$C,AF$43,Рудник!$B:$B,$A50)</f>
        <v>0</v>
      </c>
      <c r="AG50" s="99" t="str">
        <f>IFERROR(IF(AF50&lt;&gt;0,AVERAGEIFS(Рудник!$D:$D,Рудник!$B:$B,$A50,Рудник!$C:$C,AF$43),"~"),"~")</f>
        <v>~</v>
      </c>
      <c r="AH50" s="99">
        <f>COUNTIFS(Рудник!$C:$C,AH$43,Рудник!$B:$B,$A50)</f>
        <v>0</v>
      </c>
    </row>
    <row r="51" spans="1:34" ht="15.75" x14ac:dyDescent="0.25">
      <c r="A51" s="8" t="s">
        <v>16</v>
      </c>
      <c r="B51" s="99">
        <f>COUNTIFS(Рудник!$C:$C,B$43,Рудник!B:B,$A51)</f>
        <v>0</v>
      </c>
      <c r="C51" s="99" t="str">
        <f>IFERROR(IF(B51&lt;&gt;0,AVERAGEIFS(Рудник!$D:$D,Рудник!B:B,$A51,Рудник!C:C,B$43),"~"),"~")</f>
        <v>~</v>
      </c>
      <c r="D51" s="99">
        <f>COUNTIFS(Рудник!$C:$C,D$43,Рудник!D:D,$A51)</f>
        <v>0</v>
      </c>
      <c r="E51" s="99" t="str">
        <f>IFERROR(IF(D51&lt;&gt;0,AVERAGEIFS(Рудник!$D:$D,Рудник!D:D,$A51,Рудник!E:E,D$43),"~"),"~")</f>
        <v>~</v>
      </c>
      <c r="F51" s="99">
        <f>COUNTIFS(Рудник!$C:$C,F$43,Рудник!F:F,$A51)</f>
        <v>0</v>
      </c>
      <c r="G51" s="99" t="str">
        <f>IFERROR(IF(F51&lt;&gt;0,AVERAGEIFS(Рудник!$D:$D,Рудник!F:F,$A51,Рудник!G:G,F$43),"~"),"~")</f>
        <v>~</v>
      </c>
      <c r="H51" s="99">
        <f>COUNTIFS(Рудник!$C:$C,H$43,Рудник!$B:$B,$A51)</f>
        <v>0</v>
      </c>
      <c r="I51" s="99" t="str">
        <f>IFERROR(IF(H51&lt;&gt;0,AVERAGEIFS(Рудник!$D:$D,Рудник!$B:$B,$A51,Рудник!$C:$C,H$43),"~"),"~")</f>
        <v>~</v>
      </c>
      <c r="J51" s="99">
        <f>COUNTIFS(Рудник!$C:$C,J$43,Рудник!$B:$B,$A51)</f>
        <v>2</v>
      </c>
      <c r="K51" s="99">
        <f>IFERROR(IF(J51&lt;&gt;0,AVERAGEIFS(Рудник!$D:$D,Рудник!$B:$B,$A51,Рудник!$C:$C,J$43),"~"),"~")</f>
        <v>4.5</v>
      </c>
      <c r="L51" s="99">
        <f>COUNTIFS(Рудник!$C:$C,L$43,Рудник!$B:$B,$A51)</f>
        <v>0</v>
      </c>
      <c r="M51" s="99" t="str">
        <f>IFERROR(IF(L51&lt;&gt;0,AVERAGEIFS(Рудник!$D:$D,Рудник!$B:$B,$A51,Рудник!$C:$C,L$43),"~"),"~")</f>
        <v>~</v>
      </c>
      <c r="N51" s="99">
        <f>COUNTIFS(Рудник!$C:$C,N$43,Рудник!$B:$B,$A51)</f>
        <v>1</v>
      </c>
      <c r="O51" s="99">
        <f>IFERROR(IF(N51&lt;&gt;0,AVERAGEIFS(Рудник!$D:$D,Рудник!$B:$B,$A51,Рудник!$C:$C,N$43),"~"),"~")</f>
        <v>0</v>
      </c>
      <c r="P51" s="99">
        <f>COUNTIFS(Рудник!$C:$C,P$43,Рудник!$B:$B,$A51)</f>
        <v>1</v>
      </c>
      <c r="Q51" s="99">
        <f>IFERROR(IF(P51&lt;&gt;0,AVERAGEIFS(Рудник!$D:$D,Рудник!$B:$B,$A51,Рудник!$C:$C,P$43),"~"),"~")</f>
        <v>1</v>
      </c>
      <c r="R51" s="99">
        <f>COUNTIFS(Рудник!$C:$C,R$43,Рудник!$B:$B,$A51)</f>
        <v>3</v>
      </c>
      <c r="S51" s="99">
        <f>IFERROR(IF(R51&lt;&gt;0,AVERAGEIFS(Рудник!$D:$D,Рудник!$B:$B,$A51,Рудник!$C:$C,R$43),"~"),"~")</f>
        <v>4.333333333333333</v>
      </c>
      <c r="T51" s="99">
        <f>COUNTIFS(Рудник!$C:$C,T$43,Рудник!$B:$B,$A51)</f>
        <v>0</v>
      </c>
      <c r="U51" s="99" t="str">
        <f>IFERROR(IF(T51&lt;&gt;0,AVERAGEIFS(Рудник!$D:$D,Рудник!$B:$B,$A51,Рудник!$C:$C,T$43),"~"),"~")</f>
        <v>~</v>
      </c>
      <c r="V51" s="99">
        <f>COUNTIFS(Рудник!$C:$C,V$43,Рудник!$B:$B,$A51)</f>
        <v>0</v>
      </c>
      <c r="W51" s="99" t="str">
        <f>IFERROR(IF(V51&lt;&gt;0,AVERAGEIFS(Рудник!$D:$D,Рудник!$B:$B,$A51,Рудник!$C:$C,V$43),"~"),"~")</f>
        <v>~</v>
      </c>
      <c r="X51" s="99">
        <f>COUNTIFS(Рудник!$C:$C,X$43,Рудник!$B:$B,$A51)</f>
        <v>4</v>
      </c>
      <c r="Y51" s="99">
        <f>IFERROR(IF(X51&lt;&gt;0,AVERAGEIFS(Рудник!$D:$D,Рудник!$B:$B,$A51,Рудник!$C:$C,X$43),"~"),"~")</f>
        <v>5.5</v>
      </c>
      <c r="Z51" s="99">
        <f>COUNTIFS(Рудник!$C:$C,Z$43,Рудник!$B:$B,$A51)</f>
        <v>18</v>
      </c>
      <c r="AA51" s="99">
        <f>IFERROR(IF(Z51&lt;&gt;0,AVERAGEIFS(Рудник!$D:$D,Рудник!$B:$B,$A51,Рудник!$C:$C,Z$43),"~"),"~")</f>
        <v>8.6470588235294112</v>
      </c>
      <c r="AB51" s="99">
        <f>COUNTIFS(Рудник!$C:$C,AB$43,Рудник!$B:$B,$A51)</f>
        <v>0</v>
      </c>
      <c r="AC51" s="99" t="str">
        <f>IFERROR(IF(AB51&lt;&gt;0,AVERAGEIFS(Рудник!$D:$D,Рудник!$B:$B,$A51,Рудник!$C:$C,AB$43),"~"),"~")</f>
        <v>~</v>
      </c>
      <c r="AD51" s="99">
        <f>COUNTIFS(Рудник!$C:$C,AD$43,Рудник!$B:$B,$A51)</f>
        <v>2</v>
      </c>
      <c r="AE51" s="99">
        <f>IFERROR(IF(AD51&lt;&gt;0,AVERAGEIFS(Рудник!$D:$D,Рудник!$B:$B,$A51,Рудник!$C:$C,AD$43),"~"),"~")</f>
        <v>5</v>
      </c>
      <c r="AF51" s="99">
        <f>COUNTIFS(Рудник!$C:$C,AF$43,Рудник!$B:$B,$A51)</f>
        <v>0</v>
      </c>
      <c r="AG51" s="99" t="str">
        <f>IFERROR(IF(AF51&lt;&gt;0,AVERAGEIFS(Рудник!$D:$D,Рудник!$B:$B,$A51,Рудник!$C:$C,AF$43),"~"),"~")</f>
        <v>~</v>
      </c>
      <c r="AH51" s="99">
        <f>COUNTIFS(Рудник!$C:$C,AH$43,Рудник!$B:$B,$A51)</f>
        <v>0</v>
      </c>
    </row>
    <row r="52" spans="1:34" ht="15.75" x14ac:dyDescent="0.25">
      <c r="A52" s="102" t="s">
        <v>17</v>
      </c>
      <c r="B52" s="99">
        <f>COUNTIFS(Рудник!$C:$C,B$43,Рудник!B:B,$A52)</f>
        <v>0</v>
      </c>
      <c r="C52" s="99" t="str">
        <f>IFERROR(IF(B52&lt;&gt;0,AVERAGEIFS(Рудник!$D:$D,Рудник!B:B,$A52,Рудник!C:C,B$43),"~"),"~")</f>
        <v>~</v>
      </c>
      <c r="D52" s="99">
        <f>COUNTIFS(Рудник!$C:$C,D$43,Рудник!D:D,$A52)</f>
        <v>0</v>
      </c>
      <c r="E52" s="99" t="str">
        <f>IFERROR(IF(D52&lt;&gt;0,AVERAGEIFS(Рудник!$D:$D,Рудник!D:D,$A52,Рудник!E:E,D$43),"~"),"~")</f>
        <v>~</v>
      </c>
      <c r="F52" s="99">
        <f>COUNTIFS(Рудник!$C:$C,F$43,Рудник!F:F,$A52)</f>
        <v>0</v>
      </c>
      <c r="G52" s="99" t="str">
        <f>IFERROR(IF(F52&lt;&gt;0,AVERAGEIFS(Рудник!$D:$D,Рудник!F:F,$A52,Рудник!G:G,F$43),"~"),"~")</f>
        <v>~</v>
      </c>
      <c r="H52" s="99">
        <f>COUNTIFS(Рудник!$C:$C,H$43,Рудник!$B:$B,$A52)</f>
        <v>0</v>
      </c>
      <c r="I52" s="99" t="str">
        <f>IFERROR(IF(H52&lt;&gt;0,AVERAGEIFS(Рудник!$D:$D,Рудник!$B:$B,$A52,Рудник!$C:$C,H$43),"~"),"~")</f>
        <v>~</v>
      </c>
      <c r="J52" s="99">
        <f>COUNTIFS(Рудник!$C:$C,J$43,Рудник!$B:$B,$A52)</f>
        <v>2</v>
      </c>
      <c r="K52" s="99">
        <f>IFERROR(IF(J52&lt;&gt;0,AVERAGEIFS(Рудник!$D:$D,Рудник!$B:$B,$A52,Рудник!$C:$C,J$43),"~"),"~")</f>
        <v>4.5</v>
      </c>
      <c r="L52" s="99">
        <f>COUNTIFS(Рудник!$C:$C,L$43,Рудник!$B:$B,$A52)</f>
        <v>0</v>
      </c>
      <c r="M52" s="99" t="str">
        <f>IFERROR(IF(L52&lt;&gt;0,AVERAGEIFS(Рудник!$D:$D,Рудник!$B:$B,$A52,Рудник!$C:$C,L$43),"~"),"~")</f>
        <v>~</v>
      </c>
      <c r="N52" s="99">
        <f>COUNTIFS(Рудник!$C:$C,N$43,Рудник!$B:$B,$A52)</f>
        <v>1</v>
      </c>
      <c r="O52" s="99">
        <f>IFERROR(IF(N52&lt;&gt;0,AVERAGEIFS(Рудник!$D:$D,Рудник!$B:$B,$A52,Рудник!$C:$C,N$43),"~"),"~")</f>
        <v>1</v>
      </c>
      <c r="P52" s="99">
        <f>COUNTIFS(Рудник!$C:$C,P$43,Рудник!$B:$B,$A52)</f>
        <v>0</v>
      </c>
      <c r="Q52" s="99" t="str">
        <f>IFERROR(IF(P52&lt;&gt;0,AVERAGEIFS(Рудник!$D:$D,Рудник!$B:$B,$A52,Рудник!$C:$C,P$43),"~"),"~")</f>
        <v>~</v>
      </c>
      <c r="R52" s="99">
        <f>COUNTIFS(Рудник!$C:$C,R$43,Рудник!$B:$B,$A52)</f>
        <v>3</v>
      </c>
      <c r="S52" s="99">
        <f>IFERROR(IF(R52&lt;&gt;0,AVERAGEIFS(Рудник!$D:$D,Рудник!$B:$B,$A52,Рудник!$C:$C,R$43),"~"),"~")</f>
        <v>4.333333333333333</v>
      </c>
      <c r="T52" s="99">
        <f>COUNTIFS(Рудник!$C:$C,T$43,Рудник!$B:$B,$A52)</f>
        <v>0</v>
      </c>
      <c r="U52" s="99" t="str">
        <f>IFERROR(IF(T52&lt;&gt;0,AVERAGEIFS(Рудник!$D:$D,Рудник!$B:$B,$A52,Рудник!$C:$C,T$43),"~"),"~")</f>
        <v>~</v>
      </c>
      <c r="V52" s="99">
        <f>COUNTIFS(Рудник!$C:$C,V$43,Рудник!$B:$B,$A52)</f>
        <v>1</v>
      </c>
      <c r="W52" s="99">
        <f>IFERROR(IF(V52&lt;&gt;0,AVERAGEIFS(Рудник!$D:$D,Рудник!$B:$B,$A52,Рудник!$C:$C,V$43),"~"),"~")</f>
        <v>3</v>
      </c>
      <c r="X52" s="99">
        <f>COUNTIFS(Рудник!$C:$C,X$43,Рудник!$B:$B,$A52)</f>
        <v>1</v>
      </c>
      <c r="Y52" s="99">
        <f>IFERROR(IF(X52&lt;&gt;0,AVERAGEIFS(Рудник!$D:$D,Рудник!$B:$B,$A52,Рудник!$C:$C,X$43),"~"),"~")</f>
        <v>1</v>
      </c>
      <c r="Z52" s="99">
        <f>COUNTIFS(Рудник!$C:$C,Z$43,Рудник!$B:$B,$A52)</f>
        <v>19</v>
      </c>
      <c r="AA52" s="99">
        <f>IFERROR(IF(Z52&lt;&gt;0,AVERAGEIFS(Рудник!$D:$D,Рудник!$B:$B,$A52,Рудник!$C:$C,Z$43),"~"),"~")</f>
        <v>7.8888888888888893</v>
      </c>
      <c r="AB52" s="99">
        <f>COUNTIFS(Рудник!$C:$C,AB$43,Рудник!$B:$B,$A52)</f>
        <v>1</v>
      </c>
      <c r="AC52" s="99">
        <f>IFERROR(IF(AB52&lt;&gt;0,AVERAGEIFS(Рудник!$D:$D,Рудник!$B:$B,$A52,Рудник!$C:$C,AB$43),"~"),"~")</f>
        <v>2</v>
      </c>
      <c r="AD52" s="99">
        <f>COUNTIFS(Рудник!$C:$C,AD$43,Рудник!$B:$B,$A52)</f>
        <v>1</v>
      </c>
      <c r="AE52" s="99">
        <f>IFERROR(IF(AD52&lt;&gt;0,AVERAGEIFS(Рудник!$D:$D,Рудник!$B:$B,$A52,Рудник!$C:$C,AD$43),"~"),"~")</f>
        <v>27</v>
      </c>
      <c r="AF52" s="99">
        <f>COUNTIFS(Рудник!$C:$C,AF$43,Рудник!$B:$B,$A52)</f>
        <v>0</v>
      </c>
      <c r="AG52" s="99" t="str">
        <f>IFERROR(IF(AF52&lt;&gt;0,AVERAGEIFS(Рудник!$D:$D,Рудник!$B:$B,$A52,Рудник!$C:$C,AF$43),"~"),"~")</f>
        <v>~</v>
      </c>
      <c r="AH52" s="99">
        <f>COUNTIFS(Рудник!$C:$C,AH$43,Рудник!$B:$B,$A52)</f>
        <v>0</v>
      </c>
    </row>
    <row r="53" spans="1:34" ht="15.75" x14ac:dyDescent="0.25">
      <c r="A53" s="103" t="s">
        <v>77</v>
      </c>
      <c r="B53" s="92">
        <f>SUM(B45:B52)</f>
        <v>1</v>
      </c>
      <c r="C53" s="92"/>
      <c r="D53" s="92">
        <f>SUM(D45:D52)</f>
        <v>0</v>
      </c>
      <c r="E53" s="92"/>
      <c r="F53" s="92">
        <f>SUM(F45:F52)</f>
        <v>0</v>
      </c>
      <c r="G53" s="92"/>
      <c r="H53" s="92">
        <f>SUM(H45:H52)</f>
        <v>0</v>
      </c>
      <c r="I53" s="92"/>
      <c r="J53" s="92">
        <f>SUM(J45:J52)</f>
        <v>10</v>
      </c>
      <c r="K53" s="92"/>
      <c r="L53" s="92">
        <f>SUM(L45:L52)</f>
        <v>0</v>
      </c>
      <c r="M53" s="92"/>
      <c r="N53" s="92">
        <f>SUM(N45:N52)</f>
        <v>6</v>
      </c>
      <c r="O53" s="92"/>
      <c r="P53" s="92">
        <f>SUM(P45:P52)</f>
        <v>1</v>
      </c>
      <c r="Q53" s="92"/>
      <c r="R53" s="92">
        <f>SUM(R45:R52)</f>
        <v>22</v>
      </c>
      <c r="S53" s="92"/>
      <c r="T53" s="92">
        <f>SUM(T45:T52)</f>
        <v>1</v>
      </c>
      <c r="U53" s="92"/>
      <c r="V53" s="92">
        <f>SUM(V45:V52)</f>
        <v>15</v>
      </c>
      <c r="W53" s="92"/>
      <c r="X53" s="92">
        <f>SUM(X45:X52)</f>
        <v>27</v>
      </c>
      <c r="Y53" s="92"/>
      <c r="Z53" s="92">
        <f>SUM(Z45:Z52)</f>
        <v>135</v>
      </c>
      <c r="AA53" s="92"/>
      <c r="AB53" s="92">
        <f>SUM(AB45:AB52)</f>
        <v>14</v>
      </c>
      <c r="AC53" s="92"/>
      <c r="AD53" s="92">
        <f>SUM(AD45:AD52)</f>
        <v>11</v>
      </c>
      <c r="AE53" s="92"/>
      <c r="AF53" s="92">
        <f>SUM(AF45:AF52)</f>
        <v>0</v>
      </c>
      <c r="AG53" s="92"/>
      <c r="AH53" s="92">
        <f>SUM(AH45:AH52)</f>
        <v>0</v>
      </c>
    </row>
    <row r="54" spans="1:34" s="3" customFormat="1" ht="16.5" thickBot="1" x14ac:dyDescent="0.3">
      <c r="A54" s="134" t="s">
        <v>78</v>
      </c>
      <c r="B54" s="91">
        <f>AVERAGE(B45:B52)</f>
        <v>0.125</v>
      </c>
      <c r="C54" s="133">
        <f>IF(SUM(C45:C52)&lt;&gt;0,AVERAGE(C45:C52),"~")</f>
        <v>1</v>
      </c>
      <c r="D54" s="91">
        <f>AVERAGE(D45:D52)</f>
        <v>0</v>
      </c>
      <c r="E54" s="133" t="str">
        <f>IF(SUM(E45:E52)&lt;&gt;0,AVERAGE(E45:E52),"~")</f>
        <v>~</v>
      </c>
      <c r="F54" s="91">
        <f>AVERAGE(F45:F52)</f>
        <v>0</v>
      </c>
      <c r="G54" s="133" t="str">
        <f>IF(SUM(G45:G52)&lt;&gt;0,AVERAGE(G45:G52),"~")</f>
        <v>~</v>
      </c>
      <c r="H54" s="91">
        <f>AVERAGE(H45:H52)</f>
        <v>0</v>
      </c>
      <c r="I54" s="133" t="str">
        <f>IF(SUM(I45:I52)&lt;&gt;0,AVERAGE(I45:I52),"~")</f>
        <v>~</v>
      </c>
      <c r="J54" s="91">
        <f>AVERAGE(J45:J52)</f>
        <v>1.25</v>
      </c>
      <c r="K54" s="133">
        <f>IF(SUM(K45:K52)&lt;&gt;0,AVERAGE(K45:K52),"~")</f>
        <v>1.8571428571428572</v>
      </c>
      <c r="L54" s="91">
        <f>AVERAGE(L45:L52)</f>
        <v>0</v>
      </c>
      <c r="M54" s="133" t="str">
        <f>IF(SUM(M45:M52)&lt;&gt;0,AVERAGE(M45:M52),"~")</f>
        <v>~</v>
      </c>
      <c r="N54" s="91">
        <f>AVERAGE(N45:N52)</f>
        <v>0.75</v>
      </c>
      <c r="O54" s="133">
        <f>IF(SUM(O45:O52)&lt;&gt;0,AVERAGE(O45:O52),"~")</f>
        <v>1.3</v>
      </c>
      <c r="P54" s="91">
        <f>AVERAGE(P45:P52)</f>
        <v>0.125</v>
      </c>
      <c r="Q54" s="133">
        <f>IF(SUM(Q45:Q52)&lt;&gt;0,AVERAGE(Q45:Q52),"~")</f>
        <v>1</v>
      </c>
      <c r="R54" s="91">
        <f>AVERAGE(R45:R52)</f>
        <v>2.75</v>
      </c>
      <c r="S54" s="133">
        <f>IF(SUM(S45:S52)&lt;&gt;0,AVERAGE(S45:S52),"~")</f>
        <v>4.8958333333333339</v>
      </c>
      <c r="T54" s="91">
        <f>AVERAGE(T45:T52)</f>
        <v>0.125</v>
      </c>
      <c r="U54" s="133">
        <f>IF(SUM(U45:U52)&lt;&gt;0,AVERAGE(U45:U52),"~")</f>
        <v>1</v>
      </c>
      <c r="V54" s="91">
        <f>AVERAGE(V45:V52)</f>
        <v>1.875</v>
      </c>
      <c r="W54" s="133">
        <f>IF(SUM(W45:W52)&lt;&gt;0,AVERAGE(W45:W52),"~")</f>
        <v>1.7261904761904761</v>
      </c>
      <c r="X54" s="91">
        <f>AVERAGE(X45:X52)</f>
        <v>3.375</v>
      </c>
      <c r="Y54" s="133">
        <f>IF(SUM(Y45:Y52)&lt;&gt;0,AVERAGE(Y45:Y52),"~")</f>
        <v>5.5</v>
      </c>
      <c r="Z54" s="91">
        <f>AVERAGE(Z45:Z52)</f>
        <v>16.875</v>
      </c>
      <c r="AA54" s="133">
        <f>IF(SUM(AA45:AA52)&lt;&gt;0,AVERAGE(AA45:AA52),"~")</f>
        <v>7.8652464494569756</v>
      </c>
      <c r="AB54" s="91">
        <f>AVERAGE(AB45:AB52)</f>
        <v>1.75</v>
      </c>
      <c r="AC54" s="133">
        <f>IF(SUM(AC45:AC52)&lt;&gt;0,AVERAGE(AC45:AC52),"~")</f>
        <v>6.9285714285714288</v>
      </c>
      <c r="AD54" s="91">
        <f>AVERAGE(AD45:AD52)</f>
        <v>1.375</v>
      </c>
      <c r="AE54" s="133">
        <f>IF(SUM(AE45:AE52)&lt;&gt;0,AVERAGE(AE45:AE52),"~")</f>
        <v>15.833333333333332</v>
      </c>
      <c r="AF54" s="91">
        <f>AVERAGE(AF45:AF52)</f>
        <v>0</v>
      </c>
      <c r="AG54" s="133" t="str">
        <f>IF(SUM(AG45:AG52)&lt;&gt;0,AVERAGE(AG45:AG52),"~")</f>
        <v>~</v>
      </c>
      <c r="AH54" s="91">
        <f>AVERAGE(AH45:AH52)</f>
        <v>0</v>
      </c>
    </row>
    <row r="55" spans="1:34" x14ac:dyDescent="0.25">
      <c r="A55"/>
      <c r="K55" s="2"/>
      <c r="L55" s="2"/>
      <c r="M55" s="2"/>
    </row>
    <row r="56" spans="1:34" ht="16.5" thickBot="1" x14ac:dyDescent="0.3">
      <c r="A56" s="107" t="s">
        <v>79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R56" s="128"/>
      <c r="S56" s="128"/>
      <c r="U56" s="3"/>
    </row>
    <row r="57" spans="1:34" ht="15.75" x14ac:dyDescent="0.25">
      <c r="A57" s="110"/>
      <c r="B57" s="111" t="s">
        <v>80</v>
      </c>
      <c r="C57" s="112" t="s">
        <v>81</v>
      </c>
      <c r="D57" s="112" t="s">
        <v>82</v>
      </c>
      <c r="E57" s="112" t="s">
        <v>83</v>
      </c>
      <c r="F57" s="112" t="s">
        <v>84</v>
      </c>
      <c r="G57" s="112" t="s">
        <v>85</v>
      </c>
      <c r="H57" s="112" t="s">
        <v>86</v>
      </c>
      <c r="I57" s="96" t="s">
        <v>87</v>
      </c>
      <c r="J57" s="96" t="s">
        <v>88</v>
      </c>
      <c r="K57" s="96" t="s">
        <v>89</v>
      </c>
      <c r="L57" s="96" t="s">
        <v>90</v>
      </c>
      <c r="M57" s="96" t="s">
        <v>91</v>
      </c>
      <c r="N57" s="111" t="s">
        <v>92</v>
      </c>
      <c r="O57" s="111" t="s">
        <v>93</v>
      </c>
      <c r="P57" s="113" t="s">
        <v>94</v>
      </c>
      <c r="R57" s="38" t="s">
        <v>46</v>
      </c>
      <c r="S57" s="38" t="s">
        <v>27</v>
      </c>
      <c r="Z57" s="100"/>
    </row>
    <row r="58" spans="1:34" ht="15.75" x14ac:dyDescent="0.25">
      <c r="A58" s="8" t="s">
        <v>10</v>
      </c>
      <c r="B58" s="108">
        <f>COUNTIFS(Рудник!$B:$B,$A58,Рудник!$D:$D,"&gt;=0",Рудник!$D:$D,"&lt;=1")</f>
        <v>5</v>
      </c>
      <c r="C58" s="108">
        <f>COUNTIFS(Рудник!$B:$B,$A58,Рудник!$D:$D,"&gt;=2",Рудник!$D:$D,"&lt;=3")</f>
        <v>14</v>
      </c>
      <c r="D58" s="108">
        <f>COUNTIFS(Рудник!$B:$B,$A58,Рудник!$D:$D,"&gt;=4",Рудник!$D:$D,"&lt;=5")</f>
        <v>1</v>
      </c>
      <c r="E58" s="108">
        <f>COUNTIFS(Рудник!$B:$B,$A58,Рудник!$D:$D,"&gt;=6",Рудник!$D:$D,"&lt;=7")</f>
        <v>0</v>
      </c>
      <c r="F58" s="108">
        <f>COUNTIFS(Рудник!$B:$B,$A58,Рудник!$D:$D,"&gt;=8",Рудник!$D:$D,"&lt;=9")</f>
        <v>4</v>
      </c>
      <c r="G58" s="108">
        <f>COUNTIFS(Рудник!$B:$B,$A58,Рудник!$D:$D,"&gt;=10",Рудник!$D:$D,"&lt;=11")</f>
        <v>1</v>
      </c>
      <c r="H58" s="108">
        <f>COUNTIFS(Рудник!$B:$B,$A58,Рудник!$D:$D,"&gt;=12",Рудник!D:D,"&lt;=13")</f>
        <v>1</v>
      </c>
      <c r="I58" s="108">
        <f>COUNTIFS(Рудник!$B:$B,$A58,Рудник!$D:$D,"&gt;=14",Рудник!$D:$D,"&lt;=15")</f>
        <v>1</v>
      </c>
      <c r="J58" s="108">
        <f>COUNTIFS(Рудник!$B:$B,$A58,Рудник!$D:$D,"&gt;=16",Рудник!$D:$D,"&lt;=17")</f>
        <v>0</v>
      </c>
      <c r="K58" s="108">
        <f>COUNTIFS(Рудник!$B:$B,$A58,Рудник!$D:$D,"&gt;=18",Рудник!$D:$D,"&lt;=20")</f>
        <v>1</v>
      </c>
      <c r="L58" s="108">
        <f>COUNTIFS(Рудник!$B:$B,$A58,Рудник!$D:$D,"&gt;=21",Рудник!$D:$D,"&lt;=24")</f>
        <v>0</v>
      </c>
      <c r="M58" s="108">
        <f>COUNTIFS(Рудник!$B:$B,$A58,Рудник!$D:$D,"&gt;=25",Рудник!$D:$D,"&lt;=28")</f>
        <v>1</v>
      </c>
      <c r="N58" s="108">
        <f>COUNTIFS(Рудник!$B:$B,$A58,Рудник!$D:$D,"&gt;=29",Рудник!$D:$D,"&lt;=34")</f>
        <v>1</v>
      </c>
      <c r="O58" s="108">
        <f>COUNTIFS(Рудник!$B:$B,$A58,Рудник!$D:$D,"&gt;=36",Рудник!$D:$D,"&lt;=40")</f>
        <v>1</v>
      </c>
      <c r="P58" s="108">
        <f>COUNTIFS(Рудник!$B:$B,$A58,Рудник!$D:$D,"&gt;40")</f>
        <v>0</v>
      </c>
      <c r="R58" s="36" t="s">
        <v>30</v>
      </c>
      <c r="S58" s="37">
        <f>COUNTIF(Рудник!C:C,'Сводная Рудник'!R58)</f>
        <v>1</v>
      </c>
    </row>
    <row r="59" spans="1:34" ht="15.75" x14ac:dyDescent="0.25">
      <c r="A59" s="8" t="s">
        <v>11</v>
      </c>
      <c r="B59" s="108">
        <f>COUNTIFS(Рудник!$B:$B,$A59,Рудник!$D:$D,"&gt;=0",Рудник!$D:$D,"&lt;=1")</f>
        <v>6</v>
      </c>
      <c r="C59" s="108">
        <f>COUNTIFS(Рудник!$B:$B,$A59,Рудник!$D:$D,"&gt;=2",Рудник!$D:$D,"&lt;=3")</f>
        <v>11</v>
      </c>
      <c r="D59" s="108">
        <f>COUNTIFS(Рудник!$B:$B,$A59,Рудник!$D:$D,"&gt;=4",Рудник!$D:$D,"&lt;=5")</f>
        <v>2</v>
      </c>
      <c r="E59" s="108">
        <f>COUNTIFS(Рудник!$B:$B,$A59,Рудник!$D:$D,"&gt;=6",Рудник!$D:$D,"&lt;=7")</f>
        <v>3</v>
      </c>
      <c r="F59" s="108">
        <f>COUNTIFS(Рудник!$B:$B,$A59,Рудник!$D:$D,"&gt;=8",Рудник!$D:$D,"&lt;=9")</f>
        <v>2</v>
      </c>
      <c r="G59" s="108">
        <f>COUNTIFS(Рудник!$B:$B,$A59,Рудник!$D:$D,"&gt;=10",Рудник!$D:$D,"&lt;=11")</f>
        <v>2</v>
      </c>
      <c r="H59" s="108">
        <f>COUNTIFS(Рудник!$B:$B,$A59,Рудник!$D:$D,"&gt;=12",Рудник!D:D,"&lt;=13")</f>
        <v>0</v>
      </c>
      <c r="I59" s="108">
        <f>COUNTIFS(Рудник!$B:$B,$A59,Рудник!$D:$D,"&gt;=14",Рудник!$D:$D,"&lt;=15")</f>
        <v>0</v>
      </c>
      <c r="J59" s="108">
        <f>COUNTIFS(Рудник!$B:$B,$A59,Рудник!$D:$D,"&gt;=16",Рудник!$D:$D,"&lt;=17")</f>
        <v>0</v>
      </c>
      <c r="K59" s="108">
        <f>COUNTIFS(Рудник!$B:$B,$A59,Рудник!$D:$D,"&gt;=18",Рудник!$D:$D,"&lt;=20")</f>
        <v>0</v>
      </c>
      <c r="L59" s="108">
        <f>COUNTIFS(Рудник!$B:$B,$A59,Рудник!$D:$D,"&gt;=21",Рудник!$D:$D,"&lt;=24")</f>
        <v>2</v>
      </c>
      <c r="M59" s="108">
        <f>COUNTIFS(Рудник!$B:$B,$A59,Рудник!$D:$D,"&gt;=25",Рудник!$D:$D,"&lt;=28")</f>
        <v>0</v>
      </c>
      <c r="N59" s="108">
        <f>COUNTIFS(Рудник!$B:$B,$A59,Рудник!$D:$D,"&gt;=29",Рудник!$D:$D,"&lt;=34")</f>
        <v>2</v>
      </c>
      <c r="O59" s="108">
        <f>COUNTIFS(Рудник!$B:$B,$A59,Рудник!$D:$D,"&gt;=36",Рудник!$D:$D,"&lt;=40")</f>
        <v>1</v>
      </c>
      <c r="P59" s="108">
        <f>COUNTIFS(Рудник!$B:$B,$A59,Рудник!$D:$D,"&gt;40")</f>
        <v>0</v>
      </c>
      <c r="R59" s="36" t="s">
        <v>31</v>
      </c>
      <c r="S59" s="37">
        <f>COUNTIF(Рудник!C:C,'Сводная Рудник'!R59)</f>
        <v>0</v>
      </c>
      <c r="Y59" s="101"/>
    </row>
    <row r="60" spans="1:34" ht="15.75" x14ac:dyDescent="0.25">
      <c r="A60" s="8" t="s">
        <v>12</v>
      </c>
      <c r="B60" s="108">
        <f>COUNTIFS(Рудник!$B:$B,$A60,Рудник!$D:$D,"&gt;=0",Рудник!$D:$D,"&lt;=1")</f>
        <v>12</v>
      </c>
      <c r="C60" s="108">
        <f>COUNTIFS(Рудник!$B:$B,$A60,Рудник!$D:$D,"&gt;=2",Рудник!$D:$D,"&lt;=3")</f>
        <v>6</v>
      </c>
      <c r="D60" s="108">
        <f>COUNTIFS(Рудник!$B:$B,$A60,Рудник!$D:$D,"&gt;=4",Рудник!$D:$D,"&lt;=5")</f>
        <v>2</v>
      </c>
      <c r="E60" s="108">
        <f>COUNTIFS(Рудник!$B:$B,$A60,Рудник!$D:$D,"&gt;=6",Рудник!$D:$D,"&lt;=7")</f>
        <v>1</v>
      </c>
      <c r="F60" s="108">
        <f>COUNTIFS(Рудник!$B:$B,$A60,Рудник!$D:$D,"&gt;=8",Рудник!$D:$D,"&lt;=9")</f>
        <v>5</v>
      </c>
      <c r="G60" s="108">
        <f>COUNTIFS(Рудник!$B:$B,$A60,Рудник!$D:$D,"&gt;=10",Рудник!$D:$D,"&lt;=11")</f>
        <v>1</v>
      </c>
      <c r="H60" s="108">
        <f>COUNTIFS(Рудник!$B:$B,$A60,Рудник!$D:$D,"&gt;=12",Рудник!D:D,"&lt;=13")</f>
        <v>0</v>
      </c>
      <c r="I60" s="108">
        <f>COUNTIFS(Рудник!$B:$B,$A60,Рудник!$D:$D,"&gt;=14",Рудник!$D:$D,"&lt;=15")</f>
        <v>0</v>
      </c>
      <c r="J60" s="108">
        <f>COUNTIFS(Рудник!$B:$B,$A60,Рудник!$D:$D,"&gt;=16",Рудник!$D:$D,"&lt;=17")</f>
        <v>0</v>
      </c>
      <c r="K60" s="108">
        <f>COUNTIFS(Рудник!$B:$B,$A60,Рудник!$D:$D,"&gt;=18",Рудник!$D:$D,"&lt;=20")</f>
        <v>1</v>
      </c>
      <c r="L60" s="108">
        <f>COUNTIFS(Рудник!$B:$B,$A60,Рудник!$D:$D,"&gt;=21",Рудник!$D:$D,"&lt;=24")</f>
        <v>1</v>
      </c>
      <c r="M60" s="108">
        <f>COUNTIFS(Рудник!$B:$B,$A60,Рудник!$D:$D,"&gt;=25",Рудник!$D:$D,"&lt;=28")</f>
        <v>0</v>
      </c>
      <c r="N60" s="108">
        <f>COUNTIFS(Рудник!$B:$B,$A60,Рудник!$D:$D,"&gt;=29",Рудник!$D:$D,"&lt;=34")</f>
        <v>2</v>
      </c>
      <c r="O60" s="108">
        <f>COUNTIFS(Рудник!$B:$B,$A60,Рудник!$D:$D,"&gt;=36",Рудник!$D:$D,"&lt;=40")</f>
        <v>0</v>
      </c>
      <c r="P60" s="108">
        <f>COUNTIFS(Рудник!$B:$B,$A60,Рудник!$D:$D,"&gt;40")</f>
        <v>0</v>
      </c>
      <c r="R60" s="36" t="s">
        <v>32</v>
      </c>
      <c r="S60" s="37">
        <f>COUNTIF(Рудник!C:C,'Сводная Рудник'!R60)</f>
        <v>3</v>
      </c>
    </row>
    <row r="61" spans="1:34" ht="15.75" x14ac:dyDescent="0.25">
      <c r="A61" s="8" t="s">
        <v>13</v>
      </c>
      <c r="B61" s="108">
        <f>COUNTIFS(Рудник!$B:$B,$A61,Рудник!$D:$D,"&gt;=0",Рудник!$D:$D,"&lt;=1")</f>
        <v>7</v>
      </c>
      <c r="C61" s="108">
        <f>COUNTIFS(Рудник!$B:$B,$A61,Рудник!$D:$D,"&gt;=2",Рудник!$D:$D,"&lt;=3")</f>
        <v>11</v>
      </c>
      <c r="D61" s="108">
        <f>COUNTIFS(Рудник!$B:$B,$A61,Рудник!$D:$D,"&gt;=4",Рудник!$D:$D,"&lt;=5")</f>
        <v>0</v>
      </c>
      <c r="E61" s="108">
        <f>COUNTIFS(Рудник!$B:$B,$A61,Рудник!$D:$D,"&gt;=6",Рудник!$D:$D,"&lt;=7")</f>
        <v>3</v>
      </c>
      <c r="F61" s="108">
        <f>COUNTIFS(Рудник!$B:$B,$A61,Рудник!$D:$D,"&gt;=8",Рудник!$D:$D,"&lt;=9")</f>
        <v>2</v>
      </c>
      <c r="G61" s="108">
        <f>COUNTIFS(Рудник!$B:$B,$A61,Рудник!$D:$D,"&gt;=10",Рудник!$D:$D,"&lt;=11")</f>
        <v>3</v>
      </c>
      <c r="H61" s="108">
        <f>COUNTIFS(Рудник!$B:$B,$A61,Рудник!$D:$D,"&gt;=12",Рудник!D:D,"&lt;=13")</f>
        <v>2</v>
      </c>
      <c r="I61" s="108">
        <f>COUNTIFS(Рудник!$B:$B,$A61,Рудник!$D:$D,"&gt;=14",Рудник!$D:$D,"&lt;=15")</f>
        <v>0</v>
      </c>
      <c r="J61" s="108">
        <f>COUNTIFS(Рудник!$B:$B,$A61,Рудник!$D:$D,"&gt;=16",Рудник!$D:$D,"&lt;=17")</f>
        <v>0</v>
      </c>
      <c r="K61" s="108">
        <f>COUNTIFS(Рудник!$B:$B,$A61,Рудник!$D:$D,"&gt;=18",Рудник!$D:$D,"&lt;=20")</f>
        <v>0</v>
      </c>
      <c r="L61" s="108">
        <f>COUNTIFS(Рудник!$B:$B,$A61,Рудник!$D:$D,"&gt;=21",Рудник!$D:$D,"&lt;=24")</f>
        <v>1</v>
      </c>
      <c r="M61" s="108">
        <f>COUNTIFS(Рудник!$B:$B,$A61,Рудник!$D:$D,"&gt;=25",Рудник!$D:$D,"&lt;=28")</f>
        <v>0</v>
      </c>
      <c r="N61" s="108">
        <f>COUNTIFS(Рудник!$B:$B,$A61,Рудник!$D:$D,"&gt;=29",Рудник!$D:$D,"&lt;=34")</f>
        <v>1</v>
      </c>
      <c r="O61" s="108">
        <f>COUNTIFS(Рудник!$B:$B,$A61,Рудник!$D:$D,"&gt;=36",Рудник!$D:$D,"&lt;=40")</f>
        <v>0</v>
      </c>
      <c r="P61" s="108">
        <f>COUNTIFS(Рудник!$B:$B,$A61,Рудник!$D:$D,"&gt;40")</f>
        <v>0</v>
      </c>
      <c r="R61" s="36" t="s">
        <v>33</v>
      </c>
      <c r="S61" s="37">
        <f>COUNTIF(Рудник!C:C,'Сводная Рудник'!R61)</f>
        <v>0</v>
      </c>
    </row>
    <row r="62" spans="1:34" ht="15.75" x14ac:dyDescent="0.25">
      <c r="A62" s="8" t="s">
        <v>14</v>
      </c>
      <c r="B62" s="108">
        <f>COUNTIFS(Рудник!$B:$B,$A62,Рудник!$D:$D,"&gt;=0",Рудник!$D:$D,"&lt;=1")</f>
        <v>12</v>
      </c>
      <c r="C62" s="108">
        <f>COUNTIFS(Рудник!$B:$B,$A62,Рудник!$D:$D,"&gt;=2",Рудник!$D:$D,"&lt;=3")</f>
        <v>4</v>
      </c>
      <c r="D62" s="108">
        <f>COUNTIFS(Рудник!$B:$B,$A62,Рудник!$D:$D,"&gt;=4",Рудник!$D:$D,"&lt;=5")</f>
        <v>2</v>
      </c>
      <c r="E62" s="108">
        <f>COUNTIFS(Рудник!$B:$B,$A62,Рудник!$D:$D,"&gt;=6",Рудник!$D:$D,"&lt;=7")</f>
        <v>4</v>
      </c>
      <c r="F62" s="108">
        <f>COUNTIFS(Рудник!$B:$B,$A62,Рудник!$D:$D,"&gt;=8",Рудник!$D:$D,"&lt;=9")</f>
        <v>3</v>
      </c>
      <c r="G62" s="108">
        <f>COUNTIFS(Рудник!$B:$B,$A62,Рудник!$D:$D,"&gt;=10",Рудник!$D:$D,"&lt;=11")</f>
        <v>2</v>
      </c>
      <c r="H62" s="108">
        <f>COUNTIFS(Рудник!$B:$B,$A62,Рудник!$D:$D,"&gt;=12",Рудник!D:D,"&lt;=13")</f>
        <v>0</v>
      </c>
      <c r="I62" s="108">
        <f>COUNTIFS(Рудник!$B:$B,$A62,Рудник!$D:$D,"&gt;=14",Рудник!$D:$D,"&lt;=15")</f>
        <v>0</v>
      </c>
      <c r="J62" s="108">
        <f>COUNTIFS(Рудник!$B:$B,$A62,Рудник!$D:$D,"&gt;=16",Рудник!$D:$D,"&lt;=17")</f>
        <v>1</v>
      </c>
      <c r="K62" s="108">
        <f>COUNTIFS(Рудник!$B:$B,$A62,Рудник!$D:$D,"&gt;=18",Рудник!$D:$D,"&lt;=20")</f>
        <v>0</v>
      </c>
      <c r="L62" s="108">
        <f>COUNTIFS(Рудник!$B:$B,$A62,Рудник!$D:$D,"&gt;=21",Рудник!$D:$D,"&lt;=24")</f>
        <v>1</v>
      </c>
      <c r="M62" s="108">
        <f>COUNTIFS(Рудник!$B:$B,$A62,Рудник!$D:$D,"&gt;=25",Рудник!$D:$D,"&lt;=28")</f>
        <v>0</v>
      </c>
      <c r="N62" s="108">
        <f>COUNTIFS(Рудник!$B:$B,$A62,Рудник!$D:$D,"&gt;=29",Рудник!$D:$D,"&lt;=34")</f>
        <v>0</v>
      </c>
      <c r="O62" s="108">
        <f>COUNTIFS(Рудник!$B:$B,$A62,Рудник!$D:$D,"&gt;=36",Рудник!$D:$D,"&lt;=40")</f>
        <v>0</v>
      </c>
      <c r="P62" s="108">
        <f>COUNTIFS(Рудник!$B:$B,$A62,Рудник!$D:$D,"&gt;40")</f>
        <v>0</v>
      </c>
      <c r="R62" s="36" t="s">
        <v>34</v>
      </c>
      <c r="S62" s="37">
        <f>COUNTIF(Рудник!C:C,'Сводная Рудник'!R62)</f>
        <v>10</v>
      </c>
    </row>
    <row r="63" spans="1:34" ht="15.75" x14ac:dyDescent="0.25">
      <c r="A63" s="8" t="s">
        <v>15</v>
      </c>
      <c r="B63" s="108">
        <f>COUNTIFS(Рудник!$B:$B,$A63,Рудник!$D:$D,"&gt;=0",Рудник!$D:$D,"&lt;=1")</f>
        <v>12</v>
      </c>
      <c r="C63" s="108">
        <f>COUNTIFS(Рудник!$B:$B,$A63,Рудник!$D:$D,"&gt;=2",Рудник!$D:$D,"&lt;=3")</f>
        <v>2</v>
      </c>
      <c r="D63" s="108">
        <f>COUNTIFS(Рудник!$B:$B,$A63,Рудник!$D:$D,"&gt;=4",Рудник!$D:$D,"&lt;=5")</f>
        <v>2</v>
      </c>
      <c r="E63" s="108">
        <f>COUNTIFS(Рудник!$B:$B,$A63,Рудник!$D:$D,"&gt;=6",Рудник!$D:$D,"&lt;=7")</f>
        <v>6</v>
      </c>
      <c r="F63" s="108">
        <f>COUNTIFS(Рудник!$B:$B,$A63,Рудник!$D:$D,"&gt;=8",Рудник!$D:$D,"&lt;=9")</f>
        <v>3</v>
      </c>
      <c r="G63" s="108">
        <f>COUNTIFS(Рудник!$B:$B,$A63,Рудник!$D:$D,"&gt;=10",Рудник!$D:$D,"&lt;=11")</f>
        <v>1</v>
      </c>
      <c r="H63" s="108">
        <f>COUNTIFS(Рудник!$B:$B,$A63,Рудник!$D:$D,"&gt;=12",Рудник!D:D,"&lt;=13")</f>
        <v>1</v>
      </c>
      <c r="I63" s="108">
        <f>COUNTIFS(Рудник!$B:$B,$A63,Рудник!$D:$D,"&gt;=14",Рудник!$D:$D,"&lt;=15")</f>
        <v>0</v>
      </c>
      <c r="J63" s="108">
        <f>COUNTIFS(Рудник!$B:$B,$A63,Рудник!$D:$D,"&gt;=16",Рудник!$D:$D,"&lt;=17")</f>
        <v>0</v>
      </c>
      <c r="K63" s="108">
        <f>COUNTIFS(Рудник!$B:$B,$A63,Рудник!$D:$D,"&gt;=18",Рудник!$D:$D,"&lt;=20")</f>
        <v>0</v>
      </c>
      <c r="L63" s="108">
        <f>COUNTIFS(Рудник!$B:$B,$A63,Рудник!$D:$D,"&gt;=21",Рудник!$D:$D,"&lt;=24")</f>
        <v>0</v>
      </c>
      <c r="M63" s="108">
        <f>COUNTIFS(Рудник!$B:$B,$A63,Рудник!$D:$D,"&gt;=25",Рудник!$D:$D,"&lt;=28")</f>
        <v>1</v>
      </c>
      <c r="N63" s="108">
        <f>COUNTIFS(Рудник!$B:$B,$A63,Рудник!$D:$D,"&gt;=29",Рудник!$D:$D,"&lt;=34")</f>
        <v>0</v>
      </c>
      <c r="O63" s="108">
        <f>COUNTIFS(Рудник!$B:$B,$A63,Рудник!$D:$D,"&gt;=36",Рудник!$D:$D,"&lt;=40")</f>
        <v>1</v>
      </c>
      <c r="P63" s="108">
        <f>COUNTIFS(Рудник!$B:$B,$A63,Рудник!$D:$D,"&gt;40")</f>
        <v>0</v>
      </c>
      <c r="R63" s="36" t="s">
        <v>35</v>
      </c>
      <c r="S63" s="37">
        <f>COUNTIF(Рудник!C:C,'Сводная Рудник'!R63)</f>
        <v>0</v>
      </c>
    </row>
    <row r="64" spans="1:34" ht="15.75" x14ac:dyDescent="0.25">
      <c r="A64" s="8" t="s">
        <v>16</v>
      </c>
      <c r="B64" s="108">
        <f>COUNTIFS(Рудник!$B:$B,$A64,Рудник!$D:$D,"&gt;=0",Рудник!$D:$D,"&lt;=1")</f>
        <v>8</v>
      </c>
      <c r="C64" s="108">
        <f>COUNTIFS(Рудник!$B:$B,$A64,Рудник!$D:$D,"&gt;=2",Рудник!$D:$D,"&lt;=3")</f>
        <v>9</v>
      </c>
      <c r="D64" s="108">
        <f>COUNTIFS(Рудник!$B:$B,$A64,Рудник!$D:$D,"&gt;=4",Рудник!$D:$D,"&lt;=5")</f>
        <v>1</v>
      </c>
      <c r="E64" s="108">
        <f>COUNTIFS(Рудник!$B:$B,$A64,Рудник!$D:$D,"&gt;=6",Рудник!$D:$D,"&lt;=7")</f>
        <v>2</v>
      </c>
      <c r="F64" s="108">
        <f>COUNTIFS(Рудник!$B:$B,$A64,Рудник!$D:$D,"&gt;=8",Рудник!$D:$D,"&lt;=9")</f>
        <v>5</v>
      </c>
      <c r="G64" s="108">
        <f>COUNTIFS(Рудник!$B:$B,$A64,Рудник!$D:$D,"&gt;=10",Рудник!$D:$D,"&lt;=11")</f>
        <v>0</v>
      </c>
      <c r="H64" s="108">
        <f>COUNTIFS(Рудник!$B:$B,$A64,Рудник!$D:$D,"&gt;=12",Рудник!D:D,"&lt;=13")</f>
        <v>1</v>
      </c>
      <c r="I64" s="108">
        <f>COUNTIFS(Рудник!$B:$B,$A64,Рудник!$D:$D,"&gt;=14",Рудник!$D:$D,"&lt;=15")</f>
        <v>0</v>
      </c>
      <c r="J64" s="108">
        <f>COUNTIFS(Рудник!$B:$B,$A64,Рудник!$D:$D,"&gt;=16",Рудник!$D:$D,"&lt;=17")</f>
        <v>0</v>
      </c>
      <c r="K64" s="108">
        <f>COUNTIFS(Рудник!$B:$B,$A64,Рудник!$D:$D,"&gt;=18",Рудник!$D:$D,"&lt;=20")</f>
        <v>1</v>
      </c>
      <c r="L64" s="108">
        <f>COUNTIFS(Рудник!$B:$B,$A64,Рудник!$D:$D,"&gt;=21",Рудник!$D:$D,"&lt;=24")</f>
        <v>1</v>
      </c>
      <c r="M64" s="108">
        <f>COUNTIFS(Рудник!$B:$B,$A64,Рудник!$D:$D,"&gt;=25",Рудник!$D:$D,"&lt;=28")</f>
        <v>1</v>
      </c>
      <c r="N64" s="108">
        <f>COUNTIFS(Рудник!$B:$B,$A64,Рудник!$D:$D,"&gt;=29",Рудник!$D:$D,"&lt;=34")</f>
        <v>0</v>
      </c>
      <c r="O64" s="108">
        <f>COUNTIFS(Рудник!$B:$B,$A64,Рудник!$D:$D,"&gt;=36",Рудник!$D:$D,"&lt;=40")</f>
        <v>1</v>
      </c>
      <c r="P64" s="108">
        <f>COUNTIFS(Рудник!$B:$B,$A64,Рудник!$D:$D,"&gt;40")</f>
        <v>0</v>
      </c>
      <c r="R64" s="36" t="s">
        <v>36</v>
      </c>
      <c r="S64" s="37">
        <f>COUNTIF(Рудник!C:C,'Сводная Рудник'!R64)</f>
        <v>6</v>
      </c>
    </row>
    <row r="65" spans="1:19" ht="15.75" x14ac:dyDescent="0.25">
      <c r="A65" s="102" t="s">
        <v>17</v>
      </c>
      <c r="B65" s="108">
        <f>COUNTIFS(Рудник!$B:$B,$A65,Рудник!$D:$D,"&gt;=0",Рудник!$D:$D,"&lt;=1")</f>
        <v>6</v>
      </c>
      <c r="C65" s="108">
        <f>COUNTIFS(Рудник!$B:$B,$A65,Рудник!$D:$D,"&gt;=2",Рудник!$D:$D,"&lt;=3")</f>
        <v>11</v>
      </c>
      <c r="D65" s="108">
        <f>COUNTIFS(Рудник!$B:$B,$A65,Рудник!$D:$D,"&gt;=4",Рудник!$D:$D,"&lt;=5")</f>
        <v>2</v>
      </c>
      <c r="E65" s="108">
        <f>COUNTIFS(Рудник!$B:$B,$A65,Рудник!$D:$D,"&gt;=6",Рудник!$D:$D,"&lt;=7")</f>
        <v>3</v>
      </c>
      <c r="F65" s="108">
        <f>COUNTIFS(Рудник!$B:$B,$A65,Рудник!$D:$D,"&gt;=8",Рудник!$D:$D,"&lt;=9")</f>
        <v>3</v>
      </c>
      <c r="G65" s="108">
        <f>COUNTIFS(Рудник!$B:$B,$A65,Рудник!$D:$D,"&gt;=10",Рудник!$D:$D,"&lt;=11")</f>
        <v>0</v>
      </c>
      <c r="H65" s="108">
        <f>COUNTIFS(Рудник!$B:$B,$A65,Рудник!$D:$D,"&gt;=12",Рудник!D:D,"&lt;=13")</f>
        <v>1</v>
      </c>
      <c r="I65" s="108">
        <f>COUNTIFS(Рудник!$B:$B,$A65,Рудник!$D:$D,"&gt;=14",Рудник!$D:$D,"&lt;=15")</f>
        <v>0</v>
      </c>
      <c r="J65" s="108">
        <f>COUNTIFS(Рудник!$B:$B,$A65,Рудник!$D:$D,"&gt;=16",Рудник!$D:$D,"&lt;=17")</f>
        <v>0</v>
      </c>
      <c r="K65" s="108">
        <f>COUNTIFS(Рудник!$B:$B,$A65,Рудник!$D:$D,"&gt;=18",Рудник!$D:$D,"&lt;=20")</f>
        <v>2</v>
      </c>
      <c r="L65" s="108">
        <f>COUNTIFS(Рудник!$B:$B,$A65,Рудник!$D:$D,"&gt;=21",Рудник!$D:$D,"&lt;=24")</f>
        <v>0</v>
      </c>
      <c r="M65" s="108">
        <f>COUNTIFS(Рудник!$B:$B,$A65,Рудник!$D:$D,"&gt;=25",Рудник!$D:$D,"&lt;=28")</f>
        <v>1</v>
      </c>
      <c r="N65" s="108">
        <f>COUNTIFS(Рудник!$B:$B,$A65,Рудник!$D:$D,"&gt;=29",Рудник!$D:$D,"&lt;=34")</f>
        <v>0</v>
      </c>
      <c r="O65" s="108">
        <f>COUNTIFS(Рудник!$B:$B,$A65,Рудник!$D:$D,"&gt;=36",Рудник!$D:$D,"&lt;=40")</f>
        <v>1</v>
      </c>
      <c r="P65" s="108">
        <f>COUNTIFS(Рудник!$B:$B,$A65,Рудник!$D:$D,"&gt;40")</f>
        <v>0</v>
      </c>
      <c r="R65" s="36" t="s">
        <v>37</v>
      </c>
      <c r="S65" s="37">
        <f>COUNTIF(Рудник!C:C,'Сводная Рудник'!R65)</f>
        <v>1</v>
      </c>
    </row>
    <row r="66" spans="1:19" ht="16.5" thickBot="1" x14ac:dyDescent="0.3">
      <c r="A66" s="114" t="s">
        <v>77</v>
      </c>
      <c r="B66" s="109">
        <f>SUM(B58:B65)</f>
        <v>68</v>
      </c>
      <c r="C66" s="109">
        <f t="shared" ref="C66:P66" si="5">SUM(C58:C65)</f>
        <v>68</v>
      </c>
      <c r="D66" s="109">
        <f t="shared" si="5"/>
        <v>12</v>
      </c>
      <c r="E66" s="109">
        <f t="shared" si="5"/>
        <v>22</v>
      </c>
      <c r="F66" s="109">
        <f t="shared" si="5"/>
        <v>27</v>
      </c>
      <c r="G66" s="109">
        <f t="shared" si="5"/>
        <v>10</v>
      </c>
      <c r="H66" s="109">
        <f t="shared" si="5"/>
        <v>6</v>
      </c>
      <c r="I66" s="109">
        <f t="shared" si="5"/>
        <v>1</v>
      </c>
      <c r="J66" s="109">
        <f t="shared" si="5"/>
        <v>1</v>
      </c>
      <c r="K66" s="109">
        <f t="shared" si="5"/>
        <v>5</v>
      </c>
      <c r="L66" s="109">
        <f t="shared" si="5"/>
        <v>6</v>
      </c>
      <c r="M66" s="109">
        <f t="shared" si="5"/>
        <v>4</v>
      </c>
      <c r="N66" s="109">
        <f t="shared" si="5"/>
        <v>6</v>
      </c>
      <c r="O66" s="109">
        <f t="shared" si="5"/>
        <v>5</v>
      </c>
      <c r="P66" s="109">
        <f t="shared" si="5"/>
        <v>0</v>
      </c>
      <c r="R66" s="36" t="s">
        <v>38</v>
      </c>
      <c r="S66" s="37">
        <f>COUNTIF(Рудник!C:C,'Сводная Рудник'!R66)</f>
        <v>22</v>
      </c>
    </row>
    <row r="67" spans="1:19" ht="15.75" x14ac:dyDescent="0.25">
      <c r="A67"/>
      <c r="K67" s="2"/>
      <c r="L67" s="2"/>
      <c r="M67" s="2"/>
      <c r="R67" s="36" t="s">
        <v>39</v>
      </c>
      <c r="S67" s="37">
        <f>COUNTIF(Рудник!C:C,'Сводная Рудник'!R67)</f>
        <v>1</v>
      </c>
    </row>
    <row r="68" spans="1:19" ht="15.75" x14ac:dyDescent="0.25">
      <c r="A68"/>
      <c r="B68" s="107" t="s">
        <v>95</v>
      </c>
      <c r="C68" s="107"/>
      <c r="D68" s="107"/>
      <c r="E68" s="107"/>
      <c r="F68" s="107"/>
      <c r="G68" s="107"/>
      <c r="H68" s="107"/>
      <c r="I68" s="107"/>
      <c r="J68" s="107"/>
      <c r="K68" s="107"/>
      <c r="L68" s="2"/>
      <c r="M68" s="2"/>
      <c r="R68" s="36" t="s">
        <v>40</v>
      </c>
      <c r="S68" s="37">
        <f>COUNTIF(Рудник!C:C,'Сводная Рудник'!R68)</f>
        <v>15</v>
      </c>
    </row>
    <row r="69" spans="1:19" ht="15.75" x14ac:dyDescent="0.25">
      <c r="A69"/>
      <c r="B69" s="105">
        <v>0</v>
      </c>
      <c r="C69" s="106">
        <v>0.1</v>
      </c>
      <c r="D69" s="106">
        <v>0.5</v>
      </c>
      <c r="E69" s="103">
        <v>1</v>
      </c>
      <c r="F69" s="104">
        <v>5</v>
      </c>
      <c r="G69" s="104">
        <v>10</v>
      </c>
      <c r="H69" s="103">
        <v>20</v>
      </c>
      <c r="I69" s="104">
        <v>30</v>
      </c>
      <c r="J69" s="104">
        <v>50</v>
      </c>
      <c r="K69" s="103">
        <v>80</v>
      </c>
      <c r="L69" s="2"/>
      <c r="M69" s="2"/>
      <c r="R69" s="36" t="s">
        <v>29</v>
      </c>
      <c r="S69" s="37">
        <f>COUNTIF(Рудник!C:C,'Сводная Рудник'!R69)</f>
        <v>27</v>
      </c>
    </row>
    <row r="70" spans="1:19" ht="15.75" x14ac:dyDescent="0.25">
      <c r="A70"/>
      <c r="B70" s="117">
        <f>COUNTIFS(K5:K35,0)</f>
        <v>25</v>
      </c>
      <c r="C70" s="117">
        <f>COUNTIFS($K$5:$K$35,"&lt;="&amp;C69,$K$5:$K$35,"&gt;"&amp;B69)</f>
        <v>0</v>
      </c>
      <c r="D70" s="117">
        <f t="shared" ref="D70:K70" si="6">COUNTIFS($K$5:$K$35,"&lt;="&amp;D69,$K$5:$K$35,"&gt;"&amp;C69)</f>
        <v>0</v>
      </c>
      <c r="E70" s="117">
        <f t="shared" si="6"/>
        <v>1</v>
      </c>
      <c r="F70" s="117">
        <f t="shared" si="6"/>
        <v>1</v>
      </c>
      <c r="G70" s="117">
        <f t="shared" si="6"/>
        <v>2</v>
      </c>
      <c r="H70" s="117">
        <f t="shared" si="6"/>
        <v>2</v>
      </c>
      <c r="I70" s="117">
        <f t="shared" si="6"/>
        <v>0</v>
      </c>
      <c r="J70" s="117">
        <f t="shared" si="6"/>
        <v>0</v>
      </c>
      <c r="K70" s="117">
        <f t="shared" si="6"/>
        <v>0</v>
      </c>
      <c r="L70" s="2"/>
      <c r="M70" s="2"/>
      <c r="R70" s="36" t="s">
        <v>41</v>
      </c>
      <c r="S70" s="37">
        <f>COUNTIF(Рудник!C:C,'Сводная Рудник'!R70)</f>
        <v>135</v>
      </c>
    </row>
    <row r="71" spans="1:19" ht="15.75" x14ac:dyDescent="0.25">
      <c r="A71"/>
      <c r="K71" s="2"/>
      <c r="L71" s="2"/>
      <c r="M71" s="2"/>
      <c r="R71" s="36" t="s">
        <v>42</v>
      </c>
      <c r="S71" s="37">
        <f>COUNTIF(Рудник!C:C,'Сводная Рудник'!R71)</f>
        <v>14</v>
      </c>
    </row>
    <row r="72" spans="1:19" ht="15.75" x14ac:dyDescent="0.25">
      <c r="A72"/>
      <c r="B72" s="223" t="s">
        <v>97</v>
      </c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R72" s="36" t="s">
        <v>43</v>
      </c>
      <c r="S72" s="37">
        <f>COUNTIF(Рудник!C:C,'Сводная Рудник'!R72)</f>
        <v>11</v>
      </c>
    </row>
    <row r="73" spans="1:19" ht="15.75" x14ac:dyDescent="0.25">
      <c r="A73"/>
      <c r="B73" s="121" t="s">
        <v>98</v>
      </c>
      <c r="C73" s="122" t="s">
        <v>99</v>
      </c>
      <c r="D73" s="122" t="s">
        <v>100</v>
      </c>
      <c r="E73" s="122" t="s">
        <v>101</v>
      </c>
      <c r="F73" s="122" t="s">
        <v>102</v>
      </c>
      <c r="G73" s="122" t="s">
        <v>103</v>
      </c>
      <c r="H73" s="123" t="s">
        <v>104</v>
      </c>
      <c r="I73" s="124" t="s">
        <v>105</v>
      </c>
      <c r="J73" s="124" t="s">
        <v>106</v>
      </c>
      <c r="K73" s="124" t="s">
        <v>107</v>
      </c>
      <c r="L73" s="124" t="s">
        <v>108</v>
      </c>
      <c r="M73" s="124" t="s">
        <v>109</v>
      </c>
      <c r="N73" s="125" t="s">
        <v>110</v>
      </c>
      <c r="R73" s="36" t="s">
        <v>44</v>
      </c>
      <c r="S73" s="37">
        <f>COUNTIF(Рудник!C:C,'Сводная Рудник'!R73)</f>
        <v>0</v>
      </c>
    </row>
    <row r="74" spans="1:19" ht="16.5" thickBot="1" x14ac:dyDescent="0.3">
      <c r="A74"/>
      <c r="B74" s="121" t="s">
        <v>111</v>
      </c>
      <c r="C74" s="122" t="s">
        <v>112</v>
      </c>
      <c r="D74" s="122" t="s">
        <v>113</v>
      </c>
      <c r="E74" s="122" t="s">
        <v>114</v>
      </c>
      <c r="F74" s="122" t="s">
        <v>115</v>
      </c>
      <c r="G74" s="122" t="s">
        <v>116</v>
      </c>
      <c r="H74" s="123" t="s">
        <v>117</v>
      </c>
      <c r="I74" s="124" t="s">
        <v>118</v>
      </c>
      <c r="J74" s="124" t="s">
        <v>119</v>
      </c>
      <c r="K74" s="124" t="s">
        <v>120</v>
      </c>
      <c r="L74" s="124" t="s">
        <v>121</v>
      </c>
      <c r="M74" s="124" t="s">
        <v>122</v>
      </c>
      <c r="N74" s="125" t="s">
        <v>123</v>
      </c>
      <c r="R74" s="36" t="s">
        <v>47</v>
      </c>
      <c r="S74" s="37">
        <f>COUNTIF(Рудник!C:C,'Сводная Рудник'!R74)</f>
        <v>0</v>
      </c>
    </row>
    <row r="75" spans="1:19" ht="16.5" thickBot="1" x14ac:dyDescent="0.3">
      <c r="A75"/>
      <c r="B75" s="126">
        <f>COUNTIFS($B$5:$B$35,B73,$B$5:$B$35,B74)</f>
        <v>0</v>
      </c>
      <c r="C75" s="126">
        <f t="shared" ref="C75:N75" si="7">COUNTIFS($B$5:$B$35,C73,$B$5:$B$35,C74)</f>
        <v>0</v>
      </c>
      <c r="D75" s="126">
        <f t="shared" si="7"/>
        <v>0</v>
      </c>
      <c r="E75" s="126">
        <f t="shared" si="7"/>
        <v>1</v>
      </c>
      <c r="F75" s="126">
        <f t="shared" si="7"/>
        <v>9</v>
      </c>
      <c r="G75" s="126">
        <f t="shared" si="7"/>
        <v>17</v>
      </c>
      <c r="H75" s="126">
        <f t="shared" si="7"/>
        <v>4</v>
      </c>
      <c r="I75" s="126">
        <f t="shared" si="7"/>
        <v>0</v>
      </c>
      <c r="J75" s="126">
        <f t="shared" si="7"/>
        <v>0</v>
      </c>
      <c r="K75" s="126">
        <f t="shared" si="7"/>
        <v>0</v>
      </c>
      <c r="L75" s="126">
        <f t="shared" si="7"/>
        <v>0</v>
      </c>
      <c r="M75" s="126">
        <f t="shared" si="7"/>
        <v>0</v>
      </c>
      <c r="N75" s="126">
        <f t="shared" si="7"/>
        <v>0</v>
      </c>
      <c r="R75" s="36" t="s">
        <v>45</v>
      </c>
      <c r="S75" s="37">
        <f>COUNTIF(Рудник!C:C,'Сводная Рудник'!R75)</f>
        <v>1</v>
      </c>
    </row>
    <row r="76" spans="1:19" x14ac:dyDescent="0.25">
      <c r="A76"/>
      <c r="K76" s="2"/>
      <c r="L76" s="2"/>
      <c r="M76" s="2"/>
    </row>
    <row r="77" spans="1:19" x14ac:dyDescent="0.25">
      <c r="A77" s="37"/>
      <c r="B77" s="222" t="s">
        <v>51</v>
      </c>
      <c r="C77" s="222"/>
      <c r="D77" s="129"/>
      <c r="K77" s="2"/>
      <c r="L77" s="2"/>
      <c r="M77" s="2"/>
    </row>
    <row r="78" spans="1:19" x14ac:dyDescent="0.25">
      <c r="A78" s="37"/>
      <c r="B78" s="222" t="s">
        <v>54</v>
      </c>
      <c r="C78" s="222"/>
      <c r="D78" s="129"/>
      <c r="K78" s="2"/>
      <c r="L78" s="2"/>
      <c r="M78" s="2"/>
    </row>
    <row r="79" spans="1:19" x14ac:dyDescent="0.25">
      <c r="A79" s="37"/>
      <c r="B79" s="222" t="s">
        <v>55</v>
      </c>
      <c r="C79" s="222"/>
      <c r="D79" s="129"/>
      <c r="K79" s="2"/>
      <c r="L79" s="2"/>
      <c r="M79" s="2"/>
    </row>
    <row r="80" spans="1:19" x14ac:dyDescent="0.25">
      <c r="A80" s="37"/>
      <c r="B80" s="220" t="s">
        <v>124</v>
      </c>
      <c r="C80" s="220"/>
      <c r="K80" s="2"/>
      <c r="L80" s="2"/>
      <c r="M80" s="2"/>
    </row>
    <row r="81" spans="1:13" x14ac:dyDescent="0.25">
      <c r="A81" s="8" t="s">
        <v>10</v>
      </c>
      <c r="B81" s="130" t="s">
        <v>68</v>
      </c>
      <c r="C81" s="35">
        <f>IFERROR(AVERAGEIFS(Рудник!$F:$F,Рудник!$B:$B,A81,Рудник!$A:$A,"&lt;="&amp;DATE(YEAR(Рудник!$A$6),MONTH(Рудник!$A$6),10)),"~")</f>
        <v>-11.790000000000001</v>
      </c>
      <c r="K81" s="2"/>
      <c r="L81" s="2"/>
      <c r="M81" s="2"/>
    </row>
    <row r="82" spans="1:13" x14ac:dyDescent="0.25">
      <c r="A82" s="37"/>
      <c r="B82" s="131" t="s">
        <v>69</v>
      </c>
      <c r="C82" s="35">
        <f>IFERROR(AVERAGEIFS(Рудник!$F:$F,Рудник!$B:$B,A81,Рудник!$A:$A,"&lt;="&amp;DATE(YEAR(Рудник!$A$6),MONTH(Рудник!$A$6),20),Рудник!$A:$A,"&gt;"&amp;DATE(YEAR(Рудник!$A$6),MONTH(Рудник!$A$6),10)),"~")</f>
        <v>-8.5500000000000007</v>
      </c>
      <c r="E82" s="81"/>
      <c r="K82" s="2"/>
      <c r="L82" s="2"/>
      <c r="M82" s="2"/>
    </row>
    <row r="83" spans="1:13" x14ac:dyDescent="0.25">
      <c r="A83" s="37"/>
      <c r="B83" s="131" t="s">
        <v>70</v>
      </c>
      <c r="C83" s="35">
        <f>IFERROR(AVERAGEIFS(Рудник!$F:$F,Рудник!$B:$B,A81,Рудник!$A:$A,"&gt;"&amp;DATE(YEAR(Рудник!$A$6),MONTH(Рудник!$A$6),20)),"~")</f>
        <v>-8.4909090909090903</v>
      </c>
      <c r="K83" s="2"/>
      <c r="L83" s="2"/>
      <c r="M83" s="2"/>
    </row>
    <row r="84" spans="1:13" x14ac:dyDescent="0.25">
      <c r="A84" s="37"/>
      <c r="B84" s="132" t="s">
        <v>71</v>
      </c>
      <c r="C84" s="35">
        <f>AVERAGEIFS(Рудник!$F:$F,Рудник!$B:$B,A81)</f>
        <v>-9.5741935483870986</v>
      </c>
      <c r="K84" s="2"/>
      <c r="L84" s="2"/>
      <c r="M84" s="2"/>
    </row>
    <row r="85" spans="1:13" x14ac:dyDescent="0.25">
      <c r="A85" s="8" t="s">
        <v>11</v>
      </c>
      <c r="B85" s="130" t="s">
        <v>68</v>
      </c>
      <c r="C85" s="35">
        <f>IFERROR(AVERAGEIFS(Рудник!$F:$F,Рудник!$B:$B,A85,Рудник!$A:$A,"&lt;="&amp;DATE(YEAR(Рудник!$A$6),MONTH(Рудник!$A$6),10)),"~")</f>
        <v>-13</v>
      </c>
      <c r="K85" s="2"/>
      <c r="L85" s="2"/>
      <c r="M85" s="2"/>
    </row>
    <row r="86" spans="1:13" x14ac:dyDescent="0.25">
      <c r="A86" s="37"/>
      <c r="B86" s="131" t="s">
        <v>69</v>
      </c>
      <c r="C86" s="35">
        <f>IFERROR(AVERAGEIFS(Рудник!$F:$F,Рудник!$B:$B,A85,Рудник!$A:$A,"&lt;="&amp;DATE(YEAR(Рудник!$A$6),MONTH(Рудник!$A$6),20),Рудник!$A:$A,"&gt;"&amp;DATE(YEAR(Рудник!$A$6),MONTH(Рудник!$A$6),10)),"~")</f>
        <v>-8.4499999999999993</v>
      </c>
      <c r="K86" s="2"/>
      <c r="L86" s="2"/>
      <c r="M86" s="2"/>
    </row>
    <row r="87" spans="1:13" x14ac:dyDescent="0.25">
      <c r="A87" s="37"/>
      <c r="B87" s="131" t="s">
        <v>70</v>
      </c>
      <c r="C87" s="35">
        <f>IFERROR(AVERAGEIFS(Рудник!$F:$F,Рудник!$B:$B,A85,Рудник!$A:$A,"&gt;"&amp;DATE(YEAR(Рудник!$A$6),MONTH(Рудник!$A$6),20)),"~")</f>
        <v>-8.3545454545454554</v>
      </c>
      <c r="K87" s="2"/>
      <c r="L87" s="2"/>
      <c r="M87" s="2"/>
    </row>
    <row r="88" spans="1:13" x14ac:dyDescent="0.25">
      <c r="A88" s="37"/>
      <c r="B88" s="132" t="s">
        <v>71</v>
      </c>
      <c r="C88" s="35">
        <f>AVERAGEIFS(Рудник!$F:$F,Рудник!$B:$B,A85)</f>
        <v>-9.8838709677419363</v>
      </c>
      <c r="K88" s="2"/>
      <c r="L88" s="2"/>
      <c r="M88" s="2"/>
    </row>
    <row r="89" spans="1:13" x14ac:dyDescent="0.25">
      <c r="A89" s="8" t="s">
        <v>12</v>
      </c>
      <c r="B89" s="130" t="s">
        <v>68</v>
      </c>
      <c r="C89" s="35">
        <f>IFERROR(AVERAGEIFS(Рудник!$F:$F,Рудник!$B:$B,A89,Рудник!$A:$A,"&lt;="&amp;DATE(YEAR(Рудник!$A$6),MONTH(Рудник!$A$6),10)),"~")</f>
        <v>-13.12</v>
      </c>
      <c r="K89" s="2"/>
      <c r="L89" s="2"/>
      <c r="M89" s="2"/>
    </row>
    <row r="90" spans="1:13" x14ac:dyDescent="0.25">
      <c r="A90" s="37"/>
      <c r="B90" s="131" t="s">
        <v>69</v>
      </c>
      <c r="C90" s="35">
        <f>IFERROR(AVERAGEIFS(Рудник!$F:$F,Рудник!$B:$B,A89,Рудник!$A:$A,"&lt;="&amp;DATE(YEAR(Рудник!$A$6),MONTH(Рудник!$A$6),20),Рудник!$A:$A,"&gt;"&amp;DATE(YEAR(Рудник!$A$6),MONTH(Рудник!$A$6),10)),"~")</f>
        <v>-8.740000000000002</v>
      </c>
      <c r="K90" s="2"/>
      <c r="L90" s="2"/>
      <c r="M90" s="2"/>
    </row>
    <row r="91" spans="1:13" x14ac:dyDescent="0.25">
      <c r="A91" s="37"/>
      <c r="B91" s="131" t="s">
        <v>70</v>
      </c>
      <c r="C91" s="35">
        <f>IFERROR(AVERAGEIFS(Рудник!$F:$F,Рудник!$B:$B,A89,Рудник!$A:$A,"&gt;"&amp;DATE(YEAR(Рудник!$A$6),MONTH(Рудник!$A$6),20)),"~")</f>
        <v>-8.3909090909090889</v>
      </c>
      <c r="K91" s="2"/>
      <c r="L91" s="2"/>
      <c r="M91" s="2"/>
    </row>
    <row r="92" spans="1:13" x14ac:dyDescent="0.25">
      <c r="A92" s="37"/>
      <c r="B92" s="132" t="s">
        <v>71</v>
      </c>
      <c r="C92" s="35">
        <f>AVERAGEIFS(Рудник!$F:$F,Рудник!$B:$B,A89)</f>
        <v>-10.029032258064515</v>
      </c>
      <c r="K92" s="2"/>
      <c r="L92" s="2"/>
      <c r="M92" s="2"/>
    </row>
    <row r="93" spans="1:13" x14ac:dyDescent="0.25">
      <c r="A93" s="8" t="s">
        <v>13</v>
      </c>
      <c r="B93" s="130" t="s">
        <v>68</v>
      </c>
      <c r="C93" s="35">
        <f>IFERROR(AVERAGEIFS(Рудник!$F:$F,Рудник!$B:$B,A93,Рудник!$A:$A,"&lt;="&amp;DATE(YEAR(Рудник!$A$6),MONTH(Рудник!$A$6),10)),"~")</f>
        <v>-12.489999999999998</v>
      </c>
      <c r="K93" s="2"/>
      <c r="L93" s="2"/>
      <c r="M93" s="2"/>
    </row>
    <row r="94" spans="1:13" x14ac:dyDescent="0.25">
      <c r="A94" s="37"/>
      <c r="B94" s="131" t="s">
        <v>69</v>
      </c>
      <c r="C94" s="35">
        <f>IFERROR(AVERAGEIFS(Рудник!$F:$F,Рудник!$B:$B,A93,Рудник!$A:$A,"&lt;="&amp;DATE(YEAR(Рудник!$A$6),MONTH(Рудник!$A$6),20),Рудник!$A:$A,"&gt;"&amp;DATE(YEAR(Рудник!$A$6),MONTH(Рудник!$A$6),10)),"~")</f>
        <v>-8.6999999999999993</v>
      </c>
      <c r="K94" s="2"/>
      <c r="L94" s="2"/>
      <c r="M94" s="2"/>
    </row>
    <row r="95" spans="1:13" x14ac:dyDescent="0.25">
      <c r="A95" s="37"/>
      <c r="B95" s="131" t="s">
        <v>70</v>
      </c>
      <c r="C95" s="35">
        <f>IFERROR(AVERAGEIFS(Рудник!$F:$F,Рудник!$B:$B,A93,Рудник!$A:$A,"&gt;"&amp;DATE(YEAR(Рудник!$A$6),MONTH(Рудник!$A$6),20)),"~")</f>
        <v>-8.4636363636363647</v>
      </c>
      <c r="K95" s="2"/>
      <c r="L95" s="2"/>
      <c r="M95" s="2"/>
    </row>
    <row r="96" spans="1:13" x14ac:dyDescent="0.25">
      <c r="A96" s="37"/>
      <c r="B96" s="132" t="s">
        <v>71</v>
      </c>
      <c r="C96" s="35">
        <f>AVERAGEIFS(Рудник!$F:$F,Рудник!$B:$B,A93)</f>
        <v>-9.8387096774193541</v>
      </c>
      <c r="K96" s="2"/>
      <c r="L96" s="2"/>
      <c r="M96" s="2"/>
    </row>
    <row r="97" spans="1:13" x14ac:dyDescent="0.25">
      <c r="A97" s="8" t="s">
        <v>14</v>
      </c>
      <c r="B97" s="130" t="s">
        <v>68</v>
      </c>
      <c r="C97" s="35">
        <f>IFERROR(AVERAGEIFS(Рудник!$F:$F,Рудник!$B:$B,A97,Рудник!$A:$A,"&lt;="&amp;DATE(YEAR(Рудник!$A$6),MONTH(Рудник!$A$6),10)),"~")</f>
        <v>-12.04</v>
      </c>
      <c r="K97" s="2"/>
      <c r="L97" s="2"/>
      <c r="M97" s="2"/>
    </row>
    <row r="98" spans="1:13" x14ac:dyDescent="0.25">
      <c r="A98" s="37"/>
      <c r="B98" s="131" t="s">
        <v>69</v>
      </c>
      <c r="C98" s="35">
        <f>IFERROR(AVERAGEIFS(Рудник!$F:$F,Рудник!$B:$B,A97,Рудник!$A:$A,"&lt;="&amp;DATE(YEAR(Рудник!$A$6),MONTH(Рудник!$A$6),20),Рудник!$A:$A,"&gt;"&amp;DATE(YEAR(Рудник!$A$6),MONTH(Рудник!$A$6),10)),"~")</f>
        <v>-6.1</v>
      </c>
      <c r="K98" s="2"/>
      <c r="L98" s="2"/>
      <c r="M98" s="2"/>
    </row>
    <row r="99" spans="1:13" x14ac:dyDescent="0.25">
      <c r="A99" s="37"/>
      <c r="B99" s="131" t="s">
        <v>70</v>
      </c>
      <c r="C99" s="35">
        <f>IFERROR(AVERAGEIFS(Рудник!$F:$F,Рудник!$B:$B,A97,Рудник!$A:$A,"&gt;"&amp;DATE(YEAR(Рудник!$A$6),MONTH(Рудник!$A$6),20)),"~")</f>
        <v>-6.6727272727272728</v>
      </c>
      <c r="K99" s="2"/>
      <c r="L99" s="2"/>
      <c r="M99" s="2"/>
    </row>
    <row r="100" spans="1:13" x14ac:dyDescent="0.25">
      <c r="A100" s="37"/>
      <c r="B100" s="132" t="s">
        <v>71</v>
      </c>
      <c r="C100" s="35">
        <f>AVERAGEIFS(Рудник!$F:$F,Рудник!$B:$B,A97)</f>
        <v>-8.2193548387096786</v>
      </c>
      <c r="K100" s="2"/>
      <c r="L100" s="2"/>
      <c r="M100" s="2"/>
    </row>
    <row r="101" spans="1:13" x14ac:dyDescent="0.25">
      <c r="A101" s="8" t="s">
        <v>15</v>
      </c>
      <c r="B101" s="130" t="s">
        <v>68</v>
      </c>
      <c r="C101" s="35">
        <f>IFERROR(AVERAGEIFS(Рудник!$F:$F,Рудник!$B:$B,A101,Рудник!$A:$A,"&lt;="&amp;DATE(YEAR(Рудник!$A$6),MONTH(Рудник!$A$6),10)),"~")</f>
        <v>-10.599999999999998</v>
      </c>
      <c r="K101" s="2"/>
      <c r="L101" s="2"/>
      <c r="M101" s="2"/>
    </row>
    <row r="102" spans="1:13" x14ac:dyDescent="0.25">
      <c r="A102" s="37"/>
      <c r="B102" s="131" t="s">
        <v>69</v>
      </c>
      <c r="C102" s="35">
        <f>IFERROR(AVERAGEIFS(Рудник!$F:$F,Рудник!$B:$B,A101,Рудник!$A:$A,"&lt;="&amp;DATE(YEAR(Рудник!$A$6),MONTH(Рудник!$A$6),20),Рудник!$A:$A,"&gt;"&amp;DATE(YEAR(Рудник!$A$6),MONTH(Рудник!$A$6),10)),"~")</f>
        <v>-4.76</v>
      </c>
      <c r="K102" s="2"/>
      <c r="L102" s="2"/>
      <c r="M102" s="2"/>
    </row>
    <row r="103" spans="1:13" x14ac:dyDescent="0.25">
      <c r="A103" s="37"/>
      <c r="B103" s="131" t="s">
        <v>70</v>
      </c>
      <c r="C103" s="35">
        <f>IFERROR(AVERAGEIFS(Рудник!$F:$F,Рудник!$B:$B,A101,Рудник!$A:$A,"&gt;"&amp;DATE(YEAR(Рудник!$A$6),MONTH(Рудник!$A$6),20)),"~")</f>
        <v>-5.827272727272728</v>
      </c>
      <c r="K103" s="2"/>
      <c r="L103" s="2"/>
      <c r="M103" s="2"/>
    </row>
    <row r="104" spans="1:13" x14ac:dyDescent="0.25">
      <c r="A104" s="37"/>
      <c r="B104" s="132" t="s">
        <v>71</v>
      </c>
      <c r="C104" s="35">
        <f>AVERAGEIFS(Рудник!$F:$F,Рудник!$B:$B,A101)</f>
        <v>-7.0225806451612893</v>
      </c>
      <c r="K104" s="2"/>
      <c r="L104" s="2"/>
      <c r="M104" s="2"/>
    </row>
    <row r="105" spans="1:13" x14ac:dyDescent="0.25">
      <c r="A105" s="8" t="s">
        <v>16</v>
      </c>
      <c r="B105" s="130" t="s">
        <v>68</v>
      </c>
      <c r="C105" s="35">
        <f>IFERROR(AVERAGEIFS(Рудник!$F:$F,Рудник!$B:$B,A105,Рудник!$A:$A,"&lt;="&amp;DATE(YEAR(Рудник!$A$6),MONTH(Рудник!$A$6),10)),"~")</f>
        <v>-11.18</v>
      </c>
      <c r="K105" s="2"/>
      <c r="L105" s="2"/>
      <c r="M105" s="2"/>
    </row>
    <row r="106" spans="1:13" x14ac:dyDescent="0.25">
      <c r="A106" s="37"/>
      <c r="B106" s="131" t="s">
        <v>69</v>
      </c>
      <c r="C106" s="35">
        <f>IFERROR(AVERAGEIFS(Рудник!$F:$F,Рудник!$B:$B,A105,Рудник!$A:$A,"&lt;="&amp;DATE(YEAR(Рудник!$A$6),MONTH(Рудник!$A$6),20),Рудник!$A:$A,"&gt;"&amp;DATE(YEAR(Рудник!$A$6),MONTH(Рудник!$A$6),10)),"~")</f>
        <v>-6.910000000000001</v>
      </c>
      <c r="K106" s="2"/>
      <c r="L106" s="2"/>
      <c r="M106" s="2"/>
    </row>
    <row r="107" spans="1:13" x14ac:dyDescent="0.25">
      <c r="A107" s="37"/>
      <c r="B107" s="131" t="s">
        <v>70</v>
      </c>
      <c r="C107" s="35">
        <f>IFERROR(AVERAGEIFS(Рудник!$F:$F,Рудник!$B:$B,A105,Рудник!$A:$A,"&gt;"&amp;DATE(YEAR(Рудник!$A$6),MONTH(Рудник!$A$6),20)),"~")</f>
        <v>-6.1909090909090914</v>
      </c>
      <c r="K107" s="2"/>
      <c r="L107" s="2"/>
      <c r="M107" s="2"/>
    </row>
    <row r="108" spans="1:13" x14ac:dyDescent="0.25">
      <c r="A108" s="37"/>
      <c r="B108" s="132" t="s">
        <v>71</v>
      </c>
      <c r="C108" s="35">
        <f>AVERAGEIFS(Рудник!$F:$F,Рудник!$B:$B,A105)</f>
        <v>-8.0322580645161299</v>
      </c>
      <c r="K108" s="2"/>
      <c r="L108" s="2"/>
      <c r="M108" s="2"/>
    </row>
    <row r="109" spans="1:13" x14ac:dyDescent="0.25">
      <c r="A109" s="8" t="s">
        <v>17</v>
      </c>
      <c r="B109" s="130" t="s">
        <v>68</v>
      </c>
      <c r="C109" s="35">
        <f>IFERROR(AVERAGEIFS(Рудник!$F:$F,Рудник!$B:$B,A109,Рудник!$A:$A,"&lt;="&amp;DATE(YEAR(Рудник!$A$6),MONTH(Рудник!$A$6),10)),"~")</f>
        <v>-11.52</v>
      </c>
      <c r="K109" s="2"/>
      <c r="L109" s="2"/>
      <c r="M109" s="2"/>
    </row>
    <row r="110" spans="1:13" x14ac:dyDescent="0.25">
      <c r="A110" s="37"/>
      <c r="B110" s="131" t="s">
        <v>69</v>
      </c>
      <c r="C110" s="35">
        <f>IFERROR(AVERAGEIFS(Рудник!$F:$F,Рудник!$B:$B,A109,Рудник!$A:$A,"&lt;="&amp;DATE(YEAR(Рудник!$A$6),MONTH(Рудник!$A$6),20),Рудник!$A:$A,"&gt;"&amp;DATE(YEAR(Рудник!$A$6),MONTH(Рудник!$A$6),10)),"~")</f>
        <v>-8.370000000000001</v>
      </c>
      <c r="K110" s="2"/>
      <c r="L110" s="2"/>
      <c r="M110" s="2"/>
    </row>
    <row r="111" spans="1:13" x14ac:dyDescent="0.25">
      <c r="A111" s="37"/>
      <c r="B111" s="131" t="s">
        <v>70</v>
      </c>
      <c r="C111" s="35">
        <f>IFERROR(AVERAGEIFS(Рудник!$F:$F,Рудник!$B:$B,A109,Рудник!$A:$A,"&gt;"&amp;DATE(YEAR(Рудник!$A$6),MONTH(Рудник!$A$6),20)),"~")</f>
        <v>-7.2</v>
      </c>
      <c r="K111" s="2"/>
      <c r="L111" s="2"/>
      <c r="M111" s="2"/>
    </row>
    <row r="112" spans="1:13" x14ac:dyDescent="0.25">
      <c r="A112" s="37"/>
      <c r="B112" s="132" t="s">
        <v>71</v>
      </c>
      <c r="C112" s="35">
        <f>AVERAGEIFS(Рудник!$F:$F,Рудник!$B:$B,A109)</f>
        <v>-8.9709677419354836</v>
      </c>
      <c r="K112" s="2"/>
      <c r="L112" s="2"/>
      <c r="M112" s="2"/>
    </row>
  </sheetData>
  <mergeCells count="12">
    <mergeCell ref="B80:C80"/>
    <mergeCell ref="P38:R38"/>
    <mergeCell ref="M2:M3"/>
    <mergeCell ref="B72:N72"/>
    <mergeCell ref="B77:C77"/>
    <mergeCell ref="B78:C78"/>
    <mergeCell ref="B79:C79"/>
    <mergeCell ref="A1:A4"/>
    <mergeCell ref="E1:G2"/>
    <mergeCell ref="K2:K3"/>
    <mergeCell ref="I2:I3"/>
    <mergeCell ref="L2:L3"/>
  </mergeCells>
  <conditionalFormatting sqref="B1:D36 B232:D1048576">
    <cfRule type="cellIs" dxfId="15" priority="41" operator="lessThan">
      <formula>0</formula>
    </cfRule>
  </conditionalFormatting>
  <conditionalFormatting sqref="B41:D44 B53:D53 B55:D55 D100:D112">
    <cfRule type="cellIs" dxfId="14" priority="38" operator="lessThan">
      <formula>0</formula>
    </cfRule>
  </conditionalFormatting>
  <conditionalFormatting sqref="B45:E52">
    <cfRule type="cellIs" dxfId="13" priority="7" operator="lessThan">
      <formula>0</formula>
    </cfRule>
  </conditionalFormatting>
  <conditionalFormatting sqref="B54:E54 G54 I54 K54 M54 O54 Q54 Z57">
    <cfRule type="cellIs" dxfId="12" priority="6" operator="lessThan">
      <formula>0</formula>
    </cfRule>
  </conditionalFormatting>
  <conditionalFormatting sqref="B37:N40">
    <cfRule type="cellIs" dxfId="11" priority="39" operator="lessThan">
      <formula>0</formula>
    </cfRule>
  </conditionalFormatting>
  <conditionalFormatting sqref="C81:C112">
    <cfRule type="cellIs" dxfId="10" priority="1" operator="lessThan">
      <formula>0</formula>
    </cfRule>
  </conditionalFormatting>
  <conditionalFormatting sqref="F45:F54">
    <cfRule type="cellIs" dxfId="9" priority="5" operator="lessThan">
      <formula>0</formula>
    </cfRule>
  </conditionalFormatting>
  <conditionalFormatting sqref="G45:G52">
    <cfRule type="cellIs" dxfId="8" priority="4" operator="lessThan">
      <formula>0</formula>
    </cfRule>
  </conditionalFormatting>
  <conditionalFormatting sqref="H45:H54">
    <cfRule type="cellIs" dxfId="7" priority="21" operator="lessThan">
      <formula>0</formula>
    </cfRule>
  </conditionalFormatting>
  <conditionalFormatting sqref="H5:J36 H232:J1048576">
    <cfRule type="cellIs" dxfId="6" priority="40" operator="greaterThanOrEqual">
      <formula>15</formula>
    </cfRule>
  </conditionalFormatting>
  <conditionalFormatting sqref="H41:J42 I53 H55:J55 H100:J112">
    <cfRule type="cellIs" dxfId="5" priority="37" operator="greaterThanOrEqual">
      <formula>15</formula>
    </cfRule>
  </conditionalFormatting>
  <conditionalFormatting sqref="I45:I52 K45:K52 M45:M52 O45:O52 Q45:Q52 S45:S52 U45:U52 W45:W52 Y45:Y52 AA45:AA52 AC45:AC52 AE45:AE52 AG45:AG52">
    <cfRule type="cellIs" dxfId="4" priority="10" operator="lessThan">
      <formula>0</formula>
    </cfRule>
  </conditionalFormatting>
  <conditionalFormatting sqref="J45:J54 L45:L54 N45:N54 P45:P54 R45:R54 T45:T54 V45:V54 X45:X54 Z45:Z54 AB45:AB54 AD45:AD54 AF45:AF54">
    <cfRule type="cellIs" dxfId="3" priority="3" operator="lessThan">
      <formula>0</formula>
    </cfRule>
  </conditionalFormatting>
  <conditionalFormatting sqref="S54 U54 W54 Y54 AA54 AC54 AE54 AG54">
    <cfRule type="cellIs" dxfId="2" priority="9" operator="lessThan">
      <formula>0</formula>
    </cfRule>
  </conditionalFormatting>
  <conditionalFormatting sqref="Y59">
    <cfRule type="cellIs" dxfId="1" priority="8" operator="lessThan">
      <formula>0</formula>
    </cfRule>
  </conditionalFormatting>
  <conditionalFormatting sqref="AH45:AH54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E5BF7B-F48E-43EF-B5E9-1440C3DBC2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Сводная Круча</vt:lpstr>
      <vt:lpstr>Погода Круча</vt:lpstr>
      <vt:lpstr>Рудник</vt:lpstr>
      <vt:lpstr>Рудник для сводной </vt:lpstr>
      <vt:lpstr>Основные показатели</vt:lpstr>
      <vt:lpstr>температура</vt:lpstr>
      <vt:lpstr>ветер</vt:lpstr>
      <vt:lpstr>Сводная Рудник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 Владимир Евгеньевич</dc:creator>
  <cp:lastModifiedBy>Elena P</cp:lastModifiedBy>
  <dcterms:created xsi:type="dcterms:W3CDTF">2023-08-04T21:15:35Z</dcterms:created>
  <dcterms:modified xsi:type="dcterms:W3CDTF">2023-09-19T05:26:36Z</dcterms:modified>
</cp:coreProperties>
</file>