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-file\share\Производительность\Приказ о сложности профиля\"/>
    </mc:Choice>
  </mc:AlternateContent>
  <xr:revisionPtr revIDLastSave="0" documentId="13_ncr:1_{FC658DBB-B6C8-4CDA-A803-40800BAACA32}" xr6:coauthVersionLast="47" xr6:coauthVersionMax="47" xr10:uidLastSave="{00000000-0000-0000-0000-000000000000}"/>
  <bookViews>
    <workbookView xWindow="-108" yWindow="-17388" windowWidth="30936" windowHeight="16896" tabRatio="222" xr2:uid="{00000000-000D-0000-FFFF-FFFF00000000}"/>
  </bookViews>
  <sheets>
    <sheet name="Лист1" sheetId="1" r:id="rId1"/>
  </sheets>
  <definedNames>
    <definedName name="solver_adj" localSheetId="0" hidden="1">Лист1!$G$12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Лист1!$G$13</definedName>
    <definedName name="solver_lhs2" localSheetId="0" hidden="1">Лист1!$G$17</definedName>
    <definedName name="solver_lhs3" localSheetId="0" hidden="1">Лист1!$G$12</definedName>
    <definedName name="solver_lhs4" localSheetId="0" hidden="1">Лист1!$G$17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Лист1!$G$17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4</definedName>
    <definedName name="solver_rel4" localSheetId="0" hidden="1">1</definedName>
    <definedName name="solver_rhs1" localSheetId="0" hidden="1">Лист1!$C$16</definedName>
    <definedName name="solver_rhs2" localSheetId="0" hidden="1">Лист1!$C$17</definedName>
    <definedName name="solver_rhs3" localSheetId="0" hidden="1">"целое"</definedName>
    <definedName name="solver_rhs4" localSheetId="0" hidden="1">Лист1!$C$17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C15" i="1"/>
  <c r="G6" i="1"/>
  <c r="C20" i="1" l="1"/>
  <c r="G14" i="1" s="1"/>
  <c r="G13" i="1" l="1"/>
  <c r="K19" i="1"/>
  <c r="G15" i="1" l="1"/>
  <c r="G17" i="1" s="1"/>
  <c r="G19" i="1" s="1"/>
  <c r="K20" i="1"/>
  <c r="K17" i="1" l="1"/>
  <c r="K18" i="1" s="1"/>
  <c r="G18" i="1"/>
  <c r="K12" i="1"/>
  <c r="K13" i="1"/>
  <c r="K14" i="1" l="1"/>
  <c r="K15" i="1" s="1"/>
</calcChain>
</file>

<file path=xl/sharedStrings.xml><?xml version="1.0" encoding="utf-8"?>
<sst xmlns="http://schemas.openxmlformats.org/spreadsheetml/2006/main" count="83" uniqueCount="83">
  <si>
    <t>Обрезь с хлыста, м.</t>
  </si>
  <si>
    <t>% брака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</si>
  <si>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</si>
  <si>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</si>
  <si>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</si>
  <si>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</si>
  <si>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</si>
  <si>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</si>
  <si>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</si>
  <si>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</si>
  <si>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</si>
  <si>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</si>
  <si>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</si>
  <si>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</si>
  <si>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</t>
  </si>
  <si>
    <t>M</t>
  </si>
  <si>
    <t>S</t>
  </si>
  <si>
    <t>SI</t>
  </si>
  <si>
    <t>Σ</t>
  </si>
  <si>
    <t>КП</t>
  </si>
  <si>
    <t>КО</t>
  </si>
  <si>
    <t>КВГ</t>
  </si>
  <si>
    <t>КВГ до отбраковки
=100%-КП-КО</t>
  </si>
  <si>
    <t>КБ</t>
  </si>
  <si>
    <t>Время прессования одного цилиндра,сек</t>
  </si>
  <si>
    <t>T</t>
  </si>
  <si>
    <t>V</t>
  </si>
  <si>
    <t>Xo</t>
  </si>
  <si>
    <t>X</t>
  </si>
  <si>
    <t>КВГo</t>
  </si>
  <si>
    <t>КВГo - КБ</t>
  </si>
  <si>
    <t>MI</t>
  </si>
  <si>
    <t>производительность кг/ч
=Xo*(100%-КБ)</t>
  </si>
  <si>
    <t>Константы для пресса</t>
  </si>
  <si>
    <t>Вес п/см слитка кг.</t>
  </si>
  <si>
    <t>Мертвое время с.</t>
  </si>
  <si>
    <t>Диаметр втулки мм.</t>
  </si>
  <si>
    <t>Длина конвейера м.</t>
  </si>
  <si>
    <t>Номер пресса</t>
  </si>
  <si>
    <t>Теор. Вес. Кг/м.</t>
  </si>
  <si>
    <t>Диаметр заготовки</t>
  </si>
  <si>
    <t>% прессостатка
=(MI-(L*B*G))/MI</t>
  </si>
  <si>
    <t>% обрези
=B*G*J/MI</t>
  </si>
  <si>
    <t>производительность кг/ч без отбраковки
=3600/(T+F)*A*B*G*K</t>
  </si>
  <si>
    <t>макс. длина заготовки</t>
  </si>
  <si>
    <t>Длина хлыста м.
L=K*A+J</t>
  </si>
  <si>
    <t xml:space="preserve">Длина заготовки 
без пресс-остатка см.
S=L*B*G/E </t>
  </si>
  <si>
    <t>Длина заготовки  
с пресс-остатком см.
SI=S+I см.</t>
  </si>
  <si>
    <t>https://changellenge.com/article/ishchem-optimalnoe-reshenie-zadachi-s-neizvestnymi-parametrami-v-excel-/</t>
  </si>
  <si>
    <t>DV</t>
  </si>
  <si>
    <t>SM</t>
  </si>
  <si>
    <t>скорость плунжера мм/сек
V=S*10/T/(DV/D)</t>
  </si>
  <si>
    <t>Площадь втулки мм.кв.
=СТЕПЕНЬ(DV/2;2)*ПИ()</t>
  </si>
  <si>
    <t>Вес заготовки 
без пресс-остатка кг.
M=SI*E</t>
  </si>
  <si>
    <t>Вес заготовки
с пресс-остатком кг.
M=SI*E</t>
  </si>
  <si>
    <t>Количество целых профилей из одного выхода
K=ОКР((С-J)/A)</t>
  </si>
  <si>
    <t>Коэф. Вытяжки
M=P/H/B</t>
  </si>
  <si>
    <t xml:space="preserve">Площадь сечения профиля мм.кв.
=G/2.71*1000  </t>
  </si>
  <si>
    <t>Длина профиля м.</t>
  </si>
  <si>
    <t>Количество выходов матрицы</t>
  </si>
  <si>
    <t>Атрибуты заказа</t>
  </si>
  <si>
    <t>Данные из техкарты для профиля</t>
  </si>
  <si>
    <t>Расчетные показатели для заготовки</t>
  </si>
  <si>
    <t>Показатели работы пресса</t>
  </si>
  <si>
    <t>Данные в зеленых ячейках доступны для редактирования
Данные в розовых ячейках вычисляются функцией  Данные -&gt; Анализ-&gt; Поиск решения
Если нет такого пункта меню, прочитайте статью по ссылке ниже</t>
  </si>
  <si>
    <t>Формула расчета производительности прессов</t>
  </si>
  <si>
    <t>W</t>
  </si>
  <si>
    <t>Отношение диаметр втулки к диаметру заготовки</t>
  </si>
  <si>
    <t>DW</t>
  </si>
  <si>
    <t>скорость выхода профиля (пуллера) м/мин
W=V*Σ/DW*60/1000</t>
  </si>
  <si>
    <t>Приложение №2 к приказу об утверждении сложности профиля</t>
  </si>
  <si>
    <t>O</t>
  </si>
  <si>
    <t>Сплошная или полая
Сплошная = 1, полая= 0</t>
  </si>
  <si>
    <t>AN</t>
  </si>
  <si>
    <t>Под анод</t>
  </si>
  <si>
    <t>Длина пресс-ост. См
Значения из таблицы</t>
  </si>
  <si>
    <t>Пресс остаток, см</t>
  </si>
  <si>
    <r>
      <t xml:space="preserve">Обрезь, </t>
    </r>
    <r>
      <rPr>
        <sz val="11"/>
        <color theme="1"/>
        <rFont val="Calibri"/>
        <family val="2"/>
        <charset val="204"/>
        <scheme val="minor"/>
      </rPr>
      <t>м</t>
    </r>
  </si>
  <si>
    <t>Диаметр слитка</t>
  </si>
  <si>
    <t>Полый или под анод</t>
  </si>
  <si>
    <t>сплошной без анода</t>
  </si>
  <si>
    <t>Брак пресса</t>
  </si>
  <si>
    <t>Брак после пресса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</si>
</sst>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66" fontId="0" fillId="6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5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6" fontId="5" fillId="6" borderId="1" xfId="1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5" fontId="0" fillId="0" borderId="1" xfId="0" applyNumberFormat="1" applyBorder="1"/>
    <xf numFmtId="9" fontId="0" fillId="0" borderId="1" xfId="1" applyFont="1" applyBorder="1"/>
    <xf numFmtId="0" fontId="0" fillId="2" borderId="1" xfId="0" applyFill="1" applyBorder="1" applyAlignment="1">
      <alignment horizontal="left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top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0" xfId="2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angellenge.com/article/ishchem-optimalnoe-reshenie-zadachi-s-neizvestnymi-parametrami-v-excel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zoomScale="85" zoomScaleNormal="85" zoomScalePageLayoutView="55" workbookViewId="0">
      <selection activeCell="M14" sqref="M14"/>
    </sheetView>
  </sheetViews>
  <sheetFormatPr defaultRowHeight="14.25" x14ac:dyDescent="0.45"/>
  <cols>
    <col min="1" max="1" width="6.59765625" style="2" customWidth="1"/>
    <col min="2" max="2" width="26.265625" style="5" customWidth="1"/>
    <col min="3" max="3" width="9.73046875" style="2" customWidth="1"/>
    <col min="4" max="4" width="5" customWidth="1"/>
    <col min="5" max="5" width="6.86328125" style="2" customWidth="1"/>
    <col min="6" max="6" width="27.59765625" style="10" customWidth="1"/>
    <col min="7" max="7" width="10.73046875" style="2" customWidth="1"/>
    <col min="8" max="8" width="4.1328125" style="1" customWidth="1"/>
    <col min="9" max="9" width="8" style="2" customWidth="1"/>
    <col min="10" max="10" width="24.265625" style="16" customWidth="1"/>
    <col min="11" max="11" width="12" style="2" customWidth="1"/>
    <col min="13" max="13" width="14.46484375" customWidth="1"/>
    <col min="14" max="14" width="13.59765625" customWidth="1"/>
  </cols>
  <sheetData>
    <row r="1" spans="1:17" ht="30.75" customHeight="1" x14ac:dyDescent="0.45">
      <c r="A1" s="59" t="s">
        <v>70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7" ht="26.25" customHeight="1" x14ac:dyDescent="0.45">
      <c r="A2" s="58" t="s">
        <v>65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7" ht="36" customHeight="1" x14ac:dyDescent="0.45">
      <c r="C3" s="5"/>
    </row>
    <row r="4" spans="1:17" ht="30.75" customHeight="1" x14ac:dyDescent="0.45">
      <c r="A4" s="61" t="s">
        <v>60</v>
      </c>
      <c r="B4" s="61"/>
      <c r="C4" s="61"/>
      <c r="E4" s="60" t="s">
        <v>61</v>
      </c>
      <c r="F4" s="60"/>
      <c r="G4" s="60"/>
      <c r="I4" s="65" t="s">
        <v>64</v>
      </c>
      <c r="J4" s="65"/>
      <c r="K4" s="65"/>
      <c r="M4" s="46"/>
      <c r="N4" s="46"/>
      <c r="O4" s="56" t="s">
        <v>78</v>
      </c>
      <c r="P4" s="56"/>
      <c r="Q4" s="56"/>
    </row>
    <row r="5" spans="1:17" ht="27" customHeight="1" x14ac:dyDescent="0.45">
      <c r="A5" s="14" t="s">
        <v>2</v>
      </c>
      <c r="B5" s="6" t="s">
        <v>58</v>
      </c>
      <c r="C5" s="30">
        <v>6</v>
      </c>
      <c r="E5" s="3" t="s">
        <v>8</v>
      </c>
      <c r="F5" s="11" t="s">
        <v>39</v>
      </c>
      <c r="G5" s="24">
        <v>0.4</v>
      </c>
      <c r="I5" s="65"/>
      <c r="J5" s="65"/>
      <c r="K5" s="65"/>
      <c r="L5" s="5"/>
      <c r="M5" s="46"/>
      <c r="N5" s="46"/>
      <c r="O5" s="46">
        <v>127</v>
      </c>
      <c r="P5" s="46">
        <v>152</v>
      </c>
      <c r="Q5" s="46">
        <v>228</v>
      </c>
    </row>
    <row r="6" spans="1:17" ht="43.5" customHeight="1" x14ac:dyDescent="0.45">
      <c r="A6" s="14" t="s">
        <v>3</v>
      </c>
      <c r="B6" s="7" t="s">
        <v>59</v>
      </c>
      <c r="C6" s="30">
        <v>2</v>
      </c>
      <c r="E6" s="3" t="s">
        <v>9</v>
      </c>
      <c r="F6" s="23" t="s">
        <v>57</v>
      </c>
      <c r="G6" s="22">
        <f>G5/2.71*1000</f>
        <v>147.60147601476015</v>
      </c>
      <c r="I6" s="65"/>
      <c r="J6" s="65"/>
      <c r="K6" s="65"/>
      <c r="L6" s="5"/>
      <c r="M6" s="57" t="s">
        <v>76</v>
      </c>
      <c r="N6" s="47" t="s">
        <v>79</v>
      </c>
      <c r="O6" s="50">
        <v>2</v>
      </c>
      <c r="P6" s="50">
        <v>2.5</v>
      </c>
      <c r="Q6" s="50">
        <v>5</v>
      </c>
    </row>
    <row r="7" spans="1:17" ht="32.25" customHeight="1" x14ac:dyDescent="0.45">
      <c r="A7" s="14" t="s">
        <v>73</v>
      </c>
      <c r="B7" s="7" t="s">
        <v>74</v>
      </c>
      <c r="C7" s="30">
        <v>0</v>
      </c>
      <c r="E7" s="3" t="s">
        <v>71</v>
      </c>
      <c r="F7" s="55" t="s">
        <v>72</v>
      </c>
      <c r="G7" s="30">
        <v>1</v>
      </c>
      <c r="I7" s="65"/>
      <c r="J7" s="65"/>
      <c r="K7" s="65"/>
      <c r="L7" s="5"/>
      <c r="M7" s="57"/>
      <c r="N7" s="47" t="s">
        <v>80</v>
      </c>
      <c r="O7" s="50">
        <v>1</v>
      </c>
      <c r="P7" s="50">
        <v>1.5</v>
      </c>
      <c r="Q7" s="50">
        <v>3</v>
      </c>
    </row>
    <row r="8" spans="1:17" ht="33.75" customHeight="1" x14ac:dyDescent="0.45">
      <c r="I8" s="65"/>
      <c r="J8" s="65"/>
      <c r="K8" s="65"/>
      <c r="L8" s="5"/>
      <c r="M8" s="48" t="s">
        <v>77</v>
      </c>
      <c r="N8" s="49"/>
      <c r="O8" s="50">
        <v>1.7</v>
      </c>
      <c r="P8" s="50">
        <v>1.8</v>
      </c>
      <c r="Q8" s="50">
        <v>2.5</v>
      </c>
    </row>
    <row r="9" spans="1:17" ht="39" customHeight="1" x14ac:dyDescent="0.45">
      <c r="I9" s="64" t="s">
        <v>48</v>
      </c>
      <c r="J9" s="64"/>
      <c r="K9" s="64"/>
      <c r="L9" s="5"/>
      <c r="M9" s="46" t="s">
        <v>81</v>
      </c>
      <c r="N9" s="46"/>
      <c r="O9" s="51">
        <v>0.03</v>
      </c>
      <c r="P9" s="51">
        <v>0.03</v>
      </c>
      <c r="Q9" s="51">
        <v>0.03</v>
      </c>
    </row>
    <row r="10" spans="1:17" ht="37.5" customHeight="1" x14ac:dyDescent="0.45">
      <c r="M10" s="46" t="s">
        <v>82</v>
      </c>
      <c r="N10" s="46"/>
      <c r="O10" s="51">
        <v>0.02</v>
      </c>
      <c r="P10" s="51">
        <v>0.02</v>
      </c>
      <c r="Q10" s="51">
        <v>0.02</v>
      </c>
    </row>
    <row r="11" spans="1:17" ht="36" customHeight="1" x14ac:dyDescent="0.45">
      <c r="A11" s="66" t="s">
        <v>33</v>
      </c>
      <c r="B11" s="66"/>
      <c r="C11" s="66"/>
      <c r="E11" s="62" t="s">
        <v>62</v>
      </c>
      <c r="F11" s="62"/>
      <c r="G11" s="62"/>
      <c r="I11" s="63" t="s">
        <v>63</v>
      </c>
      <c r="J11" s="63"/>
      <c r="K11" s="63"/>
    </row>
    <row r="12" spans="1:17" ht="45.75" customHeight="1" x14ac:dyDescent="0.45">
      <c r="A12" s="15"/>
      <c r="B12" s="8" t="s">
        <v>38</v>
      </c>
      <c r="C12" s="31">
        <v>1</v>
      </c>
      <c r="E12" s="4" t="s">
        <v>12</v>
      </c>
      <c r="F12" s="12" t="s">
        <v>55</v>
      </c>
      <c r="G12" s="27">
        <v>5</v>
      </c>
      <c r="I12" s="17" t="s">
        <v>19</v>
      </c>
      <c r="J12" s="18" t="s">
        <v>41</v>
      </c>
      <c r="K12" s="36">
        <f>(G19-(G13*C6*G5))/G19</f>
        <v>2.8080229226361008E-2</v>
      </c>
      <c r="L12" s="28"/>
      <c r="M12" s="16"/>
      <c r="N12" s="16"/>
      <c r="O12" s="16"/>
      <c r="P12" s="16"/>
      <c r="Q12" s="16"/>
    </row>
    <row r="13" spans="1:17" ht="39.75" customHeight="1" x14ac:dyDescent="0.45">
      <c r="A13" s="15" t="s">
        <v>5</v>
      </c>
      <c r="B13" s="8" t="s">
        <v>40</v>
      </c>
      <c r="C13" s="31">
        <v>152</v>
      </c>
      <c r="E13" s="4" t="s">
        <v>13</v>
      </c>
      <c r="F13" s="12" t="s">
        <v>45</v>
      </c>
      <c r="G13" s="29">
        <f>C5*G12+C21</f>
        <v>31.8</v>
      </c>
      <c r="I13" s="17" t="s">
        <v>20</v>
      </c>
      <c r="J13" s="18" t="s">
        <v>42</v>
      </c>
      <c r="K13" s="36">
        <f>C6*C21*G5/G19</f>
        <v>5.5014326647564477E-2</v>
      </c>
    </row>
    <row r="14" spans="1:17" ht="45" customHeight="1" x14ac:dyDescent="0.45">
      <c r="A14" s="31" t="s">
        <v>49</v>
      </c>
      <c r="B14" s="32" t="s">
        <v>36</v>
      </c>
      <c r="C14" s="31">
        <v>160</v>
      </c>
      <c r="E14" s="4" t="s">
        <v>18</v>
      </c>
      <c r="F14" s="12" t="s">
        <v>56</v>
      </c>
      <c r="G14" s="37">
        <f>C20/G6/C6</f>
        <v>68.109728729826713</v>
      </c>
      <c r="I14" s="17" t="s">
        <v>29</v>
      </c>
      <c r="J14" s="18" t="s">
        <v>22</v>
      </c>
      <c r="K14" s="19">
        <f>1-K12-K13</f>
        <v>0.91690544412607455</v>
      </c>
    </row>
    <row r="15" spans="1:17" ht="49.5" customHeight="1" x14ac:dyDescent="0.45">
      <c r="A15" s="31" t="s">
        <v>68</v>
      </c>
      <c r="B15" s="33" t="s">
        <v>67</v>
      </c>
      <c r="C15" s="35">
        <f>C14/C13</f>
        <v>1.0526315789473684</v>
      </c>
      <c r="E15" s="4" t="s">
        <v>16</v>
      </c>
      <c r="F15" s="13" t="s">
        <v>46</v>
      </c>
      <c r="G15" s="38">
        <f>G13*C6*G5/C18</f>
        <v>51.91836734693878</v>
      </c>
      <c r="I15" s="20" t="s">
        <v>21</v>
      </c>
      <c r="J15" s="21" t="s">
        <v>30</v>
      </c>
      <c r="K15" s="40">
        <f>K14-C22</f>
        <v>0.88690544412607453</v>
      </c>
    </row>
    <row r="16" spans="1:17" ht="51.75" customHeight="1" x14ac:dyDescent="0.45">
      <c r="A16" s="15" t="s">
        <v>4</v>
      </c>
      <c r="B16" s="9" t="s">
        <v>37</v>
      </c>
      <c r="C16" s="31">
        <v>46</v>
      </c>
      <c r="E16" s="4" t="s">
        <v>10</v>
      </c>
      <c r="F16" s="12" t="s">
        <v>75</v>
      </c>
      <c r="G16" s="67">
        <f>_xlfn.SWITCH(C13,127,IF(OR(C7=1,G7=0),O6,O7),152,IF(OR(C7=1,G7=0),P6,P7),228,IF(OR(C7=1,G7=0),Q6,Q7))</f>
        <v>1.5</v>
      </c>
      <c r="I16" s="25" t="s">
        <v>25</v>
      </c>
      <c r="J16" s="26" t="s">
        <v>24</v>
      </c>
      <c r="K16" s="34">
        <v>120</v>
      </c>
    </row>
    <row r="17" spans="1:11" ht="51.75" customHeight="1" x14ac:dyDescent="0.45">
      <c r="A17" s="15" t="s">
        <v>50</v>
      </c>
      <c r="B17" s="8" t="s">
        <v>44</v>
      </c>
      <c r="C17" s="31">
        <v>56</v>
      </c>
      <c r="E17" s="4" t="s">
        <v>17</v>
      </c>
      <c r="F17" s="13" t="s">
        <v>47</v>
      </c>
      <c r="G17" s="38">
        <f>G15+G16</f>
        <v>53.41836734693878</v>
      </c>
      <c r="I17" s="25" t="s">
        <v>26</v>
      </c>
      <c r="J17" s="26" t="s">
        <v>51</v>
      </c>
      <c r="K17" s="43">
        <f>G15*10/K16/(C14/C13)</f>
        <v>4.1102040816326539</v>
      </c>
    </row>
    <row r="18" spans="1:11" ht="51.75" customHeight="1" x14ac:dyDescent="0.45">
      <c r="A18" s="15" t="s">
        <v>6</v>
      </c>
      <c r="B18" s="32" t="s">
        <v>34</v>
      </c>
      <c r="C18" s="34">
        <v>0.49</v>
      </c>
      <c r="E18" s="4" t="s">
        <v>15</v>
      </c>
      <c r="F18" s="12" t="s">
        <v>53</v>
      </c>
      <c r="G18" s="39">
        <f>G15*C18</f>
        <v>25.44</v>
      </c>
      <c r="I18" s="25" t="s">
        <v>66</v>
      </c>
      <c r="J18" s="26" t="s">
        <v>69</v>
      </c>
      <c r="K18" s="44">
        <f>K17*G14/C15*60/1000</f>
        <v>15.956858446380917</v>
      </c>
    </row>
    <row r="19" spans="1:11" ht="48.75" customHeight="1" x14ac:dyDescent="0.45">
      <c r="A19" s="15" t="s">
        <v>7</v>
      </c>
      <c r="B19" s="8" t="s">
        <v>35</v>
      </c>
      <c r="C19" s="34">
        <v>40</v>
      </c>
      <c r="E19" s="4" t="s">
        <v>31</v>
      </c>
      <c r="F19" s="12" t="s">
        <v>54</v>
      </c>
      <c r="G19" s="39">
        <f>G17*C18</f>
        <v>26.175000000000001</v>
      </c>
      <c r="I19" s="17" t="s">
        <v>27</v>
      </c>
      <c r="J19" s="18" t="s">
        <v>43</v>
      </c>
      <c r="K19" s="41">
        <f>3600/(K16+C19)*C5*C6*G5*G12</f>
        <v>540</v>
      </c>
    </row>
    <row r="20" spans="1:11" ht="46.5" customHeight="1" x14ac:dyDescent="0.45">
      <c r="A20" s="15" t="s">
        <v>14</v>
      </c>
      <c r="B20" s="33" t="s">
        <v>52</v>
      </c>
      <c r="C20" s="45">
        <f>POWER(C14/2,2)*PI()</f>
        <v>20106.192982974677</v>
      </c>
      <c r="I20" s="20" t="s">
        <v>28</v>
      </c>
      <c r="J20" s="21" t="s">
        <v>32</v>
      </c>
      <c r="K20" s="42">
        <f>K19*(1-C22)</f>
        <v>523.79999999999995</v>
      </c>
    </row>
    <row r="21" spans="1:11" ht="30" customHeight="1" x14ac:dyDescent="0.45">
      <c r="A21" s="15" t="s">
        <v>11</v>
      </c>
      <c r="B21" s="52" t="s">
        <v>0</v>
      </c>
      <c r="C21" s="15">
        <v>1.8</v>
      </c>
    </row>
    <row r="22" spans="1:11" ht="26.65" customHeight="1" x14ac:dyDescent="0.45">
      <c r="A22" s="31" t="s">
        <v>23</v>
      </c>
      <c r="B22" s="54" t="s">
        <v>1</v>
      </c>
      <c r="C22" s="53">
        <v>0.03</v>
      </c>
    </row>
    <row r="23" spans="1:11" ht="30" customHeight="1" x14ac:dyDescent="0.45"/>
    <row r="24" spans="1:11" ht="33" customHeight="1" x14ac:dyDescent="0.45"/>
    <row r="25" spans="1:11" ht="25.5" customHeight="1" x14ac:dyDescent="0.45"/>
  </sheetData>
  <mergeCells count="11">
    <mergeCell ref="E11:G11"/>
    <mergeCell ref="I11:K11"/>
    <mergeCell ref="I9:K9"/>
    <mergeCell ref="I4:K8"/>
    <mergeCell ref="A11:C11"/>
    <mergeCell ref="O4:Q4"/>
    <mergeCell ref="M6:M7"/>
    <mergeCell ref="A2:K2"/>
    <mergeCell ref="A1:K1"/>
    <mergeCell ref="E4:G4"/>
    <mergeCell ref="A4:C4"/>
  </mergeCells>
  <phoneticPr fontId="3" type="noConversion"/>
  <hyperlinks>
    <hyperlink ref="I9" r:id="rId1" xr:uid="{00000000-0004-0000-0000-000000000000}"/>
  </hyperlinks>
  <pageMargins left="0.25" right="0.25" top="0.75" bottom="0.75" header="0.3" footer="0.3"/>
  <pageSetup paperSize="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Бушуев Сергей Александрович</dc:creator>
  <cp:lastModifiedBy>Бушуев Сергей Александрович</cp:lastModifiedBy>
  <dcterms:created xsi:type="dcterms:W3CDTF">2020-10-27T10:04:43Z</dcterms:created>
  <dcterms:modified xsi:type="dcterms:W3CDTF">2023-05-02T10:49:42Z</dcterms:modified>
</cp:coreProperties>
</file>