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CR OZON\"/>
    </mc:Choice>
  </mc:AlternateContent>
  <bookViews>
    <workbookView xWindow="-120" yWindow="-120" windowWidth="38640" windowHeight="15840" activeTab="2"/>
  </bookViews>
  <sheets>
    <sheet name="Расчет FBS" sheetId="1" r:id="rId1"/>
    <sheet name="Логистика" sheetId="3" r:id="rId2"/>
    <sheet name="Хранение FBO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1" i="1" l="1"/>
  <c r="AJ3" i="1"/>
  <c r="AI3" i="1"/>
  <c r="AC3" i="1"/>
  <c r="J4" i="1"/>
  <c r="K4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3" i="1"/>
  <c r="K243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280" i="1"/>
  <c r="K280" i="1" s="1"/>
  <c r="J281" i="1"/>
  <c r="K281" i="1" s="1"/>
  <c r="J282" i="1"/>
  <c r="K282" i="1" s="1"/>
  <c r="J283" i="1"/>
  <c r="K283" i="1" s="1"/>
  <c r="J284" i="1"/>
  <c r="K284" i="1" s="1"/>
  <c r="J285" i="1"/>
  <c r="K285" i="1" s="1"/>
  <c r="J286" i="1"/>
  <c r="K286" i="1" s="1"/>
  <c r="J287" i="1"/>
  <c r="K287" i="1" s="1"/>
  <c r="J288" i="1"/>
  <c r="K288" i="1" s="1"/>
  <c r="J289" i="1"/>
  <c r="K289" i="1" s="1"/>
  <c r="J290" i="1"/>
  <c r="K290" i="1" s="1"/>
  <c r="J291" i="1"/>
  <c r="K291" i="1" s="1"/>
  <c r="J292" i="1"/>
  <c r="K292" i="1" s="1"/>
  <c r="J293" i="1"/>
  <c r="K293" i="1" s="1"/>
  <c r="J294" i="1"/>
  <c r="K294" i="1" s="1"/>
  <c r="J295" i="1"/>
  <c r="K295" i="1" s="1"/>
  <c r="J296" i="1"/>
  <c r="K296" i="1" s="1"/>
  <c r="J297" i="1"/>
  <c r="K297" i="1" s="1"/>
  <c r="J298" i="1"/>
  <c r="K298" i="1" s="1"/>
  <c r="J299" i="1"/>
  <c r="K299" i="1" s="1"/>
  <c r="J300" i="1"/>
  <c r="K300" i="1" s="1"/>
  <c r="J301" i="1"/>
  <c r="K301" i="1" s="1"/>
  <c r="J302" i="1"/>
  <c r="K302" i="1" s="1"/>
  <c r="J303" i="1"/>
  <c r="K303" i="1" s="1"/>
  <c r="J304" i="1"/>
  <c r="K304" i="1" s="1"/>
  <c r="J305" i="1"/>
  <c r="K305" i="1" s="1"/>
  <c r="J306" i="1"/>
  <c r="K306" i="1" s="1"/>
  <c r="J307" i="1"/>
  <c r="K307" i="1" s="1"/>
  <c r="J308" i="1"/>
  <c r="K308" i="1" s="1"/>
  <c r="J309" i="1"/>
  <c r="K309" i="1" s="1"/>
  <c r="J310" i="1"/>
  <c r="K310" i="1" s="1"/>
  <c r="J311" i="1"/>
  <c r="K311" i="1" s="1"/>
  <c r="J312" i="1"/>
  <c r="K312" i="1" s="1"/>
  <c r="J313" i="1"/>
  <c r="K313" i="1" s="1"/>
  <c r="J314" i="1"/>
  <c r="K314" i="1" s="1"/>
  <c r="J315" i="1"/>
  <c r="K315" i="1" s="1"/>
  <c r="J316" i="1"/>
  <c r="K316" i="1" s="1"/>
  <c r="J317" i="1"/>
  <c r="K317" i="1" s="1"/>
  <c r="J318" i="1"/>
  <c r="K318" i="1" s="1"/>
  <c r="J319" i="1"/>
  <c r="K319" i="1" s="1"/>
  <c r="J320" i="1"/>
  <c r="K320" i="1" s="1"/>
  <c r="J321" i="1"/>
  <c r="K321" i="1" s="1"/>
  <c r="J322" i="1"/>
  <c r="K322" i="1" s="1"/>
  <c r="J323" i="1"/>
  <c r="K323" i="1" s="1"/>
  <c r="J324" i="1"/>
  <c r="K324" i="1" s="1"/>
  <c r="J325" i="1"/>
  <c r="K325" i="1" s="1"/>
  <c r="J326" i="1"/>
  <c r="K326" i="1" s="1"/>
  <c r="J327" i="1"/>
  <c r="K327" i="1" s="1"/>
  <c r="J328" i="1"/>
  <c r="K328" i="1" s="1"/>
  <c r="J329" i="1"/>
  <c r="K329" i="1" s="1"/>
  <c r="J330" i="1"/>
  <c r="K330" i="1" s="1"/>
  <c r="J331" i="1"/>
  <c r="K331" i="1" s="1"/>
  <c r="J332" i="1"/>
  <c r="K332" i="1" s="1"/>
  <c r="J333" i="1"/>
  <c r="K333" i="1" s="1"/>
  <c r="J334" i="1"/>
  <c r="K334" i="1" s="1"/>
  <c r="J335" i="1"/>
  <c r="K335" i="1" s="1"/>
  <c r="J336" i="1"/>
  <c r="K336" i="1" s="1"/>
  <c r="J337" i="1"/>
  <c r="K337" i="1" s="1"/>
  <c r="J338" i="1"/>
  <c r="K338" i="1" s="1"/>
  <c r="J339" i="1"/>
  <c r="K339" i="1" s="1"/>
  <c r="J340" i="1"/>
  <c r="K340" i="1" s="1"/>
  <c r="J341" i="1"/>
  <c r="K341" i="1" s="1"/>
  <c r="J342" i="1"/>
  <c r="K342" i="1" s="1"/>
  <c r="J343" i="1"/>
  <c r="K343" i="1" s="1"/>
  <c r="J344" i="1"/>
  <c r="K344" i="1" s="1"/>
  <c r="J345" i="1"/>
  <c r="K345" i="1" s="1"/>
  <c r="J346" i="1"/>
  <c r="K346" i="1" s="1"/>
  <c r="J347" i="1"/>
  <c r="K347" i="1" s="1"/>
  <c r="J348" i="1"/>
  <c r="K348" i="1" s="1"/>
  <c r="J349" i="1"/>
  <c r="K349" i="1" s="1"/>
  <c r="J350" i="1"/>
  <c r="K350" i="1" s="1"/>
  <c r="J351" i="1"/>
  <c r="K351" i="1" s="1"/>
  <c r="J352" i="1"/>
  <c r="K352" i="1" s="1"/>
  <c r="J353" i="1"/>
  <c r="K353" i="1" s="1"/>
  <c r="J354" i="1"/>
  <c r="K354" i="1" s="1"/>
  <c r="J355" i="1"/>
  <c r="K355" i="1" s="1"/>
  <c r="J356" i="1"/>
  <c r="K356" i="1" s="1"/>
  <c r="J357" i="1"/>
  <c r="K357" i="1" s="1"/>
  <c r="J358" i="1"/>
  <c r="K358" i="1" s="1"/>
  <c r="J359" i="1"/>
  <c r="K359" i="1" s="1"/>
  <c r="J360" i="1"/>
  <c r="K360" i="1" s="1"/>
  <c r="J361" i="1"/>
  <c r="K361" i="1" s="1"/>
  <c r="J362" i="1"/>
  <c r="K362" i="1" s="1"/>
  <c r="J363" i="1"/>
  <c r="K363" i="1" s="1"/>
  <c r="J364" i="1"/>
  <c r="K364" i="1" s="1"/>
  <c r="J365" i="1"/>
  <c r="K365" i="1" s="1"/>
  <c r="J366" i="1"/>
  <c r="K366" i="1" s="1"/>
  <c r="J367" i="1"/>
  <c r="K367" i="1" s="1"/>
  <c r="J368" i="1"/>
  <c r="K368" i="1" s="1"/>
  <c r="J369" i="1"/>
  <c r="K369" i="1" s="1"/>
  <c r="J370" i="1"/>
  <c r="K370" i="1" s="1"/>
  <c r="J371" i="1"/>
  <c r="K371" i="1" s="1"/>
  <c r="J372" i="1"/>
  <c r="K372" i="1" s="1"/>
  <c r="J373" i="1"/>
  <c r="K373" i="1" s="1"/>
  <c r="J374" i="1"/>
  <c r="K374" i="1" s="1"/>
  <c r="J375" i="1"/>
  <c r="K375" i="1" s="1"/>
  <c r="J376" i="1"/>
  <c r="K376" i="1" s="1"/>
  <c r="J377" i="1"/>
  <c r="K377" i="1" s="1"/>
  <c r="J378" i="1"/>
  <c r="K378" i="1" s="1"/>
  <c r="J379" i="1"/>
  <c r="K379" i="1" s="1"/>
  <c r="J380" i="1"/>
  <c r="K380" i="1" s="1"/>
  <c r="J381" i="1"/>
  <c r="K381" i="1" s="1"/>
  <c r="J382" i="1"/>
  <c r="K382" i="1" s="1"/>
  <c r="J383" i="1"/>
  <c r="K383" i="1" s="1"/>
  <c r="J384" i="1"/>
  <c r="K384" i="1" s="1"/>
  <c r="J385" i="1"/>
  <c r="K385" i="1" s="1"/>
  <c r="J386" i="1"/>
  <c r="K386" i="1" s="1"/>
  <c r="J387" i="1"/>
  <c r="K387" i="1" s="1"/>
  <c r="J388" i="1"/>
  <c r="K388" i="1" s="1"/>
  <c r="J389" i="1"/>
  <c r="K389" i="1" s="1"/>
  <c r="J390" i="1"/>
  <c r="K390" i="1" s="1"/>
  <c r="J391" i="1"/>
  <c r="K391" i="1" s="1"/>
  <c r="J392" i="1"/>
  <c r="K392" i="1" s="1"/>
  <c r="J393" i="1"/>
  <c r="K393" i="1" s="1"/>
  <c r="J394" i="1"/>
  <c r="K394" i="1" s="1"/>
  <c r="J395" i="1"/>
  <c r="K395" i="1" s="1"/>
  <c r="J396" i="1"/>
  <c r="K396" i="1" s="1"/>
  <c r="J397" i="1"/>
  <c r="K397" i="1" s="1"/>
  <c r="J398" i="1"/>
  <c r="K398" i="1" s="1"/>
  <c r="J399" i="1"/>
  <c r="K399" i="1" s="1"/>
  <c r="J400" i="1"/>
  <c r="K400" i="1" s="1"/>
  <c r="J401" i="1"/>
  <c r="K401" i="1" s="1"/>
  <c r="J402" i="1"/>
  <c r="K402" i="1" s="1"/>
  <c r="J403" i="1"/>
  <c r="K403" i="1" s="1"/>
  <c r="J404" i="1"/>
  <c r="K404" i="1" s="1"/>
  <c r="J405" i="1"/>
  <c r="K405" i="1" s="1"/>
  <c r="J406" i="1"/>
  <c r="K406" i="1" s="1"/>
  <c r="J407" i="1"/>
  <c r="K407" i="1" s="1"/>
  <c r="J408" i="1"/>
  <c r="K408" i="1" s="1"/>
  <c r="J409" i="1"/>
  <c r="K409" i="1" s="1"/>
  <c r="J410" i="1"/>
  <c r="K410" i="1" s="1"/>
  <c r="J411" i="1"/>
  <c r="K411" i="1" s="1"/>
  <c r="J412" i="1"/>
  <c r="K412" i="1" s="1"/>
  <c r="J413" i="1"/>
  <c r="K413" i="1" s="1"/>
  <c r="J414" i="1"/>
  <c r="K414" i="1" s="1"/>
  <c r="J415" i="1"/>
  <c r="K415" i="1" s="1"/>
  <c r="J416" i="1"/>
  <c r="K416" i="1" s="1"/>
  <c r="J417" i="1"/>
  <c r="K417" i="1" s="1"/>
  <c r="J418" i="1"/>
  <c r="K418" i="1" s="1"/>
  <c r="J419" i="1"/>
  <c r="K419" i="1" s="1"/>
  <c r="J420" i="1"/>
  <c r="K420" i="1" s="1"/>
  <c r="J421" i="1"/>
  <c r="K421" i="1" s="1"/>
  <c r="J422" i="1"/>
  <c r="K422" i="1" s="1"/>
  <c r="J423" i="1"/>
  <c r="K423" i="1" s="1"/>
  <c r="J424" i="1"/>
  <c r="K424" i="1" s="1"/>
  <c r="J425" i="1"/>
  <c r="K425" i="1" s="1"/>
  <c r="J426" i="1"/>
  <c r="K426" i="1" s="1"/>
  <c r="J427" i="1"/>
  <c r="K427" i="1" s="1"/>
  <c r="J428" i="1"/>
  <c r="K428" i="1" s="1"/>
  <c r="J429" i="1"/>
  <c r="K429" i="1" s="1"/>
  <c r="J3" i="1"/>
  <c r="K3" i="1" s="1"/>
  <c r="AH197" i="1" l="1"/>
  <c r="AH196" i="1"/>
  <c r="AH195" i="1"/>
  <c r="AH194" i="1"/>
  <c r="AH193" i="1"/>
  <c r="AH192" i="1"/>
  <c r="AH191" i="1"/>
  <c r="AH190" i="1"/>
  <c r="AH189" i="1"/>
  <c r="M188" i="1"/>
  <c r="Z188" i="1" s="1"/>
  <c r="AA188" i="1"/>
  <c r="AB188" i="1"/>
  <c r="M189" i="1"/>
  <c r="Z189" i="1" s="1"/>
  <c r="AA189" i="1"/>
  <c r="AB189" i="1"/>
  <c r="M190" i="1"/>
  <c r="Z190" i="1" s="1"/>
  <c r="AA190" i="1"/>
  <c r="AB190" i="1"/>
  <c r="M191" i="1"/>
  <c r="Z191" i="1" s="1"/>
  <c r="AA191" i="1"/>
  <c r="AB191" i="1"/>
  <c r="M192" i="1"/>
  <c r="Z192" i="1" s="1"/>
  <c r="AA192" i="1"/>
  <c r="AB192" i="1"/>
  <c r="M193" i="1"/>
  <c r="Z193" i="1" s="1"/>
  <c r="AA193" i="1"/>
  <c r="AB193" i="1"/>
  <c r="M194" i="1"/>
  <c r="Z194" i="1" s="1"/>
  <c r="AA194" i="1"/>
  <c r="AB194" i="1"/>
  <c r="M195" i="1"/>
  <c r="Z195" i="1" s="1"/>
  <c r="AA195" i="1"/>
  <c r="AB195" i="1"/>
  <c r="E187" i="1"/>
  <c r="E188" i="1"/>
  <c r="Y188" i="1" s="1"/>
  <c r="E189" i="1"/>
  <c r="W189" i="1" s="1"/>
  <c r="E190" i="1"/>
  <c r="E191" i="1"/>
  <c r="X191" i="1" s="1"/>
  <c r="E192" i="1"/>
  <c r="W192" i="1" s="1"/>
  <c r="E193" i="1"/>
  <c r="Y193" i="1" s="1"/>
  <c r="E194" i="1"/>
  <c r="X194" i="1" s="1"/>
  <c r="E195" i="1"/>
  <c r="X195" i="1" s="1"/>
  <c r="E196" i="1"/>
  <c r="AH186" i="1"/>
  <c r="AH185" i="1"/>
  <c r="AH184" i="1"/>
  <c r="AH183" i="1"/>
  <c r="AH182" i="1"/>
  <c r="AH181" i="1"/>
  <c r="AH180" i="1"/>
  <c r="AH179" i="1"/>
  <c r="AH178" i="1"/>
  <c r="AH177" i="1"/>
  <c r="AH174" i="1"/>
  <c r="AH173" i="1"/>
  <c r="AH172" i="1"/>
  <c r="AH171" i="1"/>
  <c r="AH170" i="1"/>
  <c r="AH169" i="1"/>
  <c r="AH168" i="1"/>
  <c r="AH167" i="1"/>
  <c r="AH166" i="1"/>
  <c r="AH165" i="1"/>
  <c r="M129" i="1"/>
  <c r="Z129" i="1" s="1"/>
  <c r="AA129" i="1"/>
  <c r="AB129" i="1"/>
  <c r="M130" i="1"/>
  <c r="Z130" i="1" s="1"/>
  <c r="AA130" i="1"/>
  <c r="AB130" i="1"/>
  <c r="M131" i="1"/>
  <c r="Z131" i="1" s="1"/>
  <c r="AA131" i="1"/>
  <c r="AB131" i="1"/>
  <c r="M132" i="1"/>
  <c r="Z132" i="1" s="1"/>
  <c r="AA132" i="1"/>
  <c r="AB132" i="1"/>
  <c r="M133" i="1"/>
  <c r="Z133" i="1" s="1"/>
  <c r="AA133" i="1"/>
  <c r="AB133" i="1"/>
  <c r="M134" i="1"/>
  <c r="Z134" i="1"/>
  <c r="AA134" i="1"/>
  <c r="AB134" i="1"/>
  <c r="M135" i="1"/>
  <c r="Z135" i="1" s="1"/>
  <c r="AA135" i="1"/>
  <c r="AB135" i="1"/>
  <c r="M136" i="1"/>
  <c r="Z136" i="1" s="1"/>
  <c r="AA136" i="1"/>
  <c r="AB136" i="1"/>
  <c r="M137" i="1"/>
  <c r="Z137" i="1" s="1"/>
  <c r="AA137" i="1"/>
  <c r="AB137" i="1"/>
  <c r="M138" i="1"/>
  <c r="Z138" i="1" s="1"/>
  <c r="AA138" i="1"/>
  <c r="AB138" i="1"/>
  <c r="M139" i="1"/>
  <c r="Z139" i="1" s="1"/>
  <c r="AA139" i="1"/>
  <c r="AB139" i="1"/>
  <c r="M140" i="1"/>
  <c r="Z140" i="1" s="1"/>
  <c r="AA140" i="1"/>
  <c r="AB140" i="1"/>
  <c r="M141" i="1"/>
  <c r="Z141" i="1" s="1"/>
  <c r="AA141" i="1"/>
  <c r="AB141" i="1"/>
  <c r="M142" i="1"/>
  <c r="Z142" i="1" s="1"/>
  <c r="AA142" i="1"/>
  <c r="AB142" i="1"/>
  <c r="M143" i="1"/>
  <c r="Z143" i="1" s="1"/>
  <c r="AA143" i="1"/>
  <c r="AB143" i="1"/>
  <c r="M144" i="1"/>
  <c r="Z144" i="1" s="1"/>
  <c r="AA144" i="1"/>
  <c r="AB144" i="1"/>
  <c r="M145" i="1"/>
  <c r="Z145" i="1" s="1"/>
  <c r="AA145" i="1"/>
  <c r="AB145" i="1"/>
  <c r="M146" i="1"/>
  <c r="Z146" i="1" s="1"/>
  <c r="AA146" i="1"/>
  <c r="AB146" i="1"/>
  <c r="M147" i="1"/>
  <c r="Z147" i="1" s="1"/>
  <c r="AA147" i="1"/>
  <c r="AB147" i="1"/>
  <c r="M148" i="1"/>
  <c r="Z148" i="1" s="1"/>
  <c r="AA148" i="1"/>
  <c r="AB148" i="1"/>
  <c r="M149" i="1"/>
  <c r="Z149" i="1" s="1"/>
  <c r="AA149" i="1"/>
  <c r="AB149" i="1"/>
  <c r="M150" i="1"/>
  <c r="Z150" i="1" s="1"/>
  <c r="AA150" i="1"/>
  <c r="AB150" i="1"/>
  <c r="M151" i="1"/>
  <c r="Z151" i="1" s="1"/>
  <c r="AA151" i="1"/>
  <c r="AB151" i="1"/>
  <c r="M152" i="1"/>
  <c r="Z152" i="1" s="1"/>
  <c r="AA152" i="1"/>
  <c r="AB152" i="1"/>
  <c r="M153" i="1"/>
  <c r="Z153" i="1" s="1"/>
  <c r="AA153" i="1"/>
  <c r="AB153" i="1"/>
  <c r="M154" i="1"/>
  <c r="Z154" i="1" s="1"/>
  <c r="AA154" i="1"/>
  <c r="AB154" i="1"/>
  <c r="M155" i="1"/>
  <c r="Z155" i="1" s="1"/>
  <c r="AA155" i="1"/>
  <c r="AB155" i="1"/>
  <c r="M156" i="1"/>
  <c r="Z156" i="1" s="1"/>
  <c r="AA156" i="1"/>
  <c r="AB156" i="1"/>
  <c r="M157" i="1"/>
  <c r="Z157" i="1" s="1"/>
  <c r="AA157" i="1"/>
  <c r="AB157" i="1"/>
  <c r="M158" i="1"/>
  <c r="Z158" i="1" s="1"/>
  <c r="AA158" i="1"/>
  <c r="AB158" i="1"/>
  <c r="M159" i="1"/>
  <c r="Z159" i="1" s="1"/>
  <c r="AA159" i="1"/>
  <c r="AB159" i="1"/>
  <c r="M160" i="1"/>
  <c r="Z160" i="1" s="1"/>
  <c r="AA160" i="1"/>
  <c r="AB160" i="1"/>
  <c r="M161" i="1"/>
  <c r="Z161" i="1" s="1"/>
  <c r="AA161" i="1"/>
  <c r="AB161" i="1"/>
  <c r="M162" i="1"/>
  <c r="Z162" i="1" s="1"/>
  <c r="AA162" i="1"/>
  <c r="AB162" i="1"/>
  <c r="E130" i="1"/>
  <c r="X130" i="1" s="1"/>
  <c r="E131" i="1"/>
  <c r="AE131" i="1" s="1"/>
  <c r="E132" i="1"/>
  <c r="Y132" i="1" s="1"/>
  <c r="E133" i="1"/>
  <c r="W133" i="1" s="1"/>
  <c r="E134" i="1"/>
  <c r="X134" i="1" s="1"/>
  <c r="E135" i="1"/>
  <c r="E136" i="1"/>
  <c r="W136" i="1" s="1"/>
  <c r="E137" i="1"/>
  <c r="Y137" i="1" s="1"/>
  <c r="E138" i="1"/>
  <c r="X138" i="1" s="1"/>
  <c r="E139" i="1"/>
  <c r="AE139" i="1" s="1"/>
  <c r="E140" i="1"/>
  <c r="Y140" i="1" s="1"/>
  <c r="E141" i="1"/>
  <c r="W141" i="1" s="1"/>
  <c r="E142" i="1"/>
  <c r="X142" i="1" s="1"/>
  <c r="E143" i="1"/>
  <c r="Y143" i="1" s="1"/>
  <c r="E144" i="1"/>
  <c r="W144" i="1" s="1"/>
  <c r="E145" i="1"/>
  <c r="AE145" i="1" s="1"/>
  <c r="E146" i="1"/>
  <c r="V146" i="1" s="1"/>
  <c r="E147" i="1"/>
  <c r="W147" i="1" s="1"/>
  <c r="E148" i="1"/>
  <c r="W148" i="1" s="1"/>
  <c r="E149" i="1"/>
  <c r="X149" i="1" s="1"/>
  <c r="E150" i="1"/>
  <c r="V150" i="1" s="1"/>
  <c r="E151" i="1"/>
  <c r="Y151" i="1" s="1"/>
  <c r="E152" i="1"/>
  <c r="W152" i="1" s="1"/>
  <c r="E153" i="1"/>
  <c r="AE153" i="1" s="1"/>
  <c r="E154" i="1"/>
  <c r="V154" i="1" s="1"/>
  <c r="E155" i="1"/>
  <c r="W155" i="1" s="1"/>
  <c r="E156" i="1"/>
  <c r="W156" i="1" s="1"/>
  <c r="E157" i="1"/>
  <c r="X157" i="1" s="1"/>
  <c r="E158" i="1"/>
  <c r="V158" i="1" s="1"/>
  <c r="E159" i="1"/>
  <c r="Y159" i="1" s="1"/>
  <c r="E160" i="1"/>
  <c r="W160" i="1" s="1"/>
  <c r="E161" i="1"/>
  <c r="AE161" i="1" s="1"/>
  <c r="AH302" i="1"/>
  <c r="AH301" i="1"/>
  <c r="AH300" i="1"/>
  <c r="AH299" i="1"/>
  <c r="AH298" i="1"/>
  <c r="AH297" i="1"/>
  <c r="AH296" i="1"/>
  <c r="AH295" i="1"/>
  <c r="AH294" i="1"/>
  <c r="AH291" i="1"/>
  <c r="AH290" i="1"/>
  <c r="AH289" i="1"/>
  <c r="AH288" i="1"/>
  <c r="AH287" i="1"/>
  <c r="AH286" i="1"/>
  <c r="AH285" i="1"/>
  <c r="AH284" i="1"/>
  <c r="AH283" i="1"/>
  <c r="AH280" i="1"/>
  <c r="AH279" i="1"/>
  <c r="AH278" i="1"/>
  <c r="AH277" i="1"/>
  <c r="AH276" i="1"/>
  <c r="AH275" i="1"/>
  <c r="AH274" i="1"/>
  <c r="AH273" i="1"/>
  <c r="AH272" i="1"/>
  <c r="M240" i="1"/>
  <c r="Z240" i="1" s="1"/>
  <c r="AA240" i="1"/>
  <c r="AB240" i="1"/>
  <c r="M241" i="1"/>
  <c r="Z241" i="1" s="1"/>
  <c r="AA241" i="1"/>
  <c r="AB241" i="1"/>
  <c r="M242" i="1"/>
  <c r="Z242" i="1" s="1"/>
  <c r="AA242" i="1"/>
  <c r="AB242" i="1"/>
  <c r="M243" i="1"/>
  <c r="Z243" i="1" s="1"/>
  <c r="AA243" i="1"/>
  <c r="AB243" i="1"/>
  <c r="M244" i="1"/>
  <c r="Z244" i="1" s="1"/>
  <c r="AA244" i="1"/>
  <c r="AB244" i="1"/>
  <c r="M245" i="1"/>
  <c r="Z245" i="1" s="1"/>
  <c r="AA245" i="1"/>
  <c r="AB245" i="1"/>
  <c r="M246" i="1"/>
  <c r="Z246" i="1" s="1"/>
  <c r="AA246" i="1"/>
  <c r="AB246" i="1"/>
  <c r="M247" i="1"/>
  <c r="Z247" i="1" s="1"/>
  <c r="AA247" i="1"/>
  <c r="AB247" i="1"/>
  <c r="M248" i="1"/>
  <c r="Z248" i="1" s="1"/>
  <c r="AA248" i="1"/>
  <c r="AB248" i="1"/>
  <c r="M249" i="1"/>
  <c r="Z249" i="1" s="1"/>
  <c r="AA249" i="1"/>
  <c r="AB249" i="1"/>
  <c r="M250" i="1"/>
  <c r="Z250" i="1" s="1"/>
  <c r="AA250" i="1"/>
  <c r="AB250" i="1"/>
  <c r="M251" i="1"/>
  <c r="Z251" i="1" s="1"/>
  <c r="AA251" i="1"/>
  <c r="AB251" i="1"/>
  <c r="M252" i="1"/>
  <c r="Z252" i="1" s="1"/>
  <c r="AA252" i="1"/>
  <c r="AB252" i="1"/>
  <c r="M253" i="1"/>
  <c r="Z253" i="1" s="1"/>
  <c r="AA253" i="1"/>
  <c r="AB253" i="1"/>
  <c r="M254" i="1"/>
  <c r="Z254" i="1" s="1"/>
  <c r="AA254" i="1"/>
  <c r="AB254" i="1"/>
  <c r="M255" i="1"/>
  <c r="Z255" i="1" s="1"/>
  <c r="AA255" i="1"/>
  <c r="AB255" i="1"/>
  <c r="M256" i="1"/>
  <c r="Z256" i="1" s="1"/>
  <c r="AA256" i="1"/>
  <c r="AB256" i="1"/>
  <c r="M257" i="1"/>
  <c r="Z257" i="1" s="1"/>
  <c r="AA257" i="1"/>
  <c r="AB257" i="1"/>
  <c r="M258" i="1"/>
  <c r="Z258" i="1" s="1"/>
  <c r="AA258" i="1"/>
  <c r="AB258" i="1"/>
  <c r="M259" i="1"/>
  <c r="Z259" i="1" s="1"/>
  <c r="AA259" i="1"/>
  <c r="AB259" i="1"/>
  <c r="M260" i="1"/>
  <c r="Z260" i="1" s="1"/>
  <c r="AA260" i="1"/>
  <c r="AB260" i="1"/>
  <c r="M261" i="1"/>
  <c r="Z261" i="1" s="1"/>
  <c r="AA261" i="1"/>
  <c r="AB261" i="1"/>
  <c r="M262" i="1"/>
  <c r="Z262" i="1" s="1"/>
  <c r="AA262" i="1"/>
  <c r="AB262" i="1"/>
  <c r="M263" i="1"/>
  <c r="Z263" i="1" s="1"/>
  <c r="AA263" i="1"/>
  <c r="AB263" i="1"/>
  <c r="M264" i="1"/>
  <c r="Z264" i="1" s="1"/>
  <c r="AA264" i="1"/>
  <c r="AB264" i="1"/>
  <c r="M265" i="1"/>
  <c r="Z265" i="1" s="1"/>
  <c r="AA265" i="1"/>
  <c r="AB265" i="1"/>
  <c r="M266" i="1"/>
  <c r="Z266" i="1" s="1"/>
  <c r="AA266" i="1"/>
  <c r="AB266" i="1"/>
  <c r="M267" i="1"/>
  <c r="Z267" i="1" s="1"/>
  <c r="AA267" i="1"/>
  <c r="AB267" i="1"/>
  <c r="M268" i="1"/>
  <c r="Z268" i="1" s="1"/>
  <c r="AA268" i="1"/>
  <c r="AB268" i="1"/>
  <c r="M269" i="1"/>
  <c r="Z269" i="1" s="1"/>
  <c r="AA269" i="1"/>
  <c r="AB269" i="1"/>
  <c r="M270" i="1"/>
  <c r="Z270" i="1" s="1"/>
  <c r="AA270" i="1"/>
  <c r="AB270" i="1"/>
  <c r="M271" i="1"/>
  <c r="Z271" i="1" s="1"/>
  <c r="AA271" i="1"/>
  <c r="AB271" i="1"/>
  <c r="M272" i="1"/>
  <c r="Z272" i="1" s="1"/>
  <c r="AA272" i="1"/>
  <c r="AB272" i="1"/>
  <c r="M273" i="1"/>
  <c r="Z273" i="1" s="1"/>
  <c r="AA273" i="1"/>
  <c r="AB273" i="1"/>
  <c r="M274" i="1"/>
  <c r="Z274" i="1" s="1"/>
  <c r="AA274" i="1"/>
  <c r="AB274" i="1"/>
  <c r="M275" i="1"/>
  <c r="Z275" i="1" s="1"/>
  <c r="AA275" i="1"/>
  <c r="AB275" i="1"/>
  <c r="M276" i="1"/>
  <c r="Z276" i="1" s="1"/>
  <c r="AA276" i="1"/>
  <c r="AB276" i="1"/>
  <c r="M277" i="1"/>
  <c r="Z277" i="1" s="1"/>
  <c r="AA277" i="1"/>
  <c r="AB277" i="1"/>
  <c r="M278" i="1"/>
  <c r="Z278" i="1" s="1"/>
  <c r="AA278" i="1"/>
  <c r="AB278" i="1"/>
  <c r="M279" i="1"/>
  <c r="Z279" i="1" s="1"/>
  <c r="AA279" i="1"/>
  <c r="AB279" i="1"/>
  <c r="M280" i="1"/>
  <c r="Z280" i="1" s="1"/>
  <c r="AA280" i="1"/>
  <c r="AB280" i="1"/>
  <c r="M281" i="1"/>
  <c r="Z281" i="1" s="1"/>
  <c r="AA281" i="1"/>
  <c r="AB281" i="1"/>
  <c r="M282" i="1"/>
  <c r="Z282" i="1" s="1"/>
  <c r="AA282" i="1"/>
  <c r="AB282" i="1"/>
  <c r="M283" i="1"/>
  <c r="Z283" i="1" s="1"/>
  <c r="AA283" i="1"/>
  <c r="AB283" i="1"/>
  <c r="M284" i="1"/>
  <c r="Z284" i="1" s="1"/>
  <c r="AA284" i="1"/>
  <c r="AB284" i="1"/>
  <c r="M285" i="1"/>
  <c r="Z285" i="1" s="1"/>
  <c r="AA285" i="1"/>
  <c r="AB285" i="1"/>
  <c r="M286" i="1"/>
  <c r="Z286" i="1" s="1"/>
  <c r="AA286" i="1"/>
  <c r="AB286" i="1"/>
  <c r="M287" i="1"/>
  <c r="Z287" i="1" s="1"/>
  <c r="AA287" i="1"/>
  <c r="AB287" i="1"/>
  <c r="M288" i="1"/>
  <c r="Z288" i="1" s="1"/>
  <c r="AA288" i="1"/>
  <c r="AB288" i="1"/>
  <c r="M289" i="1"/>
  <c r="Z289" i="1" s="1"/>
  <c r="AA289" i="1"/>
  <c r="AB289" i="1"/>
  <c r="M290" i="1"/>
  <c r="Z290" i="1" s="1"/>
  <c r="AA290" i="1"/>
  <c r="AB290" i="1"/>
  <c r="M291" i="1"/>
  <c r="Z291" i="1" s="1"/>
  <c r="AA291" i="1"/>
  <c r="AB291" i="1"/>
  <c r="M292" i="1"/>
  <c r="Z292" i="1" s="1"/>
  <c r="AA292" i="1"/>
  <c r="AB292" i="1"/>
  <c r="M293" i="1"/>
  <c r="Z293" i="1" s="1"/>
  <c r="AA293" i="1"/>
  <c r="AB293" i="1"/>
  <c r="M294" i="1"/>
  <c r="Z294" i="1" s="1"/>
  <c r="AA294" i="1"/>
  <c r="AB294" i="1"/>
  <c r="M295" i="1"/>
  <c r="Z295" i="1" s="1"/>
  <c r="AA295" i="1"/>
  <c r="AB295" i="1"/>
  <c r="M296" i="1"/>
  <c r="Z296" i="1" s="1"/>
  <c r="AA296" i="1"/>
  <c r="AB296" i="1"/>
  <c r="M297" i="1"/>
  <c r="Z297" i="1" s="1"/>
  <c r="AA297" i="1"/>
  <c r="AB297" i="1"/>
  <c r="M298" i="1"/>
  <c r="Z298" i="1" s="1"/>
  <c r="AA298" i="1"/>
  <c r="AB298" i="1"/>
  <c r="M299" i="1"/>
  <c r="Z299" i="1" s="1"/>
  <c r="AA299" i="1"/>
  <c r="AB299" i="1"/>
  <c r="M300" i="1"/>
  <c r="Z300" i="1" s="1"/>
  <c r="AA300" i="1"/>
  <c r="AB300" i="1"/>
  <c r="M301" i="1"/>
  <c r="Z301" i="1" s="1"/>
  <c r="AA301" i="1"/>
  <c r="AB301" i="1"/>
  <c r="M302" i="1"/>
  <c r="Z302" i="1" s="1"/>
  <c r="AA302" i="1"/>
  <c r="AB302" i="1"/>
  <c r="M303" i="1"/>
  <c r="Z303" i="1" s="1"/>
  <c r="AA303" i="1"/>
  <c r="AB303" i="1"/>
  <c r="M304" i="1"/>
  <c r="Z304" i="1" s="1"/>
  <c r="AA304" i="1"/>
  <c r="AB304" i="1"/>
  <c r="M305" i="1"/>
  <c r="Z305" i="1" s="1"/>
  <c r="AA305" i="1"/>
  <c r="AB305" i="1"/>
  <c r="M306" i="1"/>
  <c r="Z306" i="1" s="1"/>
  <c r="AA306" i="1"/>
  <c r="AB306" i="1"/>
  <c r="M307" i="1"/>
  <c r="Z307" i="1" s="1"/>
  <c r="AA307" i="1"/>
  <c r="AB307" i="1"/>
  <c r="M308" i="1"/>
  <c r="Z308" i="1" s="1"/>
  <c r="AA308" i="1"/>
  <c r="AB308" i="1"/>
  <c r="M309" i="1"/>
  <c r="Z309" i="1" s="1"/>
  <c r="AA309" i="1"/>
  <c r="AB309" i="1"/>
  <c r="M310" i="1"/>
  <c r="Z310" i="1" s="1"/>
  <c r="AA310" i="1"/>
  <c r="AB310" i="1"/>
  <c r="E241" i="1"/>
  <c r="E242" i="1"/>
  <c r="Y242" i="1" s="1"/>
  <c r="E243" i="1"/>
  <c r="E244" i="1"/>
  <c r="AE244" i="1" s="1"/>
  <c r="E245" i="1"/>
  <c r="E246" i="1"/>
  <c r="W246" i="1" s="1"/>
  <c r="E247" i="1"/>
  <c r="X247" i="1" s="1"/>
  <c r="E248" i="1"/>
  <c r="X248" i="1" s="1"/>
  <c r="E249" i="1"/>
  <c r="E250" i="1"/>
  <c r="Y250" i="1" s="1"/>
  <c r="E251" i="1"/>
  <c r="E252" i="1"/>
  <c r="X252" i="1" s="1"/>
  <c r="E253" i="1"/>
  <c r="E254" i="1"/>
  <c r="W254" i="1" s="1"/>
  <c r="E255" i="1"/>
  <c r="X255" i="1" s="1"/>
  <c r="E256" i="1"/>
  <c r="X256" i="1" s="1"/>
  <c r="E257" i="1"/>
  <c r="E258" i="1"/>
  <c r="Y258" i="1" s="1"/>
  <c r="E259" i="1"/>
  <c r="E260" i="1"/>
  <c r="AE260" i="1" s="1"/>
  <c r="E261" i="1"/>
  <c r="E262" i="1"/>
  <c r="W262" i="1" s="1"/>
  <c r="E263" i="1"/>
  <c r="V263" i="1" s="1"/>
  <c r="E264" i="1"/>
  <c r="V264" i="1" s="1"/>
  <c r="E265" i="1"/>
  <c r="W265" i="1" s="1"/>
  <c r="E266" i="1"/>
  <c r="W266" i="1" s="1"/>
  <c r="E267" i="1"/>
  <c r="V267" i="1" s="1"/>
  <c r="E268" i="1"/>
  <c r="V268" i="1" s="1"/>
  <c r="E269" i="1"/>
  <c r="W269" i="1" s="1"/>
  <c r="E270" i="1"/>
  <c r="W270" i="1" s="1"/>
  <c r="E271" i="1"/>
  <c r="W271" i="1" s="1"/>
  <c r="E272" i="1"/>
  <c r="V272" i="1" s="1"/>
  <c r="E273" i="1"/>
  <c r="V273" i="1" s="1"/>
  <c r="E274" i="1"/>
  <c r="V274" i="1" s="1"/>
  <c r="E275" i="1"/>
  <c r="V275" i="1" s="1"/>
  <c r="E276" i="1"/>
  <c r="V276" i="1" s="1"/>
  <c r="E277" i="1"/>
  <c r="V277" i="1" s="1"/>
  <c r="E278" i="1"/>
  <c r="V278" i="1" s="1"/>
  <c r="E279" i="1"/>
  <c r="V279" i="1" s="1"/>
  <c r="E280" i="1"/>
  <c r="V280" i="1" s="1"/>
  <c r="E281" i="1"/>
  <c r="W281" i="1" s="1"/>
  <c r="E282" i="1"/>
  <c r="W282" i="1" s="1"/>
  <c r="E283" i="1"/>
  <c r="W283" i="1" s="1"/>
  <c r="E284" i="1"/>
  <c r="W284" i="1" s="1"/>
  <c r="E285" i="1"/>
  <c r="V285" i="1" s="1"/>
  <c r="E286" i="1"/>
  <c r="V286" i="1" s="1"/>
  <c r="E287" i="1"/>
  <c r="W287" i="1" s="1"/>
  <c r="E288" i="1"/>
  <c r="W288" i="1" s="1"/>
  <c r="E289" i="1"/>
  <c r="V289" i="1" s="1"/>
  <c r="E290" i="1"/>
  <c r="V290" i="1" s="1"/>
  <c r="E291" i="1"/>
  <c r="V291" i="1" s="1"/>
  <c r="E292" i="1"/>
  <c r="V292" i="1" s="1"/>
  <c r="E293" i="1"/>
  <c r="V293" i="1" s="1"/>
  <c r="E294" i="1"/>
  <c r="V294" i="1" s="1"/>
  <c r="E295" i="1"/>
  <c r="V295" i="1" s="1"/>
  <c r="E296" i="1"/>
  <c r="V296" i="1" s="1"/>
  <c r="E297" i="1"/>
  <c r="V297" i="1" s="1"/>
  <c r="E298" i="1"/>
  <c r="V298" i="1" s="1"/>
  <c r="AH87" i="1"/>
  <c r="AH86" i="1"/>
  <c r="AH85" i="1"/>
  <c r="AH82" i="1"/>
  <c r="AH81" i="1"/>
  <c r="AH80" i="1"/>
  <c r="AH77" i="1"/>
  <c r="AH76" i="1"/>
  <c r="AH75" i="1"/>
  <c r="AH74" i="1"/>
  <c r="M73" i="1"/>
  <c r="Z73" i="1" s="1"/>
  <c r="AA73" i="1"/>
  <c r="AB73" i="1"/>
  <c r="M74" i="1"/>
  <c r="Z74" i="1" s="1"/>
  <c r="AA74" i="1"/>
  <c r="AB74" i="1"/>
  <c r="M75" i="1"/>
  <c r="Z75" i="1" s="1"/>
  <c r="AA75" i="1"/>
  <c r="AB75" i="1"/>
  <c r="M76" i="1"/>
  <c r="Z76" i="1" s="1"/>
  <c r="AA76" i="1"/>
  <c r="AB76" i="1"/>
  <c r="M77" i="1"/>
  <c r="Z77" i="1" s="1"/>
  <c r="AA77" i="1"/>
  <c r="AB77" i="1"/>
  <c r="M78" i="1"/>
  <c r="Z78" i="1" s="1"/>
  <c r="AA78" i="1"/>
  <c r="AB78" i="1"/>
  <c r="M79" i="1"/>
  <c r="Z79" i="1" s="1"/>
  <c r="AA79" i="1"/>
  <c r="AB79" i="1"/>
  <c r="M80" i="1"/>
  <c r="Z80" i="1" s="1"/>
  <c r="AA80" i="1"/>
  <c r="AB80" i="1"/>
  <c r="M81" i="1"/>
  <c r="Z81" i="1" s="1"/>
  <c r="AA81" i="1"/>
  <c r="AB81" i="1"/>
  <c r="M82" i="1"/>
  <c r="Z82" i="1" s="1"/>
  <c r="AA82" i="1"/>
  <c r="AB82" i="1"/>
  <c r="M83" i="1"/>
  <c r="Z83" i="1" s="1"/>
  <c r="AA83" i="1"/>
  <c r="AB83" i="1"/>
  <c r="M84" i="1"/>
  <c r="Z84" i="1" s="1"/>
  <c r="AA84" i="1"/>
  <c r="AB84" i="1"/>
  <c r="M85" i="1"/>
  <c r="Z85" i="1" s="1"/>
  <c r="AA85" i="1"/>
  <c r="AB85" i="1"/>
  <c r="M86" i="1"/>
  <c r="Z86" i="1" s="1"/>
  <c r="AA86" i="1"/>
  <c r="AB86" i="1"/>
  <c r="M87" i="1"/>
  <c r="Z87" i="1" s="1"/>
  <c r="AA87" i="1"/>
  <c r="AB87" i="1"/>
  <c r="M88" i="1"/>
  <c r="Z88" i="1" s="1"/>
  <c r="AA88" i="1"/>
  <c r="AB88" i="1"/>
  <c r="M89" i="1"/>
  <c r="Z89" i="1" s="1"/>
  <c r="AA89" i="1"/>
  <c r="AB89" i="1"/>
  <c r="M90" i="1"/>
  <c r="Z90" i="1" s="1"/>
  <c r="AA90" i="1"/>
  <c r="AB90" i="1"/>
  <c r="M91" i="1"/>
  <c r="Z91" i="1" s="1"/>
  <c r="AA91" i="1"/>
  <c r="AB91" i="1"/>
  <c r="M92" i="1"/>
  <c r="Z92" i="1" s="1"/>
  <c r="AA92" i="1"/>
  <c r="AB92" i="1"/>
  <c r="M93" i="1"/>
  <c r="Z93" i="1" s="1"/>
  <c r="AA93" i="1"/>
  <c r="AB93" i="1"/>
  <c r="M94" i="1"/>
  <c r="Z94" i="1" s="1"/>
  <c r="AA94" i="1"/>
  <c r="AB94" i="1"/>
  <c r="E73" i="1"/>
  <c r="V73" i="1" s="1"/>
  <c r="E74" i="1"/>
  <c r="V74" i="1" s="1"/>
  <c r="E75" i="1"/>
  <c r="V75" i="1" s="1"/>
  <c r="E76" i="1"/>
  <c r="V76" i="1" s="1"/>
  <c r="E77" i="1"/>
  <c r="W77" i="1" s="1"/>
  <c r="E78" i="1"/>
  <c r="W78" i="1" s="1"/>
  <c r="E79" i="1"/>
  <c r="W79" i="1" s="1"/>
  <c r="E80" i="1"/>
  <c r="W80" i="1" s="1"/>
  <c r="E81" i="1"/>
  <c r="V81" i="1" s="1"/>
  <c r="E82" i="1"/>
  <c r="V82" i="1" s="1"/>
  <c r="E83" i="1"/>
  <c r="V83" i="1" s="1"/>
  <c r="E84" i="1"/>
  <c r="W84" i="1" s="1"/>
  <c r="E85" i="1"/>
  <c r="V85" i="1" s="1"/>
  <c r="E86" i="1"/>
  <c r="V86" i="1" s="1"/>
  <c r="E87" i="1"/>
  <c r="W87" i="1" s="1"/>
  <c r="E88" i="1"/>
  <c r="W88" i="1" s="1"/>
  <c r="E89" i="1"/>
  <c r="W89" i="1" s="1"/>
  <c r="E90" i="1"/>
  <c r="V90" i="1" s="1"/>
  <c r="E91" i="1"/>
  <c r="V91" i="1" s="1"/>
  <c r="E92" i="1"/>
  <c r="W92" i="1" s="1"/>
  <c r="E93" i="1"/>
  <c r="W93" i="1" s="1"/>
  <c r="Y158" i="1" l="1"/>
  <c r="V156" i="1"/>
  <c r="X156" i="1"/>
  <c r="Y154" i="1"/>
  <c r="Y150" i="1"/>
  <c r="V148" i="1"/>
  <c r="X148" i="1"/>
  <c r="Y146" i="1"/>
  <c r="AE191" i="1"/>
  <c r="Y189" i="1"/>
  <c r="X160" i="1"/>
  <c r="X152" i="1"/>
  <c r="X144" i="1"/>
  <c r="V142" i="1"/>
  <c r="AE136" i="1"/>
  <c r="AE195" i="1"/>
  <c r="W193" i="1"/>
  <c r="V93" i="1"/>
  <c r="X77" i="1"/>
  <c r="AE296" i="1"/>
  <c r="W296" i="1"/>
  <c r="AE292" i="1"/>
  <c r="Y290" i="1"/>
  <c r="Y286" i="1"/>
  <c r="X270" i="1"/>
  <c r="W268" i="1"/>
  <c r="Y264" i="1"/>
  <c r="V260" i="1"/>
  <c r="X244" i="1"/>
  <c r="V153" i="1"/>
  <c r="X153" i="1"/>
  <c r="V145" i="1"/>
  <c r="X145" i="1"/>
  <c r="AE93" i="1"/>
  <c r="Y91" i="1"/>
  <c r="AE89" i="1"/>
  <c r="V89" i="1"/>
  <c r="Y83" i="1"/>
  <c r="Y298" i="1"/>
  <c r="Y294" i="1"/>
  <c r="W292" i="1"/>
  <c r="AE288" i="1"/>
  <c r="AE284" i="1"/>
  <c r="X266" i="1"/>
  <c r="AE262" i="1"/>
  <c r="V262" i="1"/>
  <c r="X260" i="1"/>
  <c r="AE252" i="1"/>
  <c r="V244" i="1"/>
  <c r="V161" i="1"/>
  <c r="X161" i="1"/>
  <c r="X93" i="1"/>
  <c r="AC93" i="1" s="1"/>
  <c r="W91" i="1"/>
  <c r="X89" i="1"/>
  <c r="AC89" i="1" s="1"/>
  <c r="W83" i="1"/>
  <c r="AE298" i="1"/>
  <c r="W298" i="1"/>
  <c r="Y296" i="1"/>
  <c r="AE294" i="1"/>
  <c r="W294" i="1"/>
  <c r="Y292" i="1"/>
  <c r="AE290" i="1"/>
  <c r="W290" i="1"/>
  <c r="V288" i="1"/>
  <c r="X288" i="1"/>
  <c r="W286" i="1"/>
  <c r="V284" i="1"/>
  <c r="X284" i="1"/>
  <c r="AE270" i="1"/>
  <c r="V270" i="1"/>
  <c r="Y268" i="1"/>
  <c r="AE266" i="1"/>
  <c r="V266" i="1"/>
  <c r="X265" i="1"/>
  <c r="AC265" i="1" s="1"/>
  <c r="W264" i="1"/>
  <c r="X262" i="1"/>
  <c r="V252" i="1"/>
  <c r="V160" i="1"/>
  <c r="AE158" i="1"/>
  <c r="W158" i="1"/>
  <c r="AE154" i="1"/>
  <c r="W154" i="1"/>
  <c r="V152" i="1"/>
  <c r="AE150" i="1"/>
  <c r="W150" i="1"/>
  <c r="AE146" i="1"/>
  <c r="W146" i="1"/>
  <c r="V144" i="1"/>
  <c r="V134" i="1"/>
  <c r="V195" i="1"/>
  <c r="V191" i="1"/>
  <c r="X92" i="1"/>
  <c r="V92" i="1"/>
  <c r="AE90" i="1"/>
  <c r="Y90" i="1"/>
  <c r="W90" i="1"/>
  <c r="X88" i="1"/>
  <c r="V88" i="1"/>
  <c r="X78" i="1"/>
  <c r="V78" i="1"/>
  <c r="AE76" i="1"/>
  <c r="W76" i="1"/>
  <c r="V261" i="1"/>
  <c r="X261" i="1"/>
  <c r="W259" i="1"/>
  <c r="Y259" i="1"/>
  <c r="AE259" i="1"/>
  <c r="V257" i="1"/>
  <c r="X257" i="1"/>
  <c r="W255" i="1"/>
  <c r="Y255" i="1"/>
  <c r="AE255" i="1"/>
  <c r="V253" i="1"/>
  <c r="X253" i="1"/>
  <c r="W251" i="1"/>
  <c r="Y251" i="1"/>
  <c r="AE251" i="1"/>
  <c r="V249" i="1"/>
  <c r="X249" i="1"/>
  <c r="W247" i="1"/>
  <c r="Y247" i="1"/>
  <c r="AE247" i="1"/>
  <c r="V245" i="1"/>
  <c r="X245" i="1"/>
  <c r="W243" i="1"/>
  <c r="Y243" i="1"/>
  <c r="AE243" i="1"/>
  <c r="V241" i="1"/>
  <c r="X241" i="1"/>
  <c r="AE297" i="1"/>
  <c r="Y297" i="1"/>
  <c r="W297" i="1"/>
  <c r="AE295" i="1"/>
  <c r="Y295" i="1"/>
  <c r="W295" i="1"/>
  <c r="AE293" i="1"/>
  <c r="Y293" i="1"/>
  <c r="W293" i="1"/>
  <c r="AE291" i="1"/>
  <c r="Y291" i="1"/>
  <c r="W291" i="1"/>
  <c r="AE289" i="1"/>
  <c r="Y289" i="1"/>
  <c r="W289" i="1"/>
  <c r="X287" i="1"/>
  <c r="V287" i="1"/>
  <c r="AE285" i="1"/>
  <c r="Y285" i="1"/>
  <c r="W285" i="1"/>
  <c r="X283" i="1"/>
  <c r="V283" i="1"/>
  <c r="X281" i="1"/>
  <c r="V281" i="1"/>
  <c r="X269" i="1"/>
  <c r="V269" i="1"/>
  <c r="AE267" i="1"/>
  <c r="Y267" i="1"/>
  <c r="W267" i="1"/>
  <c r="V265" i="1"/>
  <c r="AE263" i="1"/>
  <c r="Y263" i="1"/>
  <c r="W263" i="1"/>
  <c r="Y261" i="1"/>
  <c r="X259" i="1"/>
  <c r="AE257" i="1"/>
  <c r="W257" i="1"/>
  <c r="V255" i="1"/>
  <c r="Y253" i="1"/>
  <c r="X251" i="1"/>
  <c r="AE249" i="1"/>
  <c r="W249" i="1"/>
  <c r="V247" i="1"/>
  <c r="AC247" i="1" s="1"/>
  <c r="AI247" i="1" s="1"/>
  <c r="Y245" i="1"/>
  <c r="X243" i="1"/>
  <c r="AE241" i="1"/>
  <c r="W241" i="1"/>
  <c r="Y93" i="1"/>
  <c r="AE92" i="1"/>
  <c r="Y92" i="1"/>
  <c r="AE91" i="1"/>
  <c r="X91" i="1"/>
  <c r="AC91" i="1" s="1"/>
  <c r="X90" i="1"/>
  <c r="Y89" i="1"/>
  <c r="AE88" i="1"/>
  <c r="Y88" i="1"/>
  <c r="AE83" i="1"/>
  <c r="X83" i="1"/>
  <c r="AE78" i="1"/>
  <c r="Y78" i="1"/>
  <c r="AE77" i="1"/>
  <c r="V77" i="1"/>
  <c r="Y76" i="1"/>
  <c r="W260" i="1"/>
  <c r="Y260" i="1"/>
  <c r="V258" i="1"/>
  <c r="X258" i="1"/>
  <c r="AC258" i="1" s="1"/>
  <c r="AI258" i="1" s="1"/>
  <c r="AE258" i="1"/>
  <c r="W256" i="1"/>
  <c r="Y256" i="1"/>
  <c r="V254" i="1"/>
  <c r="X254" i="1"/>
  <c r="AE254" i="1"/>
  <c r="W252" i="1"/>
  <c r="Y252" i="1"/>
  <c r="V250" i="1"/>
  <c r="X250" i="1"/>
  <c r="AC250" i="1" s="1"/>
  <c r="AI250" i="1" s="1"/>
  <c r="AE250" i="1"/>
  <c r="W248" i="1"/>
  <c r="Y248" i="1"/>
  <c r="V246" i="1"/>
  <c r="X246" i="1"/>
  <c r="AE246" i="1"/>
  <c r="W244" i="1"/>
  <c r="Y244" i="1"/>
  <c r="V242" i="1"/>
  <c r="X242" i="1"/>
  <c r="AC242" i="1" s="1"/>
  <c r="AI242" i="1" s="1"/>
  <c r="AE242" i="1"/>
  <c r="X298" i="1"/>
  <c r="AC298" i="1" s="1"/>
  <c r="AI298" i="1" s="1"/>
  <c r="X297" i="1"/>
  <c r="X296" i="1"/>
  <c r="AC296" i="1" s="1"/>
  <c r="AI296" i="1" s="1"/>
  <c r="X295" i="1"/>
  <c r="X294" i="1"/>
  <c r="AC294" i="1" s="1"/>
  <c r="AI294" i="1" s="1"/>
  <c r="X293" i="1"/>
  <c r="X292" i="1"/>
  <c r="AC292" i="1" s="1"/>
  <c r="X291" i="1"/>
  <c r="X290" i="1"/>
  <c r="AC290" i="1" s="1"/>
  <c r="AI290" i="1" s="1"/>
  <c r="X289" i="1"/>
  <c r="Y288" i="1"/>
  <c r="AE287" i="1"/>
  <c r="Y287" i="1"/>
  <c r="AE286" i="1"/>
  <c r="X286" i="1"/>
  <c r="AC286" i="1" s="1"/>
  <c r="AI286" i="1" s="1"/>
  <c r="X285" i="1"/>
  <c r="Y284" i="1"/>
  <c r="AE283" i="1"/>
  <c r="Y283" i="1"/>
  <c r="AE281" i="1"/>
  <c r="Y281" i="1"/>
  <c r="Y270" i="1"/>
  <c r="AE269" i="1"/>
  <c r="Y269" i="1"/>
  <c r="AE268" i="1"/>
  <c r="X268" i="1"/>
  <c r="X267" i="1"/>
  <c r="AC267" i="1" s="1"/>
  <c r="AI267" i="1" s="1"/>
  <c r="Y266" i="1"/>
  <c r="AE265" i="1"/>
  <c r="Y265" i="1"/>
  <c r="AE264" i="1"/>
  <c r="X264" i="1"/>
  <c r="AC264" i="1" s="1"/>
  <c r="X263" i="1"/>
  <c r="AC263" i="1" s="1"/>
  <c r="AI263" i="1" s="1"/>
  <c r="Y262" i="1"/>
  <c r="AE261" i="1"/>
  <c r="W261" i="1"/>
  <c r="V259" i="1"/>
  <c r="W258" i="1"/>
  <c r="Y257" i="1"/>
  <c r="AE256" i="1"/>
  <c r="V256" i="1"/>
  <c r="Y254" i="1"/>
  <c r="AE253" i="1"/>
  <c r="W253" i="1"/>
  <c r="V251" i="1"/>
  <c r="W250" i="1"/>
  <c r="Y249" i="1"/>
  <c r="AE248" i="1"/>
  <c r="V248" i="1"/>
  <c r="Y246" i="1"/>
  <c r="AE245" i="1"/>
  <c r="W245" i="1"/>
  <c r="V243" i="1"/>
  <c r="W242" i="1"/>
  <c r="Y241" i="1"/>
  <c r="W161" i="1"/>
  <c r="Y161" i="1"/>
  <c r="V159" i="1"/>
  <c r="X159" i="1"/>
  <c r="AE159" i="1"/>
  <c r="W157" i="1"/>
  <c r="Y157" i="1"/>
  <c r="V155" i="1"/>
  <c r="X155" i="1"/>
  <c r="AE155" i="1"/>
  <c r="W153" i="1"/>
  <c r="Y153" i="1"/>
  <c r="V151" i="1"/>
  <c r="X151" i="1"/>
  <c r="AE151" i="1"/>
  <c r="W149" i="1"/>
  <c r="Y149" i="1"/>
  <c r="V147" i="1"/>
  <c r="X147" i="1"/>
  <c r="AE147" i="1"/>
  <c r="W145" i="1"/>
  <c r="Y145" i="1"/>
  <c r="V143" i="1"/>
  <c r="X143" i="1"/>
  <c r="AE143" i="1"/>
  <c r="V141" i="1"/>
  <c r="X141" i="1"/>
  <c r="AE141" i="1"/>
  <c r="Y141" i="1"/>
  <c r="W139" i="1"/>
  <c r="Y139" i="1"/>
  <c r="V137" i="1"/>
  <c r="X137" i="1"/>
  <c r="AE137" i="1"/>
  <c r="W137" i="1"/>
  <c r="W135" i="1"/>
  <c r="Y135" i="1"/>
  <c r="V135" i="1"/>
  <c r="AE135" i="1"/>
  <c r="V133" i="1"/>
  <c r="X133" i="1"/>
  <c r="AE133" i="1"/>
  <c r="Y133" i="1"/>
  <c r="W131" i="1"/>
  <c r="Y131" i="1"/>
  <c r="W159" i="1"/>
  <c r="AC159" i="1" s="1"/>
  <c r="AI159" i="1" s="1"/>
  <c r="AE157" i="1"/>
  <c r="V157" i="1"/>
  <c r="AC157" i="1" s="1"/>
  <c r="Y155" i="1"/>
  <c r="W151" i="1"/>
  <c r="AE149" i="1"/>
  <c r="V149" i="1"/>
  <c r="Y147" i="1"/>
  <c r="W143" i="1"/>
  <c r="AC143" i="1" s="1"/>
  <c r="AI143" i="1" s="1"/>
  <c r="V139" i="1"/>
  <c r="X139" i="1"/>
  <c r="X135" i="1"/>
  <c r="V131" i="1"/>
  <c r="X131" i="1"/>
  <c r="W194" i="1"/>
  <c r="Y194" i="1"/>
  <c r="AE194" i="1"/>
  <c r="V194" i="1"/>
  <c r="V192" i="1"/>
  <c r="X192" i="1"/>
  <c r="Y192" i="1"/>
  <c r="W190" i="1"/>
  <c r="Y190" i="1"/>
  <c r="AE190" i="1"/>
  <c r="V188" i="1"/>
  <c r="X188" i="1"/>
  <c r="W188" i="1"/>
  <c r="AE188" i="1"/>
  <c r="AE192" i="1"/>
  <c r="V190" i="1"/>
  <c r="X190" i="1"/>
  <c r="W142" i="1"/>
  <c r="Y142" i="1"/>
  <c r="AE142" i="1"/>
  <c r="V140" i="1"/>
  <c r="X140" i="1"/>
  <c r="W138" i="1"/>
  <c r="Y138" i="1"/>
  <c r="AE138" i="1"/>
  <c r="V136" i="1"/>
  <c r="X136" i="1"/>
  <c r="W134" i="1"/>
  <c r="Y134" i="1"/>
  <c r="AE134" i="1"/>
  <c r="V132" i="1"/>
  <c r="X132" i="1"/>
  <c r="W130" i="1"/>
  <c r="Y130" i="1"/>
  <c r="AE130" i="1"/>
  <c r="AE160" i="1"/>
  <c r="Y160" i="1"/>
  <c r="X158" i="1"/>
  <c r="AE156" i="1"/>
  <c r="Y156" i="1"/>
  <c r="X154" i="1"/>
  <c r="AC154" i="1" s="1"/>
  <c r="AI154" i="1" s="1"/>
  <c r="AE152" i="1"/>
  <c r="Y152" i="1"/>
  <c r="AC152" i="1" s="1"/>
  <c r="AI152" i="1" s="1"/>
  <c r="X150" i="1"/>
  <c r="AC149" i="1"/>
  <c r="AE148" i="1"/>
  <c r="Y148" i="1"/>
  <c r="AC148" i="1" s="1"/>
  <c r="AI148" i="1" s="1"/>
  <c r="X146" i="1"/>
  <c r="AE144" i="1"/>
  <c r="Y144" i="1"/>
  <c r="AE140" i="1"/>
  <c r="W140" i="1"/>
  <c r="V138" i="1"/>
  <c r="Y136" i="1"/>
  <c r="AE132" i="1"/>
  <c r="W132" i="1"/>
  <c r="V130" i="1"/>
  <c r="Y195" i="1"/>
  <c r="W195" i="1"/>
  <c r="AE193" i="1"/>
  <c r="X193" i="1"/>
  <c r="V193" i="1"/>
  <c r="Y191" i="1"/>
  <c r="W191" i="1"/>
  <c r="AE189" i="1"/>
  <c r="X189" i="1"/>
  <c r="V189" i="1"/>
  <c r="AC150" i="1"/>
  <c r="AC138" i="1"/>
  <c r="AI138" i="1" s="1"/>
  <c r="AE282" i="1"/>
  <c r="X282" i="1"/>
  <c r="V282" i="1"/>
  <c r="Y282" i="1"/>
  <c r="Y280" i="1"/>
  <c r="W280" i="1"/>
  <c r="AE280" i="1"/>
  <c r="X280" i="1"/>
  <c r="Y279" i="1"/>
  <c r="AE279" i="1"/>
  <c r="W279" i="1"/>
  <c r="X279" i="1"/>
  <c r="AC279" i="1" s="1"/>
  <c r="AI279" i="1" s="1"/>
  <c r="Y278" i="1"/>
  <c r="W278" i="1"/>
  <c r="AE278" i="1"/>
  <c r="X278" i="1"/>
  <c r="AE277" i="1"/>
  <c r="Y277" i="1"/>
  <c r="W277" i="1"/>
  <c r="X277" i="1"/>
  <c r="Y276" i="1"/>
  <c r="W276" i="1"/>
  <c r="AE276" i="1"/>
  <c r="X276" i="1"/>
  <c r="Y275" i="1"/>
  <c r="AE275" i="1"/>
  <c r="W275" i="1"/>
  <c r="X275" i="1"/>
  <c r="AC275" i="1" s="1"/>
  <c r="AI275" i="1" s="1"/>
  <c r="Y274" i="1"/>
  <c r="W274" i="1"/>
  <c r="AE274" i="1"/>
  <c r="X274" i="1"/>
  <c r="AC274" i="1" s="1"/>
  <c r="AI274" i="1" s="1"/>
  <c r="AE273" i="1"/>
  <c r="Y273" i="1"/>
  <c r="W273" i="1"/>
  <c r="X273" i="1"/>
  <c r="AE272" i="1"/>
  <c r="X272" i="1"/>
  <c r="Y272" i="1"/>
  <c r="W272" i="1"/>
  <c r="X271" i="1"/>
  <c r="V271" i="1"/>
  <c r="AE271" i="1"/>
  <c r="Y271" i="1"/>
  <c r="AE87" i="1"/>
  <c r="X87" i="1"/>
  <c r="V87" i="1"/>
  <c r="Y87" i="1"/>
  <c r="W86" i="1"/>
  <c r="AE86" i="1"/>
  <c r="Y86" i="1"/>
  <c r="X86" i="1"/>
  <c r="Y85" i="1"/>
  <c r="W85" i="1"/>
  <c r="AE85" i="1"/>
  <c r="X85" i="1"/>
  <c r="X84" i="1"/>
  <c r="V84" i="1"/>
  <c r="AE84" i="1"/>
  <c r="Y84" i="1"/>
  <c r="AE82" i="1"/>
  <c r="Y82" i="1"/>
  <c r="W82" i="1"/>
  <c r="X82" i="1"/>
  <c r="Y81" i="1"/>
  <c r="W81" i="1"/>
  <c r="AE81" i="1"/>
  <c r="X81" i="1"/>
  <c r="X80" i="1"/>
  <c r="V80" i="1"/>
  <c r="AE80" i="1"/>
  <c r="Y80" i="1"/>
  <c r="AE79" i="1"/>
  <c r="X79" i="1"/>
  <c r="V79" i="1"/>
  <c r="Y79" i="1"/>
  <c r="Y77" i="1"/>
  <c r="X76" i="1"/>
  <c r="Y75" i="1"/>
  <c r="W75" i="1"/>
  <c r="AE75" i="1"/>
  <c r="X75" i="1"/>
  <c r="AE74" i="1"/>
  <c r="Y74" i="1"/>
  <c r="W74" i="1"/>
  <c r="X74" i="1"/>
  <c r="Y73" i="1"/>
  <c r="W73" i="1"/>
  <c r="AE73" i="1"/>
  <c r="X73" i="1"/>
  <c r="AH63" i="1"/>
  <c r="AH62" i="1"/>
  <c r="AH61" i="1"/>
  <c r="AH60" i="1"/>
  <c r="AH128" i="1"/>
  <c r="AH127" i="1"/>
  <c r="AH126" i="1"/>
  <c r="AH125" i="1"/>
  <c r="AH124" i="1"/>
  <c r="AH121" i="1"/>
  <c r="AH120" i="1"/>
  <c r="AH119" i="1"/>
  <c r="AH118" i="1"/>
  <c r="AH117" i="1"/>
  <c r="AH114" i="1"/>
  <c r="AH113" i="1"/>
  <c r="AH112" i="1"/>
  <c r="AH111" i="1"/>
  <c r="AH110" i="1"/>
  <c r="AH107" i="1"/>
  <c r="AH106" i="1"/>
  <c r="AH105" i="1"/>
  <c r="AH104" i="1"/>
  <c r="AH103" i="1"/>
  <c r="AH50" i="1"/>
  <c r="M51" i="1"/>
  <c r="Z51" i="1" s="1"/>
  <c r="AA51" i="1"/>
  <c r="AB51" i="1"/>
  <c r="M52" i="1"/>
  <c r="Z52" i="1" s="1"/>
  <c r="AA52" i="1"/>
  <c r="AB52" i="1"/>
  <c r="M53" i="1"/>
  <c r="Z53" i="1" s="1"/>
  <c r="AA53" i="1"/>
  <c r="AB53" i="1"/>
  <c r="M54" i="1"/>
  <c r="Z54" i="1" s="1"/>
  <c r="AA54" i="1"/>
  <c r="AB54" i="1"/>
  <c r="M55" i="1"/>
  <c r="Z55" i="1" s="1"/>
  <c r="AA55" i="1"/>
  <c r="AB55" i="1"/>
  <c r="M56" i="1"/>
  <c r="Z56" i="1" s="1"/>
  <c r="AA56" i="1"/>
  <c r="AB56" i="1"/>
  <c r="M57" i="1"/>
  <c r="Z57" i="1" s="1"/>
  <c r="AA57" i="1"/>
  <c r="AB57" i="1"/>
  <c r="M58" i="1"/>
  <c r="Z58" i="1" s="1"/>
  <c r="AA58" i="1"/>
  <c r="AB58" i="1"/>
  <c r="M59" i="1"/>
  <c r="Z59" i="1" s="1"/>
  <c r="AA59" i="1"/>
  <c r="AB59" i="1"/>
  <c r="M60" i="1"/>
  <c r="Z60" i="1" s="1"/>
  <c r="AA60" i="1"/>
  <c r="AB60" i="1"/>
  <c r="M61" i="1"/>
  <c r="Z61" i="1" s="1"/>
  <c r="AA61" i="1"/>
  <c r="AB61" i="1"/>
  <c r="M62" i="1"/>
  <c r="Z62" i="1" s="1"/>
  <c r="AA62" i="1"/>
  <c r="AB62" i="1"/>
  <c r="M63" i="1"/>
  <c r="Z63" i="1" s="1"/>
  <c r="AA63" i="1"/>
  <c r="AB63" i="1"/>
  <c r="M64" i="1"/>
  <c r="Z64" i="1" s="1"/>
  <c r="AA64" i="1"/>
  <c r="AB64" i="1"/>
  <c r="M65" i="1"/>
  <c r="Z65" i="1" s="1"/>
  <c r="AA65" i="1"/>
  <c r="AB65" i="1"/>
  <c r="M66" i="1"/>
  <c r="Z66" i="1" s="1"/>
  <c r="AA66" i="1"/>
  <c r="AB66" i="1"/>
  <c r="M67" i="1"/>
  <c r="Z67" i="1" s="1"/>
  <c r="AA67" i="1"/>
  <c r="AB67" i="1"/>
  <c r="M68" i="1"/>
  <c r="Z68" i="1" s="1"/>
  <c r="AA68" i="1"/>
  <c r="AB68" i="1"/>
  <c r="M69" i="1"/>
  <c r="Z69" i="1" s="1"/>
  <c r="AA69" i="1"/>
  <c r="AB69" i="1"/>
  <c r="M70" i="1"/>
  <c r="Z70" i="1" s="1"/>
  <c r="AA70" i="1"/>
  <c r="AB70" i="1"/>
  <c r="M71" i="1"/>
  <c r="Z71" i="1" s="1"/>
  <c r="AA71" i="1"/>
  <c r="AB71" i="1"/>
  <c r="M72" i="1"/>
  <c r="Z72" i="1" s="1"/>
  <c r="AA72" i="1"/>
  <c r="AB72" i="1"/>
  <c r="M95" i="1"/>
  <c r="Z95" i="1" s="1"/>
  <c r="AA95" i="1"/>
  <c r="AB95" i="1"/>
  <c r="M96" i="1"/>
  <c r="Z96" i="1" s="1"/>
  <c r="AA96" i="1"/>
  <c r="AB96" i="1"/>
  <c r="M97" i="1"/>
  <c r="Z97" i="1" s="1"/>
  <c r="AA97" i="1"/>
  <c r="AB97" i="1"/>
  <c r="M98" i="1"/>
  <c r="Z98" i="1" s="1"/>
  <c r="AA98" i="1"/>
  <c r="AB98" i="1"/>
  <c r="M99" i="1"/>
  <c r="Z99" i="1" s="1"/>
  <c r="AA99" i="1"/>
  <c r="AB99" i="1"/>
  <c r="M100" i="1"/>
  <c r="Z100" i="1" s="1"/>
  <c r="AA100" i="1"/>
  <c r="AB100" i="1"/>
  <c r="M101" i="1"/>
  <c r="Z101" i="1" s="1"/>
  <c r="AA101" i="1"/>
  <c r="AB101" i="1"/>
  <c r="M102" i="1"/>
  <c r="Z102" i="1" s="1"/>
  <c r="AA102" i="1"/>
  <c r="AB102" i="1"/>
  <c r="M103" i="1"/>
  <c r="Z103" i="1" s="1"/>
  <c r="AA103" i="1"/>
  <c r="AB103" i="1"/>
  <c r="M104" i="1"/>
  <c r="Z104" i="1" s="1"/>
  <c r="AA104" i="1"/>
  <c r="AB104" i="1"/>
  <c r="M105" i="1"/>
  <c r="Z105" i="1" s="1"/>
  <c r="AA105" i="1"/>
  <c r="AB105" i="1"/>
  <c r="M106" i="1"/>
  <c r="Z106" i="1" s="1"/>
  <c r="AA106" i="1"/>
  <c r="AB106" i="1"/>
  <c r="M107" i="1"/>
  <c r="Z107" i="1" s="1"/>
  <c r="AA107" i="1"/>
  <c r="AB107" i="1"/>
  <c r="M108" i="1"/>
  <c r="Z108" i="1" s="1"/>
  <c r="AA108" i="1"/>
  <c r="AB108" i="1"/>
  <c r="M109" i="1"/>
  <c r="Z109" i="1" s="1"/>
  <c r="AA109" i="1"/>
  <c r="AB109" i="1"/>
  <c r="M110" i="1"/>
  <c r="Z110" i="1" s="1"/>
  <c r="AA110" i="1"/>
  <c r="AB110" i="1"/>
  <c r="M111" i="1"/>
  <c r="Z111" i="1" s="1"/>
  <c r="AA111" i="1"/>
  <c r="AB111" i="1"/>
  <c r="M112" i="1"/>
  <c r="Z112" i="1" s="1"/>
  <c r="AA112" i="1"/>
  <c r="AB112" i="1"/>
  <c r="M113" i="1"/>
  <c r="Z113" i="1" s="1"/>
  <c r="AA113" i="1"/>
  <c r="AB113" i="1"/>
  <c r="M114" i="1"/>
  <c r="Z114" i="1"/>
  <c r="AA114" i="1"/>
  <c r="AB114" i="1"/>
  <c r="M115" i="1"/>
  <c r="Z115" i="1" s="1"/>
  <c r="AA115" i="1"/>
  <c r="AB115" i="1"/>
  <c r="M116" i="1"/>
  <c r="Z116" i="1" s="1"/>
  <c r="AA116" i="1"/>
  <c r="AB116" i="1"/>
  <c r="M117" i="1"/>
  <c r="Z117" i="1" s="1"/>
  <c r="AA117" i="1"/>
  <c r="AB117" i="1"/>
  <c r="M118" i="1"/>
  <c r="Z118" i="1" s="1"/>
  <c r="AA118" i="1"/>
  <c r="AB118" i="1"/>
  <c r="M119" i="1"/>
  <c r="Z119" i="1" s="1"/>
  <c r="AA119" i="1"/>
  <c r="AB119" i="1"/>
  <c r="M120" i="1"/>
  <c r="Z120" i="1" s="1"/>
  <c r="AA120" i="1"/>
  <c r="AB120" i="1"/>
  <c r="M121" i="1"/>
  <c r="Z121" i="1" s="1"/>
  <c r="AA121" i="1"/>
  <c r="AB121" i="1"/>
  <c r="M122" i="1"/>
  <c r="Z122" i="1" s="1"/>
  <c r="AA122" i="1"/>
  <c r="AB122" i="1"/>
  <c r="M123" i="1"/>
  <c r="Z123" i="1" s="1"/>
  <c r="AA123" i="1"/>
  <c r="AB123" i="1"/>
  <c r="M124" i="1"/>
  <c r="Z124" i="1" s="1"/>
  <c r="AA124" i="1"/>
  <c r="AB124" i="1"/>
  <c r="M125" i="1"/>
  <c r="Z125" i="1" s="1"/>
  <c r="AA125" i="1"/>
  <c r="AB125" i="1"/>
  <c r="M126" i="1"/>
  <c r="Z126" i="1" s="1"/>
  <c r="AA126" i="1"/>
  <c r="AB126" i="1"/>
  <c r="M127" i="1"/>
  <c r="Z127" i="1" s="1"/>
  <c r="AA127" i="1"/>
  <c r="AB127" i="1"/>
  <c r="M128" i="1"/>
  <c r="Z128" i="1" s="1"/>
  <c r="AA128" i="1"/>
  <c r="AB128" i="1"/>
  <c r="M163" i="1"/>
  <c r="Z163" i="1" s="1"/>
  <c r="AA163" i="1"/>
  <c r="AB163" i="1"/>
  <c r="M164" i="1"/>
  <c r="Z164" i="1" s="1"/>
  <c r="AA164" i="1"/>
  <c r="AB164" i="1"/>
  <c r="M165" i="1"/>
  <c r="Z165" i="1" s="1"/>
  <c r="AA165" i="1"/>
  <c r="AB165" i="1"/>
  <c r="M166" i="1"/>
  <c r="Z166" i="1" s="1"/>
  <c r="AA166" i="1"/>
  <c r="AB166" i="1"/>
  <c r="M167" i="1"/>
  <c r="Z167" i="1" s="1"/>
  <c r="AA167" i="1"/>
  <c r="AB167" i="1"/>
  <c r="E52" i="1"/>
  <c r="E53" i="1"/>
  <c r="E54" i="1"/>
  <c r="E55" i="1"/>
  <c r="V55" i="1" s="1"/>
  <c r="E56" i="1"/>
  <c r="E57" i="1"/>
  <c r="W57" i="1" s="1"/>
  <c r="E58" i="1"/>
  <c r="V58" i="1" s="1"/>
  <c r="E59" i="1"/>
  <c r="V59" i="1" s="1"/>
  <c r="E60" i="1"/>
  <c r="V60" i="1" s="1"/>
  <c r="E61" i="1"/>
  <c r="V61" i="1" s="1"/>
  <c r="E62" i="1"/>
  <c r="V62" i="1" s="1"/>
  <c r="E63" i="1"/>
  <c r="V63" i="1" s="1"/>
  <c r="E64" i="1"/>
  <c r="E65" i="1"/>
  <c r="E66" i="1"/>
  <c r="W66" i="1" s="1"/>
  <c r="E67" i="1"/>
  <c r="Y67" i="1" s="1"/>
  <c r="E68" i="1"/>
  <c r="E69" i="1"/>
  <c r="W69" i="1" s="1"/>
  <c r="E70" i="1"/>
  <c r="V70" i="1" s="1"/>
  <c r="E71" i="1"/>
  <c r="E72" i="1"/>
  <c r="E94" i="1"/>
  <c r="E95" i="1"/>
  <c r="Y95" i="1" s="1"/>
  <c r="E96" i="1"/>
  <c r="W96" i="1" s="1"/>
  <c r="E97" i="1"/>
  <c r="E98" i="1"/>
  <c r="Y98" i="1" s="1"/>
  <c r="E99" i="1"/>
  <c r="X99" i="1" s="1"/>
  <c r="E100" i="1"/>
  <c r="V100" i="1" s="1"/>
  <c r="E101" i="1"/>
  <c r="E102" i="1"/>
  <c r="W102" i="1" s="1"/>
  <c r="E103" i="1"/>
  <c r="V103" i="1" s="1"/>
  <c r="E104" i="1"/>
  <c r="V104" i="1" s="1"/>
  <c r="E105" i="1"/>
  <c r="V105" i="1" s="1"/>
  <c r="E106" i="1"/>
  <c r="V106" i="1" s="1"/>
  <c r="E107" i="1"/>
  <c r="V107" i="1" s="1"/>
  <c r="E108" i="1"/>
  <c r="E109" i="1"/>
  <c r="W109" i="1" s="1"/>
  <c r="E110" i="1"/>
  <c r="V110" i="1" s="1"/>
  <c r="E111" i="1"/>
  <c r="E112" i="1"/>
  <c r="W112" i="1" s="1"/>
  <c r="E113" i="1"/>
  <c r="V113" i="1" s="1"/>
  <c r="E114" i="1"/>
  <c r="W114" i="1" s="1"/>
  <c r="E115" i="1"/>
  <c r="V115" i="1" s="1"/>
  <c r="E116" i="1"/>
  <c r="W116" i="1" s="1"/>
  <c r="E117" i="1"/>
  <c r="V117" i="1" s="1"/>
  <c r="E118" i="1"/>
  <c r="V118" i="1" s="1"/>
  <c r="E119" i="1"/>
  <c r="E120" i="1"/>
  <c r="W120" i="1" s="1"/>
  <c r="E121" i="1"/>
  <c r="V121" i="1" s="1"/>
  <c r="E122" i="1"/>
  <c r="X122" i="1" s="1"/>
  <c r="E123" i="1"/>
  <c r="W123" i="1" s="1"/>
  <c r="E124" i="1"/>
  <c r="V124" i="1" s="1"/>
  <c r="E125" i="1"/>
  <c r="V125" i="1" s="1"/>
  <c r="E126" i="1"/>
  <c r="V126" i="1" s="1"/>
  <c r="E127" i="1"/>
  <c r="V127" i="1" s="1"/>
  <c r="E128" i="1"/>
  <c r="V128" i="1" s="1"/>
  <c r="E129" i="1"/>
  <c r="E162" i="1"/>
  <c r="E163" i="1"/>
  <c r="W163" i="1" s="1"/>
  <c r="E164" i="1"/>
  <c r="V164" i="1" s="1"/>
  <c r="E165" i="1"/>
  <c r="W165" i="1" s="1"/>
  <c r="AH228" i="1"/>
  <c r="E228" i="1"/>
  <c r="V228" i="1" s="1"/>
  <c r="M228" i="1"/>
  <c r="Z228" i="1" s="1"/>
  <c r="AA228" i="1"/>
  <c r="AB228" i="1"/>
  <c r="AE228" i="1"/>
  <c r="AI265" i="1" l="1"/>
  <c r="AI150" i="1"/>
  <c r="AI264" i="1"/>
  <c r="AI91" i="1"/>
  <c r="AI149" i="1"/>
  <c r="AK149" i="1" s="1"/>
  <c r="AI157" i="1"/>
  <c r="AK157" i="1" s="1"/>
  <c r="AJ292" i="1"/>
  <c r="AI292" i="1"/>
  <c r="AK292" i="1" s="1"/>
  <c r="AI89" i="1"/>
  <c r="AK89" i="1" s="1"/>
  <c r="AI93" i="1"/>
  <c r="AL93" i="1" s="1"/>
  <c r="AC272" i="1"/>
  <c r="AI272" i="1" s="1"/>
  <c r="AC253" i="1"/>
  <c r="AC195" i="1"/>
  <c r="AC284" i="1"/>
  <c r="AC151" i="1"/>
  <c r="AI151" i="1" s="1"/>
  <c r="AC80" i="1"/>
  <c r="AI80" i="1" s="1"/>
  <c r="AC191" i="1"/>
  <c r="AC158" i="1"/>
  <c r="AC134" i="1"/>
  <c r="AI134" i="1" s="1"/>
  <c r="AC142" i="1"/>
  <c r="AC260" i="1"/>
  <c r="AC90" i="1"/>
  <c r="AI90" i="1" s="1"/>
  <c r="AC130" i="1"/>
  <c r="AI130" i="1" s="1"/>
  <c r="AC76" i="1"/>
  <c r="AI76" i="1" s="1"/>
  <c r="AC193" i="1"/>
  <c r="AI193" i="1" s="1"/>
  <c r="AC144" i="1"/>
  <c r="AC146" i="1"/>
  <c r="AI146" i="1" s="1"/>
  <c r="AC156" i="1"/>
  <c r="AC160" i="1"/>
  <c r="AC131" i="1"/>
  <c r="AC135" i="1"/>
  <c r="AI135" i="1" s="1"/>
  <c r="AC262" i="1"/>
  <c r="AC266" i="1"/>
  <c r="AC268" i="1"/>
  <c r="AJ268" i="1" s="1"/>
  <c r="AC270" i="1"/>
  <c r="AC285" i="1"/>
  <c r="AI285" i="1" s="1"/>
  <c r="AC291" i="1"/>
  <c r="AC295" i="1"/>
  <c r="AC83" i="1"/>
  <c r="AC288" i="1"/>
  <c r="AC161" i="1"/>
  <c r="AC145" i="1"/>
  <c r="AI145" i="1" s="1"/>
  <c r="AC153" i="1"/>
  <c r="AC244" i="1"/>
  <c r="AC77" i="1"/>
  <c r="AI77" i="1" s="1"/>
  <c r="AC74" i="1"/>
  <c r="AI74" i="1" s="1"/>
  <c r="V114" i="1"/>
  <c r="X114" i="1"/>
  <c r="AC140" i="1"/>
  <c r="AI140" i="1" s="1"/>
  <c r="AC133" i="1"/>
  <c r="AC137" i="1"/>
  <c r="AC141" i="1"/>
  <c r="AC147" i="1"/>
  <c r="AC155" i="1"/>
  <c r="AI155" i="1" s="1"/>
  <c r="AC246" i="1"/>
  <c r="AC254" i="1"/>
  <c r="V122" i="1"/>
  <c r="V112" i="1"/>
  <c r="X112" i="1"/>
  <c r="X100" i="1"/>
  <c r="X55" i="1"/>
  <c r="AC75" i="1"/>
  <c r="AC81" i="1"/>
  <c r="AI81" i="1" s="1"/>
  <c r="AC139" i="1"/>
  <c r="AI139" i="1" s="1"/>
  <c r="AC248" i="1"/>
  <c r="AC252" i="1"/>
  <c r="AC256" i="1"/>
  <c r="AI256" i="1" s="1"/>
  <c r="AC243" i="1"/>
  <c r="AI243" i="1" s="1"/>
  <c r="AC259" i="1"/>
  <c r="AC269" i="1"/>
  <c r="AC281" i="1"/>
  <c r="AI281" i="1" s="1"/>
  <c r="AC283" i="1"/>
  <c r="AI283" i="1" s="1"/>
  <c r="AC245" i="1"/>
  <c r="AC255" i="1"/>
  <c r="AC92" i="1"/>
  <c r="AI92" i="1" s="1"/>
  <c r="AL149" i="1"/>
  <c r="AC136" i="1"/>
  <c r="AC88" i="1"/>
  <c r="AI88" i="1" s="1"/>
  <c r="AC287" i="1"/>
  <c r="AI287" i="1" s="1"/>
  <c r="AC289" i="1"/>
  <c r="AI289" i="1" s="1"/>
  <c r="AC293" i="1"/>
  <c r="AC297" i="1"/>
  <c r="AC241" i="1"/>
  <c r="AI241" i="1" s="1"/>
  <c r="AC249" i="1"/>
  <c r="AC251" i="1"/>
  <c r="AI251" i="1" s="1"/>
  <c r="AC257" i="1"/>
  <c r="AC78" i="1"/>
  <c r="AJ296" i="1"/>
  <c r="AL296" i="1"/>
  <c r="AJ89" i="1"/>
  <c r="AC132" i="1"/>
  <c r="AC261" i="1"/>
  <c r="AC189" i="1"/>
  <c r="AI189" i="1" s="1"/>
  <c r="AC190" i="1"/>
  <c r="AJ193" i="1"/>
  <c r="AJ264" i="1"/>
  <c r="AK264" i="1"/>
  <c r="AJ290" i="1"/>
  <c r="AK290" i="1"/>
  <c r="AJ294" i="1"/>
  <c r="AJ298" i="1"/>
  <c r="AL298" i="1"/>
  <c r="V129" i="1"/>
  <c r="X129" i="1"/>
  <c r="AE129" i="1"/>
  <c r="W129" i="1"/>
  <c r="Y129" i="1"/>
  <c r="X163" i="1"/>
  <c r="X115" i="1"/>
  <c r="X97" i="1"/>
  <c r="X70" i="1"/>
  <c r="X58" i="1"/>
  <c r="AC188" i="1"/>
  <c r="AI188" i="1" s="1"/>
  <c r="W228" i="1"/>
  <c r="V162" i="1"/>
  <c r="X162" i="1"/>
  <c r="W162" i="1"/>
  <c r="AE162" i="1"/>
  <c r="Y162" i="1"/>
  <c r="X108" i="1"/>
  <c r="V94" i="1"/>
  <c r="X94" i="1"/>
  <c r="W94" i="1"/>
  <c r="Y94" i="1"/>
  <c r="AE94" i="1"/>
  <c r="X53" i="1"/>
  <c r="AE163" i="1"/>
  <c r="V163" i="1"/>
  <c r="AC82" i="1"/>
  <c r="AJ93" i="1"/>
  <c r="AC282" i="1"/>
  <c r="AC192" i="1"/>
  <c r="AI192" i="1" s="1"/>
  <c r="AC194" i="1"/>
  <c r="AI194" i="1" s="1"/>
  <c r="AJ149" i="1"/>
  <c r="AJ157" i="1"/>
  <c r="AJ148" i="1"/>
  <c r="AJ152" i="1"/>
  <c r="AJ134" i="1"/>
  <c r="AJ150" i="1"/>
  <c r="AJ143" i="1"/>
  <c r="AJ151" i="1"/>
  <c r="AJ159" i="1"/>
  <c r="AJ130" i="1"/>
  <c r="AJ138" i="1"/>
  <c r="AJ154" i="1"/>
  <c r="V165" i="1"/>
  <c r="X165" i="1"/>
  <c r="AE165" i="1"/>
  <c r="AJ242" i="1"/>
  <c r="AJ250" i="1"/>
  <c r="AJ258" i="1"/>
  <c r="AJ263" i="1"/>
  <c r="AJ267" i="1"/>
  <c r="AJ265" i="1"/>
  <c r="AJ247" i="1"/>
  <c r="AJ286" i="1"/>
  <c r="AC280" i="1"/>
  <c r="AI280" i="1" s="1"/>
  <c r="AC278" i="1"/>
  <c r="AI278" i="1" s="1"/>
  <c r="AC277" i="1"/>
  <c r="AC276" i="1"/>
  <c r="AC273" i="1"/>
  <c r="AC271" i="1"/>
  <c r="AI271" i="1" s="1"/>
  <c r="AJ279" i="1"/>
  <c r="AJ275" i="1"/>
  <c r="AJ274" i="1"/>
  <c r="AJ272" i="1"/>
  <c r="AJ91" i="1"/>
  <c r="AJ90" i="1"/>
  <c r="AC86" i="1"/>
  <c r="AI86" i="1" s="1"/>
  <c r="AC87" i="1"/>
  <c r="AI87" i="1" s="1"/>
  <c r="AC85" i="1"/>
  <c r="AI85" i="1" s="1"/>
  <c r="AC84" i="1"/>
  <c r="AI84" i="1" s="1"/>
  <c r="AJ86" i="1"/>
  <c r="AC79" i="1"/>
  <c r="AC73" i="1"/>
  <c r="AI73" i="1" s="1"/>
  <c r="AJ77" i="1"/>
  <c r="X71" i="1"/>
  <c r="X65" i="1"/>
  <c r="V119" i="1"/>
  <c r="W119" i="1"/>
  <c r="AE119" i="1"/>
  <c r="V101" i="1"/>
  <c r="X101" i="1"/>
  <c r="AE101" i="1"/>
  <c r="W97" i="1"/>
  <c r="Y97" i="1"/>
  <c r="V72" i="1"/>
  <c r="X72" i="1"/>
  <c r="AE72" i="1"/>
  <c r="W68" i="1"/>
  <c r="Y68" i="1"/>
  <c r="V64" i="1"/>
  <c r="X64" i="1"/>
  <c r="AE64" i="1"/>
  <c r="V56" i="1"/>
  <c r="X56" i="1"/>
  <c r="V54" i="1"/>
  <c r="X54" i="1"/>
  <c r="AE54" i="1"/>
  <c r="V52" i="1"/>
  <c r="X52" i="1"/>
  <c r="AE52" i="1"/>
  <c r="AE115" i="1"/>
  <c r="Y101" i="1"/>
  <c r="AE100" i="1"/>
  <c r="AE97" i="1"/>
  <c r="V97" i="1"/>
  <c r="W72" i="1"/>
  <c r="X68" i="1"/>
  <c r="AE66" i="1"/>
  <c r="Y64" i="1"/>
  <c r="AE58" i="1"/>
  <c r="Y56" i="1"/>
  <c r="AE55" i="1"/>
  <c r="W54" i="1"/>
  <c r="Y52" i="1"/>
  <c r="W115" i="1"/>
  <c r="Y115" i="1"/>
  <c r="V111" i="1"/>
  <c r="W111" i="1"/>
  <c r="AE111" i="1"/>
  <c r="W99" i="1"/>
  <c r="Y99" i="1"/>
  <c r="AE99" i="1"/>
  <c r="V95" i="1"/>
  <c r="X95" i="1"/>
  <c r="W70" i="1"/>
  <c r="Y70" i="1"/>
  <c r="AE70" i="1"/>
  <c r="V66" i="1"/>
  <c r="X66" i="1"/>
  <c r="W58" i="1"/>
  <c r="Y58" i="1"/>
  <c r="Y164" i="1"/>
  <c r="W164" i="1"/>
  <c r="W122" i="1"/>
  <c r="Y122" i="1"/>
  <c r="AE122" i="1"/>
  <c r="W108" i="1"/>
  <c r="Y108" i="1"/>
  <c r="AE108" i="1"/>
  <c r="W100" i="1"/>
  <c r="Y100" i="1"/>
  <c r="V98" i="1"/>
  <c r="X98" i="1"/>
  <c r="AE98" i="1"/>
  <c r="V96" i="1"/>
  <c r="X96" i="1"/>
  <c r="AE96" i="1"/>
  <c r="W71" i="1"/>
  <c r="Y71" i="1"/>
  <c r="V69" i="1"/>
  <c r="X69" i="1"/>
  <c r="AE69" i="1"/>
  <c r="V67" i="1"/>
  <c r="X67" i="1"/>
  <c r="AE67" i="1"/>
  <c r="W65" i="1"/>
  <c r="Y65" i="1"/>
  <c r="V57" i="1"/>
  <c r="X57" i="1"/>
  <c r="AE57" i="1"/>
  <c r="W55" i="1"/>
  <c r="Y55" i="1"/>
  <c r="W53" i="1"/>
  <c r="Y53" i="1"/>
  <c r="Y165" i="1"/>
  <c r="AE164" i="1"/>
  <c r="X164" i="1"/>
  <c r="Y163" i="1"/>
  <c r="Y119" i="1"/>
  <c r="Y111" i="1"/>
  <c r="V108" i="1"/>
  <c r="W101" i="1"/>
  <c r="V99" i="1"/>
  <c r="W98" i="1"/>
  <c r="Y96" i="1"/>
  <c r="AE95" i="1"/>
  <c r="W95" i="1"/>
  <c r="Y72" i="1"/>
  <c r="AE71" i="1"/>
  <c r="V71" i="1"/>
  <c r="Y69" i="1"/>
  <c r="AE68" i="1"/>
  <c r="V68" i="1"/>
  <c r="W67" i="1"/>
  <c r="Y66" i="1"/>
  <c r="AE65" i="1"/>
  <c r="V65" i="1"/>
  <c r="W64" i="1"/>
  <c r="Y57" i="1"/>
  <c r="AE56" i="1"/>
  <c r="W56" i="1"/>
  <c r="Y54" i="1"/>
  <c r="AE53" i="1"/>
  <c r="V53" i="1"/>
  <c r="W52" i="1"/>
  <c r="Y63" i="1"/>
  <c r="W63" i="1"/>
  <c r="AE63" i="1"/>
  <c r="X63" i="1"/>
  <c r="AE62" i="1"/>
  <c r="Y62" i="1"/>
  <c r="W62" i="1"/>
  <c r="X62" i="1"/>
  <c r="Y61" i="1"/>
  <c r="W61" i="1"/>
  <c r="AE61" i="1"/>
  <c r="X61" i="1"/>
  <c r="Y60" i="1"/>
  <c r="AE60" i="1"/>
  <c r="W60" i="1"/>
  <c r="X60" i="1"/>
  <c r="Y59" i="1"/>
  <c r="W59" i="1"/>
  <c r="AE59" i="1"/>
  <c r="X59" i="1"/>
  <c r="AE128" i="1"/>
  <c r="Y128" i="1"/>
  <c r="W128" i="1"/>
  <c r="X128" i="1"/>
  <c r="Y127" i="1"/>
  <c r="AE127" i="1"/>
  <c r="W127" i="1"/>
  <c r="X127" i="1"/>
  <c r="AE126" i="1"/>
  <c r="Y126" i="1"/>
  <c r="W126" i="1"/>
  <c r="X126" i="1"/>
  <c r="Y125" i="1"/>
  <c r="AE125" i="1"/>
  <c r="W125" i="1"/>
  <c r="X125" i="1"/>
  <c r="AE124" i="1"/>
  <c r="Y124" i="1"/>
  <c r="W124" i="1"/>
  <c r="X124" i="1"/>
  <c r="X123" i="1"/>
  <c r="V123" i="1"/>
  <c r="AE123" i="1"/>
  <c r="Y123" i="1"/>
  <c r="Y121" i="1"/>
  <c r="AE121" i="1"/>
  <c r="W121" i="1"/>
  <c r="X121" i="1"/>
  <c r="V120" i="1"/>
  <c r="X120" i="1"/>
  <c r="AE120" i="1"/>
  <c r="Y120" i="1"/>
  <c r="X119" i="1"/>
  <c r="AE118" i="1"/>
  <c r="Y118" i="1"/>
  <c r="W118" i="1"/>
  <c r="X118" i="1"/>
  <c r="Y117" i="1"/>
  <c r="AE117" i="1"/>
  <c r="W117" i="1"/>
  <c r="X117" i="1"/>
  <c r="V116" i="1"/>
  <c r="X116" i="1"/>
  <c r="AE116" i="1"/>
  <c r="Y116" i="1"/>
  <c r="AE114" i="1"/>
  <c r="Y114" i="1"/>
  <c r="AE113" i="1"/>
  <c r="Y113" i="1"/>
  <c r="W113" i="1"/>
  <c r="X113" i="1"/>
  <c r="AE112" i="1"/>
  <c r="Y112" i="1"/>
  <c r="X111" i="1"/>
  <c r="AE110" i="1"/>
  <c r="Y110" i="1"/>
  <c r="W110" i="1"/>
  <c r="X110" i="1"/>
  <c r="X109" i="1"/>
  <c r="V109" i="1"/>
  <c r="AE109" i="1"/>
  <c r="Y109" i="1"/>
  <c r="W107" i="1"/>
  <c r="AE107" i="1"/>
  <c r="Y107" i="1"/>
  <c r="X107" i="1"/>
  <c r="W106" i="1"/>
  <c r="AE106" i="1"/>
  <c r="Y106" i="1"/>
  <c r="X106" i="1"/>
  <c r="W105" i="1"/>
  <c r="AE105" i="1"/>
  <c r="Y105" i="1"/>
  <c r="X105" i="1"/>
  <c r="W104" i="1"/>
  <c r="AE104" i="1"/>
  <c r="Y104" i="1"/>
  <c r="X104" i="1"/>
  <c r="Y103" i="1"/>
  <c r="AE103" i="1"/>
  <c r="W103" i="1"/>
  <c r="X103" i="1"/>
  <c r="AE102" i="1"/>
  <c r="Y102" i="1"/>
  <c r="V102" i="1"/>
  <c r="X102" i="1"/>
  <c r="Y228" i="1"/>
  <c r="X228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4" i="1"/>
  <c r="AA225" i="1"/>
  <c r="AA226" i="1"/>
  <c r="AA227" i="1"/>
  <c r="AA229" i="1"/>
  <c r="AA230" i="1"/>
  <c r="AA231" i="1"/>
  <c r="AA232" i="1"/>
  <c r="AA233" i="1"/>
  <c r="AA234" i="1"/>
  <c r="AA235" i="1"/>
  <c r="AA236" i="1"/>
  <c r="AA237" i="1"/>
  <c r="AA238" i="1"/>
  <c r="AA239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E7" i="1"/>
  <c r="AE7" i="1" s="1"/>
  <c r="E8" i="1"/>
  <c r="AE8" i="1" s="1"/>
  <c r="E9" i="1"/>
  <c r="AE9" i="1" s="1"/>
  <c r="E10" i="1"/>
  <c r="AE10" i="1" s="1"/>
  <c r="E11" i="1"/>
  <c r="AE11" i="1" s="1"/>
  <c r="E12" i="1"/>
  <c r="AE12" i="1" s="1"/>
  <c r="E13" i="1"/>
  <c r="AE13" i="1" s="1"/>
  <c r="E14" i="1"/>
  <c r="AE14" i="1" s="1"/>
  <c r="E15" i="1"/>
  <c r="AE15" i="1" s="1"/>
  <c r="E16" i="1"/>
  <c r="AE16" i="1" s="1"/>
  <c r="E17" i="1"/>
  <c r="AE17" i="1" s="1"/>
  <c r="E18" i="1"/>
  <c r="AE18" i="1" s="1"/>
  <c r="E19" i="1"/>
  <c r="AE19" i="1" s="1"/>
  <c r="E20" i="1"/>
  <c r="AE20" i="1" s="1"/>
  <c r="E21" i="1"/>
  <c r="AE21" i="1" s="1"/>
  <c r="E22" i="1"/>
  <c r="AE22" i="1" s="1"/>
  <c r="E23" i="1"/>
  <c r="AE23" i="1" s="1"/>
  <c r="E24" i="1"/>
  <c r="AE24" i="1" s="1"/>
  <c r="E25" i="1"/>
  <c r="AE25" i="1" s="1"/>
  <c r="E26" i="1"/>
  <c r="AE26" i="1" s="1"/>
  <c r="E27" i="1"/>
  <c r="AE27" i="1" s="1"/>
  <c r="E28" i="1"/>
  <c r="AE28" i="1" s="1"/>
  <c r="E29" i="1"/>
  <c r="AE29" i="1" s="1"/>
  <c r="E30" i="1"/>
  <c r="AE30" i="1" s="1"/>
  <c r="E31" i="1"/>
  <c r="AE31" i="1" s="1"/>
  <c r="E32" i="1"/>
  <c r="AE32" i="1" s="1"/>
  <c r="E33" i="1"/>
  <c r="AE33" i="1" s="1"/>
  <c r="E34" i="1"/>
  <c r="AE34" i="1" s="1"/>
  <c r="E35" i="1"/>
  <c r="AE35" i="1" s="1"/>
  <c r="E36" i="1"/>
  <c r="AE36" i="1" s="1"/>
  <c r="E37" i="1"/>
  <c r="AE37" i="1" s="1"/>
  <c r="E38" i="1"/>
  <c r="AE38" i="1" s="1"/>
  <c r="E39" i="1"/>
  <c r="AE39" i="1" s="1"/>
  <c r="E40" i="1"/>
  <c r="AE40" i="1" s="1"/>
  <c r="E41" i="1"/>
  <c r="AE41" i="1" s="1"/>
  <c r="E42" i="1"/>
  <c r="AE42" i="1" s="1"/>
  <c r="E43" i="1"/>
  <c r="AE43" i="1" s="1"/>
  <c r="E44" i="1"/>
  <c r="AE44" i="1" s="1"/>
  <c r="E45" i="1"/>
  <c r="AE45" i="1" s="1"/>
  <c r="E46" i="1"/>
  <c r="AE46" i="1" s="1"/>
  <c r="E47" i="1"/>
  <c r="AE47" i="1" s="1"/>
  <c r="E48" i="1"/>
  <c r="AE48" i="1" s="1"/>
  <c r="E49" i="1"/>
  <c r="AE49" i="1" s="1"/>
  <c r="E50" i="1"/>
  <c r="AE50" i="1" s="1"/>
  <c r="E51" i="1"/>
  <c r="E166" i="1"/>
  <c r="E167" i="1"/>
  <c r="E168" i="1"/>
  <c r="AE168" i="1" s="1"/>
  <c r="E169" i="1"/>
  <c r="AE169" i="1" s="1"/>
  <c r="E170" i="1"/>
  <c r="AE170" i="1" s="1"/>
  <c r="E171" i="1"/>
  <c r="AE171" i="1" s="1"/>
  <c r="E172" i="1"/>
  <c r="AE172" i="1" s="1"/>
  <c r="E173" i="1"/>
  <c r="AE173" i="1" s="1"/>
  <c r="E174" i="1"/>
  <c r="AE174" i="1" s="1"/>
  <c r="E175" i="1"/>
  <c r="AE175" i="1" s="1"/>
  <c r="E176" i="1"/>
  <c r="AE176" i="1" s="1"/>
  <c r="E177" i="1"/>
  <c r="AE177" i="1" s="1"/>
  <c r="E178" i="1"/>
  <c r="AE178" i="1" s="1"/>
  <c r="E179" i="1"/>
  <c r="AE179" i="1" s="1"/>
  <c r="E180" i="1"/>
  <c r="AE180" i="1" s="1"/>
  <c r="E181" i="1"/>
  <c r="AE181" i="1" s="1"/>
  <c r="E182" i="1"/>
  <c r="AE182" i="1" s="1"/>
  <c r="E183" i="1"/>
  <c r="AE183" i="1" s="1"/>
  <c r="E184" i="1"/>
  <c r="AE184" i="1" s="1"/>
  <c r="E185" i="1"/>
  <c r="AE185" i="1" s="1"/>
  <c r="E186" i="1"/>
  <c r="AE186" i="1" s="1"/>
  <c r="AE187" i="1"/>
  <c r="AE196" i="1"/>
  <c r="E197" i="1"/>
  <c r="AE197" i="1" s="1"/>
  <c r="E198" i="1"/>
  <c r="AE198" i="1" s="1"/>
  <c r="E199" i="1"/>
  <c r="AE199" i="1" s="1"/>
  <c r="E200" i="1"/>
  <c r="AE200" i="1" s="1"/>
  <c r="E201" i="1"/>
  <c r="AE201" i="1" s="1"/>
  <c r="E202" i="1"/>
  <c r="AE202" i="1" s="1"/>
  <c r="E203" i="1"/>
  <c r="AE203" i="1" s="1"/>
  <c r="E204" i="1"/>
  <c r="AE204" i="1" s="1"/>
  <c r="E205" i="1"/>
  <c r="AE205" i="1" s="1"/>
  <c r="E206" i="1"/>
  <c r="AE206" i="1" s="1"/>
  <c r="E207" i="1"/>
  <c r="AE207" i="1" s="1"/>
  <c r="E208" i="1"/>
  <c r="AE208" i="1" s="1"/>
  <c r="E209" i="1"/>
  <c r="AE209" i="1" s="1"/>
  <c r="E210" i="1"/>
  <c r="AE210" i="1" s="1"/>
  <c r="E211" i="1"/>
  <c r="AE211" i="1" s="1"/>
  <c r="E212" i="1"/>
  <c r="AE212" i="1" s="1"/>
  <c r="E213" i="1"/>
  <c r="AE213" i="1" s="1"/>
  <c r="E214" i="1"/>
  <c r="AE214" i="1" s="1"/>
  <c r="E215" i="1"/>
  <c r="AE215" i="1" s="1"/>
  <c r="E216" i="1"/>
  <c r="AE216" i="1" s="1"/>
  <c r="E217" i="1"/>
  <c r="AE217" i="1" s="1"/>
  <c r="E218" i="1"/>
  <c r="AE218" i="1" s="1"/>
  <c r="E219" i="1"/>
  <c r="AE219" i="1" s="1"/>
  <c r="E220" i="1"/>
  <c r="AE220" i="1" s="1"/>
  <c r="E221" i="1"/>
  <c r="AE221" i="1" s="1"/>
  <c r="E222" i="1"/>
  <c r="AE222" i="1" s="1"/>
  <c r="E223" i="1"/>
  <c r="AE223" i="1" s="1"/>
  <c r="E224" i="1"/>
  <c r="AE224" i="1" s="1"/>
  <c r="E225" i="1"/>
  <c r="AE225" i="1" s="1"/>
  <c r="E226" i="1"/>
  <c r="AE226" i="1" s="1"/>
  <c r="E227" i="1"/>
  <c r="AE227" i="1" s="1"/>
  <c r="E229" i="1"/>
  <c r="AE229" i="1" s="1"/>
  <c r="E230" i="1"/>
  <c r="AE230" i="1" s="1"/>
  <c r="E231" i="1"/>
  <c r="AE231" i="1" s="1"/>
  <c r="E232" i="1"/>
  <c r="AE232" i="1" s="1"/>
  <c r="E233" i="1"/>
  <c r="AE233" i="1" s="1"/>
  <c r="E234" i="1"/>
  <c r="AE234" i="1" s="1"/>
  <c r="E235" i="1"/>
  <c r="AE235" i="1" s="1"/>
  <c r="E236" i="1"/>
  <c r="AE236" i="1" s="1"/>
  <c r="E237" i="1"/>
  <c r="AE237" i="1" s="1"/>
  <c r="E238" i="1"/>
  <c r="AE238" i="1" s="1"/>
  <c r="E239" i="1"/>
  <c r="AE239" i="1" s="1"/>
  <c r="E240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AE311" i="1" s="1"/>
  <c r="E312" i="1"/>
  <c r="AE312" i="1" s="1"/>
  <c r="E313" i="1"/>
  <c r="AE313" i="1" s="1"/>
  <c r="E314" i="1"/>
  <c r="AE314" i="1" s="1"/>
  <c r="E315" i="1"/>
  <c r="AE315" i="1" s="1"/>
  <c r="E316" i="1"/>
  <c r="AE316" i="1" s="1"/>
  <c r="E317" i="1"/>
  <c r="AE317" i="1" s="1"/>
  <c r="E318" i="1"/>
  <c r="AE318" i="1" s="1"/>
  <c r="E319" i="1"/>
  <c r="AE319" i="1" s="1"/>
  <c r="E320" i="1"/>
  <c r="AE320" i="1" s="1"/>
  <c r="E321" i="1"/>
  <c r="AE321" i="1" s="1"/>
  <c r="E322" i="1"/>
  <c r="AE322" i="1" s="1"/>
  <c r="E323" i="1"/>
  <c r="AE323" i="1" s="1"/>
  <c r="E324" i="1"/>
  <c r="AE324" i="1" s="1"/>
  <c r="E325" i="1"/>
  <c r="AE325" i="1" s="1"/>
  <c r="E326" i="1"/>
  <c r="AE326" i="1" s="1"/>
  <c r="E327" i="1"/>
  <c r="AE327" i="1" s="1"/>
  <c r="E328" i="1"/>
  <c r="AE328" i="1" s="1"/>
  <c r="E329" i="1"/>
  <c r="AE329" i="1" s="1"/>
  <c r="E330" i="1"/>
  <c r="AE330" i="1" s="1"/>
  <c r="E331" i="1"/>
  <c r="AE331" i="1" s="1"/>
  <c r="E332" i="1"/>
  <c r="AE332" i="1" s="1"/>
  <c r="E333" i="1"/>
  <c r="AE333" i="1" s="1"/>
  <c r="E334" i="1"/>
  <c r="AE334" i="1" s="1"/>
  <c r="E335" i="1"/>
  <c r="AE335" i="1" s="1"/>
  <c r="E336" i="1"/>
  <c r="AE336" i="1" s="1"/>
  <c r="E337" i="1"/>
  <c r="AE337" i="1" s="1"/>
  <c r="E338" i="1"/>
  <c r="AE338" i="1" s="1"/>
  <c r="E339" i="1"/>
  <c r="AE339" i="1" s="1"/>
  <c r="E340" i="1"/>
  <c r="AE340" i="1" s="1"/>
  <c r="E341" i="1"/>
  <c r="AE341" i="1" s="1"/>
  <c r="E342" i="1"/>
  <c r="AE342" i="1" s="1"/>
  <c r="E343" i="1"/>
  <c r="AE343" i="1" s="1"/>
  <c r="E344" i="1"/>
  <c r="AE344" i="1" s="1"/>
  <c r="E345" i="1"/>
  <c r="AE345" i="1" s="1"/>
  <c r="E346" i="1"/>
  <c r="AE346" i="1" s="1"/>
  <c r="E347" i="1"/>
  <c r="AE347" i="1" s="1"/>
  <c r="E348" i="1"/>
  <c r="AE348" i="1" s="1"/>
  <c r="E349" i="1"/>
  <c r="AE349" i="1" s="1"/>
  <c r="E350" i="1"/>
  <c r="AE350" i="1" s="1"/>
  <c r="E351" i="1"/>
  <c r="AE351" i="1" s="1"/>
  <c r="E352" i="1"/>
  <c r="AE352" i="1" s="1"/>
  <c r="E353" i="1"/>
  <c r="AE353" i="1" s="1"/>
  <c r="E354" i="1"/>
  <c r="AE354" i="1" s="1"/>
  <c r="E355" i="1"/>
  <c r="AE355" i="1" s="1"/>
  <c r="E356" i="1"/>
  <c r="AE356" i="1" s="1"/>
  <c r="E357" i="1"/>
  <c r="AE357" i="1" s="1"/>
  <c r="E358" i="1"/>
  <c r="AE358" i="1" s="1"/>
  <c r="E359" i="1"/>
  <c r="AE359" i="1" s="1"/>
  <c r="E360" i="1"/>
  <c r="AE360" i="1" s="1"/>
  <c r="E361" i="1"/>
  <c r="AE361" i="1" s="1"/>
  <c r="E362" i="1"/>
  <c r="AE362" i="1" s="1"/>
  <c r="E363" i="1"/>
  <c r="AE363" i="1" s="1"/>
  <c r="E364" i="1"/>
  <c r="AE364" i="1" s="1"/>
  <c r="E365" i="1"/>
  <c r="AE365" i="1" s="1"/>
  <c r="E366" i="1"/>
  <c r="AE366" i="1" s="1"/>
  <c r="E367" i="1"/>
  <c r="AE367" i="1" s="1"/>
  <c r="E368" i="1"/>
  <c r="AE368" i="1" s="1"/>
  <c r="E369" i="1"/>
  <c r="AE369" i="1" s="1"/>
  <c r="E370" i="1"/>
  <c r="AE370" i="1" s="1"/>
  <c r="E371" i="1"/>
  <c r="AE371" i="1" s="1"/>
  <c r="E372" i="1"/>
  <c r="AE372" i="1" s="1"/>
  <c r="E373" i="1"/>
  <c r="AE373" i="1" s="1"/>
  <c r="E374" i="1"/>
  <c r="AE374" i="1" s="1"/>
  <c r="E375" i="1"/>
  <c r="AE375" i="1" s="1"/>
  <c r="E376" i="1"/>
  <c r="E377" i="1"/>
  <c r="AE377" i="1" s="1"/>
  <c r="E378" i="1"/>
  <c r="AE378" i="1" s="1"/>
  <c r="E379" i="1"/>
  <c r="AE379" i="1" s="1"/>
  <c r="E380" i="1"/>
  <c r="AE380" i="1" s="1"/>
  <c r="E381" i="1"/>
  <c r="AE381" i="1" s="1"/>
  <c r="E382" i="1"/>
  <c r="AE382" i="1" s="1"/>
  <c r="E383" i="1"/>
  <c r="AE383" i="1" s="1"/>
  <c r="E384" i="1"/>
  <c r="AE384" i="1" s="1"/>
  <c r="E385" i="1"/>
  <c r="AE385" i="1" s="1"/>
  <c r="E386" i="1"/>
  <c r="AE386" i="1" s="1"/>
  <c r="E387" i="1"/>
  <c r="AE387" i="1" s="1"/>
  <c r="E388" i="1"/>
  <c r="AE388" i="1" s="1"/>
  <c r="E389" i="1"/>
  <c r="AE389" i="1" s="1"/>
  <c r="E390" i="1"/>
  <c r="AE390" i="1" s="1"/>
  <c r="E391" i="1"/>
  <c r="AE391" i="1" s="1"/>
  <c r="E392" i="1"/>
  <c r="AE392" i="1" s="1"/>
  <c r="E393" i="1"/>
  <c r="AE393" i="1" s="1"/>
  <c r="E394" i="1"/>
  <c r="AE394" i="1" s="1"/>
  <c r="E395" i="1"/>
  <c r="AE395" i="1" s="1"/>
  <c r="E396" i="1"/>
  <c r="AE396" i="1" s="1"/>
  <c r="E397" i="1"/>
  <c r="AE397" i="1" s="1"/>
  <c r="E398" i="1"/>
  <c r="AE398" i="1" s="1"/>
  <c r="E399" i="1"/>
  <c r="AE399" i="1" s="1"/>
  <c r="E400" i="1"/>
  <c r="AE400" i="1" s="1"/>
  <c r="E401" i="1"/>
  <c r="AE401" i="1" s="1"/>
  <c r="E402" i="1"/>
  <c r="AE402" i="1" s="1"/>
  <c r="E403" i="1"/>
  <c r="AE403" i="1" s="1"/>
  <c r="E404" i="1"/>
  <c r="AE404" i="1" s="1"/>
  <c r="E405" i="1"/>
  <c r="AE405" i="1" s="1"/>
  <c r="E406" i="1"/>
  <c r="AE406" i="1" s="1"/>
  <c r="E407" i="1"/>
  <c r="AE407" i="1" s="1"/>
  <c r="E408" i="1"/>
  <c r="AE408" i="1" s="1"/>
  <c r="E409" i="1"/>
  <c r="AE409" i="1" s="1"/>
  <c r="E410" i="1"/>
  <c r="AE410" i="1" s="1"/>
  <c r="E411" i="1"/>
  <c r="AE411" i="1" s="1"/>
  <c r="E412" i="1"/>
  <c r="AE412" i="1" s="1"/>
  <c r="E413" i="1"/>
  <c r="AE413" i="1" s="1"/>
  <c r="E414" i="1"/>
  <c r="AE414" i="1" s="1"/>
  <c r="E415" i="1"/>
  <c r="AE415" i="1" s="1"/>
  <c r="E416" i="1"/>
  <c r="AE416" i="1" s="1"/>
  <c r="E417" i="1"/>
  <c r="AE417" i="1" s="1"/>
  <c r="E418" i="1"/>
  <c r="AE418" i="1" s="1"/>
  <c r="E419" i="1"/>
  <c r="AE419" i="1" s="1"/>
  <c r="E420" i="1"/>
  <c r="AE420" i="1" s="1"/>
  <c r="E421" i="1"/>
  <c r="AE421" i="1" s="1"/>
  <c r="E422" i="1"/>
  <c r="AE422" i="1" s="1"/>
  <c r="E423" i="1"/>
  <c r="AE423" i="1" s="1"/>
  <c r="E424" i="1"/>
  <c r="AE424" i="1" s="1"/>
  <c r="E425" i="1"/>
  <c r="AE425" i="1" s="1"/>
  <c r="E426" i="1"/>
  <c r="AE426" i="1" s="1"/>
  <c r="E427" i="1"/>
  <c r="AE427" i="1" s="1"/>
  <c r="E428" i="1"/>
  <c r="AE428" i="1" s="1"/>
  <c r="E429" i="1"/>
  <c r="AE429" i="1" s="1"/>
  <c r="E6" i="1"/>
  <c r="AE6" i="1" s="1"/>
  <c r="E5" i="1"/>
  <c r="AE5" i="1" s="1"/>
  <c r="E4" i="1"/>
  <c r="AE4" i="1" s="1"/>
  <c r="E3" i="1"/>
  <c r="AA3" i="1" s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9" i="1"/>
  <c r="AB230" i="1"/>
  <c r="AB231" i="1"/>
  <c r="AB232" i="1"/>
  <c r="AB233" i="1"/>
  <c r="AB234" i="1"/>
  <c r="AB235" i="1"/>
  <c r="AB236" i="1"/>
  <c r="AB237" i="1"/>
  <c r="AB238" i="1"/>
  <c r="AB239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" i="1"/>
  <c r="AB3" i="1"/>
  <c r="M4" i="1"/>
  <c r="Z4" i="1" s="1"/>
  <c r="M5" i="1"/>
  <c r="Z5" i="1" s="1"/>
  <c r="M6" i="1"/>
  <c r="Z6" i="1" s="1"/>
  <c r="M7" i="1"/>
  <c r="Z7" i="1" s="1"/>
  <c r="M8" i="1"/>
  <c r="Z8" i="1" s="1"/>
  <c r="M9" i="1"/>
  <c r="Z9" i="1" s="1"/>
  <c r="M10" i="1"/>
  <c r="Z10" i="1" s="1"/>
  <c r="M11" i="1"/>
  <c r="Z11" i="1" s="1"/>
  <c r="M12" i="1"/>
  <c r="Z12" i="1" s="1"/>
  <c r="M13" i="1"/>
  <c r="Z13" i="1" s="1"/>
  <c r="M14" i="1"/>
  <c r="Z14" i="1" s="1"/>
  <c r="M15" i="1"/>
  <c r="Z15" i="1" s="1"/>
  <c r="M16" i="1"/>
  <c r="Z16" i="1" s="1"/>
  <c r="M17" i="1"/>
  <c r="Z17" i="1" s="1"/>
  <c r="M18" i="1"/>
  <c r="Z18" i="1" s="1"/>
  <c r="M19" i="1"/>
  <c r="Z19" i="1" s="1"/>
  <c r="M20" i="1"/>
  <c r="Z20" i="1" s="1"/>
  <c r="M21" i="1"/>
  <c r="Z21" i="1" s="1"/>
  <c r="M22" i="1"/>
  <c r="Z22" i="1" s="1"/>
  <c r="M23" i="1"/>
  <c r="Z23" i="1" s="1"/>
  <c r="M24" i="1"/>
  <c r="Z24" i="1" s="1"/>
  <c r="M25" i="1"/>
  <c r="Z25" i="1" s="1"/>
  <c r="M26" i="1"/>
  <c r="Z26" i="1" s="1"/>
  <c r="M27" i="1"/>
  <c r="Z27" i="1" s="1"/>
  <c r="M28" i="1"/>
  <c r="Z28" i="1" s="1"/>
  <c r="M29" i="1"/>
  <c r="Z29" i="1" s="1"/>
  <c r="M30" i="1"/>
  <c r="Z30" i="1" s="1"/>
  <c r="M31" i="1"/>
  <c r="M32" i="1"/>
  <c r="Z32" i="1" s="1"/>
  <c r="M33" i="1"/>
  <c r="Z33" i="1" s="1"/>
  <c r="M34" i="1"/>
  <c r="Z34" i="1" s="1"/>
  <c r="M35" i="1"/>
  <c r="Z35" i="1" s="1"/>
  <c r="M36" i="1"/>
  <c r="Z36" i="1" s="1"/>
  <c r="M37" i="1"/>
  <c r="Z37" i="1" s="1"/>
  <c r="M38" i="1"/>
  <c r="Z38" i="1" s="1"/>
  <c r="M39" i="1"/>
  <c r="Z39" i="1" s="1"/>
  <c r="M40" i="1"/>
  <c r="Z40" i="1" s="1"/>
  <c r="M41" i="1"/>
  <c r="Z41" i="1" s="1"/>
  <c r="M42" i="1"/>
  <c r="Z42" i="1" s="1"/>
  <c r="M43" i="1"/>
  <c r="Z43" i="1" s="1"/>
  <c r="M44" i="1"/>
  <c r="Z44" i="1" s="1"/>
  <c r="M45" i="1"/>
  <c r="Z45" i="1" s="1"/>
  <c r="M46" i="1"/>
  <c r="Z46" i="1" s="1"/>
  <c r="M47" i="1"/>
  <c r="Z47" i="1" s="1"/>
  <c r="M48" i="1"/>
  <c r="Z48" i="1" s="1"/>
  <c r="M49" i="1"/>
  <c r="Z49" i="1" s="1"/>
  <c r="M50" i="1"/>
  <c r="Z50" i="1" s="1"/>
  <c r="M168" i="1"/>
  <c r="Z168" i="1" s="1"/>
  <c r="M169" i="1"/>
  <c r="Z169" i="1" s="1"/>
  <c r="M170" i="1"/>
  <c r="Z170" i="1" s="1"/>
  <c r="M171" i="1"/>
  <c r="Z171" i="1" s="1"/>
  <c r="M172" i="1"/>
  <c r="Z172" i="1" s="1"/>
  <c r="M173" i="1"/>
  <c r="Z173" i="1" s="1"/>
  <c r="M174" i="1"/>
  <c r="Z174" i="1" s="1"/>
  <c r="M175" i="1"/>
  <c r="Z175" i="1" s="1"/>
  <c r="M176" i="1"/>
  <c r="Z176" i="1" s="1"/>
  <c r="M177" i="1"/>
  <c r="Z177" i="1" s="1"/>
  <c r="M178" i="1"/>
  <c r="Z178" i="1" s="1"/>
  <c r="M179" i="1"/>
  <c r="Z179" i="1" s="1"/>
  <c r="M180" i="1"/>
  <c r="Z180" i="1" s="1"/>
  <c r="M181" i="1"/>
  <c r="Z181" i="1" s="1"/>
  <c r="M182" i="1"/>
  <c r="Z182" i="1" s="1"/>
  <c r="M183" i="1"/>
  <c r="Z183" i="1" s="1"/>
  <c r="M184" i="1"/>
  <c r="Z184" i="1" s="1"/>
  <c r="M185" i="1"/>
  <c r="Z185" i="1" s="1"/>
  <c r="M186" i="1"/>
  <c r="Z186" i="1" s="1"/>
  <c r="M187" i="1"/>
  <c r="Z187" i="1" s="1"/>
  <c r="M196" i="1"/>
  <c r="Z196" i="1" s="1"/>
  <c r="M197" i="1"/>
  <c r="Z197" i="1" s="1"/>
  <c r="M198" i="1"/>
  <c r="Z198" i="1" s="1"/>
  <c r="M199" i="1"/>
  <c r="Z199" i="1" s="1"/>
  <c r="M200" i="1"/>
  <c r="Z200" i="1" s="1"/>
  <c r="M201" i="1"/>
  <c r="Z201" i="1" s="1"/>
  <c r="M202" i="1"/>
  <c r="Z202" i="1" s="1"/>
  <c r="M203" i="1"/>
  <c r="Z203" i="1" s="1"/>
  <c r="M204" i="1"/>
  <c r="Z204" i="1" s="1"/>
  <c r="M205" i="1"/>
  <c r="Z205" i="1" s="1"/>
  <c r="M206" i="1"/>
  <c r="Z206" i="1" s="1"/>
  <c r="M207" i="1"/>
  <c r="Z207" i="1" s="1"/>
  <c r="M208" i="1"/>
  <c r="Z208" i="1" s="1"/>
  <c r="M209" i="1"/>
  <c r="Z209" i="1" s="1"/>
  <c r="M210" i="1"/>
  <c r="Z210" i="1" s="1"/>
  <c r="M211" i="1"/>
  <c r="Z211" i="1" s="1"/>
  <c r="M212" i="1"/>
  <c r="Z212" i="1" s="1"/>
  <c r="M213" i="1"/>
  <c r="Z213" i="1" s="1"/>
  <c r="M214" i="1"/>
  <c r="Z214" i="1" s="1"/>
  <c r="M215" i="1"/>
  <c r="Z215" i="1" s="1"/>
  <c r="M216" i="1"/>
  <c r="Z216" i="1" s="1"/>
  <c r="M217" i="1"/>
  <c r="Z217" i="1" s="1"/>
  <c r="M218" i="1"/>
  <c r="Z218" i="1" s="1"/>
  <c r="M219" i="1"/>
  <c r="Z219" i="1" s="1"/>
  <c r="M220" i="1"/>
  <c r="Z220" i="1" s="1"/>
  <c r="M221" i="1"/>
  <c r="Z221" i="1" s="1"/>
  <c r="M222" i="1"/>
  <c r="Z222" i="1" s="1"/>
  <c r="M223" i="1"/>
  <c r="Z223" i="1" s="1"/>
  <c r="M224" i="1"/>
  <c r="Z224" i="1" s="1"/>
  <c r="M225" i="1"/>
  <c r="Z225" i="1" s="1"/>
  <c r="M226" i="1"/>
  <c r="Z226" i="1" s="1"/>
  <c r="M227" i="1"/>
  <c r="Z227" i="1" s="1"/>
  <c r="M229" i="1"/>
  <c r="Z229" i="1" s="1"/>
  <c r="M230" i="1"/>
  <c r="Z230" i="1" s="1"/>
  <c r="M231" i="1"/>
  <c r="Z231" i="1" s="1"/>
  <c r="M232" i="1"/>
  <c r="Z232" i="1" s="1"/>
  <c r="M233" i="1"/>
  <c r="Z233" i="1" s="1"/>
  <c r="M234" i="1"/>
  <c r="Z234" i="1" s="1"/>
  <c r="M235" i="1"/>
  <c r="Z235" i="1" s="1"/>
  <c r="M236" i="1"/>
  <c r="Z236" i="1" s="1"/>
  <c r="M237" i="1"/>
  <c r="Z237" i="1" s="1"/>
  <c r="M238" i="1"/>
  <c r="Z238" i="1" s="1"/>
  <c r="M239" i="1"/>
  <c r="Z239" i="1" s="1"/>
  <c r="M311" i="1"/>
  <c r="Z311" i="1" s="1"/>
  <c r="M312" i="1"/>
  <c r="Z312" i="1" s="1"/>
  <c r="M313" i="1"/>
  <c r="Z313" i="1" s="1"/>
  <c r="M314" i="1"/>
  <c r="Z314" i="1" s="1"/>
  <c r="M315" i="1"/>
  <c r="Z315" i="1" s="1"/>
  <c r="M316" i="1"/>
  <c r="Z316" i="1" s="1"/>
  <c r="M317" i="1"/>
  <c r="Z317" i="1" s="1"/>
  <c r="M318" i="1"/>
  <c r="Z318" i="1" s="1"/>
  <c r="M319" i="1"/>
  <c r="Z319" i="1" s="1"/>
  <c r="M320" i="1"/>
  <c r="Z320" i="1" s="1"/>
  <c r="M321" i="1"/>
  <c r="Z321" i="1" s="1"/>
  <c r="M322" i="1"/>
  <c r="Z322" i="1" s="1"/>
  <c r="M323" i="1"/>
  <c r="Z323" i="1" s="1"/>
  <c r="M324" i="1"/>
  <c r="Z324" i="1" s="1"/>
  <c r="M325" i="1"/>
  <c r="Z325" i="1" s="1"/>
  <c r="M326" i="1"/>
  <c r="Z326" i="1" s="1"/>
  <c r="M327" i="1"/>
  <c r="Z327" i="1" s="1"/>
  <c r="M328" i="1"/>
  <c r="Z328" i="1" s="1"/>
  <c r="M329" i="1"/>
  <c r="Z329" i="1" s="1"/>
  <c r="M330" i="1"/>
  <c r="Z330" i="1" s="1"/>
  <c r="M331" i="1"/>
  <c r="Z331" i="1" s="1"/>
  <c r="M332" i="1"/>
  <c r="Z332" i="1" s="1"/>
  <c r="M333" i="1"/>
  <c r="Z333" i="1" s="1"/>
  <c r="M334" i="1"/>
  <c r="Z334" i="1" s="1"/>
  <c r="M335" i="1"/>
  <c r="Z335" i="1" s="1"/>
  <c r="M336" i="1"/>
  <c r="Z336" i="1" s="1"/>
  <c r="M337" i="1"/>
  <c r="Z337" i="1" s="1"/>
  <c r="M338" i="1"/>
  <c r="Z338" i="1" s="1"/>
  <c r="M339" i="1"/>
  <c r="Z339" i="1" s="1"/>
  <c r="M340" i="1"/>
  <c r="Z340" i="1" s="1"/>
  <c r="M341" i="1"/>
  <c r="Z341" i="1" s="1"/>
  <c r="M342" i="1"/>
  <c r="Z342" i="1" s="1"/>
  <c r="M343" i="1"/>
  <c r="Z343" i="1" s="1"/>
  <c r="M344" i="1"/>
  <c r="Z344" i="1" s="1"/>
  <c r="M345" i="1"/>
  <c r="Z345" i="1" s="1"/>
  <c r="M346" i="1"/>
  <c r="Z346" i="1" s="1"/>
  <c r="M347" i="1"/>
  <c r="Z347" i="1" s="1"/>
  <c r="M348" i="1"/>
  <c r="Z348" i="1" s="1"/>
  <c r="M349" i="1"/>
  <c r="Z349" i="1" s="1"/>
  <c r="M350" i="1"/>
  <c r="Z350" i="1" s="1"/>
  <c r="M351" i="1"/>
  <c r="Z351" i="1" s="1"/>
  <c r="M352" i="1"/>
  <c r="Z352" i="1" s="1"/>
  <c r="M353" i="1"/>
  <c r="Z353" i="1" s="1"/>
  <c r="M354" i="1"/>
  <c r="Z354" i="1" s="1"/>
  <c r="M355" i="1"/>
  <c r="Z355" i="1" s="1"/>
  <c r="M356" i="1"/>
  <c r="Z356" i="1" s="1"/>
  <c r="M357" i="1"/>
  <c r="Z357" i="1" s="1"/>
  <c r="M358" i="1"/>
  <c r="Z358" i="1" s="1"/>
  <c r="M359" i="1"/>
  <c r="Z359" i="1" s="1"/>
  <c r="M360" i="1"/>
  <c r="Z360" i="1" s="1"/>
  <c r="M361" i="1"/>
  <c r="Z361" i="1" s="1"/>
  <c r="M362" i="1"/>
  <c r="Z362" i="1" s="1"/>
  <c r="M363" i="1"/>
  <c r="Z363" i="1" s="1"/>
  <c r="M364" i="1"/>
  <c r="Z364" i="1" s="1"/>
  <c r="M365" i="1"/>
  <c r="Z365" i="1" s="1"/>
  <c r="M366" i="1"/>
  <c r="Z366" i="1" s="1"/>
  <c r="M367" i="1"/>
  <c r="Z367" i="1" s="1"/>
  <c r="M368" i="1"/>
  <c r="Z368" i="1" s="1"/>
  <c r="M369" i="1"/>
  <c r="Z369" i="1" s="1"/>
  <c r="M370" i="1"/>
  <c r="Z370" i="1" s="1"/>
  <c r="M371" i="1"/>
  <c r="Z371" i="1" s="1"/>
  <c r="M372" i="1"/>
  <c r="Z372" i="1" s="1"/>
  <c r="M373" i="1"/>
  <c r="Z373" i="1" s="1"/>
  <c r="M374" i="1"/>
  <c r="Z374" i="1" s="1"/>
  <c r="M375" i="1"/>
  <c r="Z375" i="1" s="1"/>
  <c r="M376" i="1"/>
  <c r="Z376" i="1" s="1"/>
  <c r="M377" i="1"/>
  <c r="Z377" i="1" s="1"/>
  <c r="M378" i="1"/>
  <c r="Z378" i="1" s="1"/>
  <c r="M379" i="1"/>
  <c r="Z379" i="1" s="1"/>
  <c r="M380" i="1"/>
  <c r="Z380" i="1" s="1"/>
  <c r="M381" i="1"/>
  <c r="Z381" i="1" s="1"/>
  <c r="M382" i="1"/>
  <c r="Z382" i="1" s="1"/>
  <c r="M383" i="1"/>
  <c r="Z383" i="1" s="1"/>
  <c r="M384" i="1"/>
  <c r="Z384" i="1" s="1"/>
  <c r="M385" i="1"/>
  <c r="Z385" i="1" s="1"/>
  <c r="M386" i="1"/>
  <c r="Z386" i="1" s="1"/>
  <c r="M387" i="1"/>
  <c r="Z387" i="1" s="1"/>
  <c r="M388" i="1"/>
  <c r="Z388" i="1" s="1"/>
  <c r="M389" i="1"/>
  <c r="Z389" i="1" s="1"/>
  <c r="M390" i="1"/>
  <c r="Z390" i="1" s="1"/>
  <c r="M391" i="1"/>
  <c r="Z391" i="1" s="1"/>
  <c r="M392" i="1"/>
  <c r="Z392" i="1" s="1"/>
  <c r="M393" i="1"/>
  <c r="Z393" i="1" s="1"/>
  <c r="M394" i="1"/>
  <c r="Z394" i="1" s="1"/>
  <c r="M395" i="1"/>
  <c r="Z395" i="1" s="1"/>
  <c r="M396" i="1"/>
  <c r="Z396" i="1" s="1"/>
  <c r="M397" i="1"/>
  <c r="Z397" i="1" s="1"/>
  <c r="M398" i="1"/>
  <c r="Z398" i="1" s="1"/>
  <c r="M399" i="1"/>
  <c r="Z399" i="1" s="1"/>
  <c r="M400" i="1"/>
  <c r="Z400" i="1" s="1"/>
  <c r="M401" i="1"/>
  <c r="Z401" i="1" s="1"/>
  <c r="M402" i="1"/>
  <c r="Z402" i="1" s="1"/>
  <c r="M403" i="1"/>
  <c r="Z403" i="1" s="1"/>
  <c r="M404" i="1"/>
  <c r="Z404" i="1" s="1"/>
  <c r="M405" i="1"/>
  <c r="Z405" i="1" s="1"/>
  <c r="M406" i="1"/>
  <c r="Z406" i="1" s="1"/>
  <c r="M407" i="1"/>
  <c r="Z407" i="1" s="1"/>
  <c r="M408" i="1"/>
  <c r="Z408" i="1" s="1"/>
  <c r="M409" i="1"/>
  <c r="Z409" i="1" s="1"/>
  <c r="M410" i="1"/>
  <c r="Z410" i="1" s="1"/>
  <c r="M411" i="1"/>
  <c r="Z411" i="1" s="1"/>
  <c r="M412" i="1"/>
  <c r="Z412" i="1" s="1"/>
  <c r="M413" i="1"/>
  <c r="Z413" i="1" s="1"/>
  <c r="M414" i="1"/>
  <c r="Z414" i="1" s="1"/>
  <c r="M415" i="1"/>
  <c r="Z415" i="1" s="1"/>
  <c r="M416" i="1"/>
  <c r="Z416" i="1" s="1"/>
  <c r="M417" i="1"/>
  <c r="Z417" i="1" s="1"/>
  <c r="M418" i="1"/>
  <c r="Z418" i="1" s="1"/>
  <c r="M419" i="1"/>
  <c r="Z419" i="1" s="1"/>
  <c r="M420" i="1"/>
  <c r="Z420" i="1" s="1"/>
  <c r="M421" i="1"/>
  <c r="Z421" i="1" s="1"/>
  <c r="M422" i="1"/>
  <c r="Z422" i="1" s="1"/>
  <c r="M423" i="1"/>
  <c r="Z423" i="1" s="1"/>
  <c r="M424" i="1"/>
  <c r="Z424" i="1" s="1"/>
  <c r="M425" i="1"/>
  <c r="Z425" i="1" s="1"/>
  <c r="M426" i="1"/>
  <c r="Z426" i="1" s="1"/>
  <c r="M427" i="1"/>
  <c r="Z427" i="1" s="1"/>
  <c r="M428" i="1"/>
  <c r="Z428" i="1" s="1"/>
  <c r="M429" i="1"/>
  <c r="Z429" i="1" s="1"/>
  <c r="M3" i="1"/>
  <c r="Z3" i="1" s="1"/>
  <c r="AE376" i="1" l="1"/>
  <c r="AK93" i="1"/>
  <c r="AL157" i="1"/>
  <c r="AJ79" i="1"/>
  <c r="AI79" i="1"/>
  <c r="AJ276" i="1"/>
  <c r="AI276" i="1"/>
  <c r="AL276" i="1" s="1"/>
  <c r="AJ82" i="1"/>
  <c r="AI82" i="1"/>
  <c r="AK82" i="1" s="1"/>
  <c r="AI190" i="1"/>
  <c r="AK190" i="1" s="1"/>
  <c r="AJ261" i="1"/>
  <c r="AI261" i="1"/>
  <c r="AJ257" i="1"/>
  <c r="AI257" i="1"/>
  <c r="AJ249" i="1"/>
  <c r="AI249" i="1"/>
  <c r="AK249" i="1" s="1"/>
  <c r="AJ297" i="1"/>
  <c r="AI297" i="1"/>
  <c r="AL297" i="1" s="1"/>
  <c r="AJ255" i="1"/>
  <c r="AI255" i="1"/>
  <c r="AK255" i="1" s="1"/>
  <c r="AJ269" i="1"/>
  <c r="AI269" i="1"/>
  <c r="AL269" i="1" s="1"/>
  <c r="AJ252" i="1"/>
  <c r="AI252" i="1"/>
  <c r="AL252" i="1" s="1"/>
  <c r="AI75" i="1"/>
  <c r="AL75" i="1" s="1"/>
  <c r="AJ254" i="1"/>
  <c r="AI254" i="1"/>
  <c r="AK254" i="1" s="1"/>
  <c r="AJ141" i="1"/>
  <c r="AI141" i="1"/>
  <c r="AL141" i="1" s="1"/>
  <c r="AI133" i="1"/>
  <c r="AK133" i="1" s="1"/>
  <c r="AJ244" i="1"/>
  <c r="AI244" i="1"/>
  <c r="AK244" i="1" s="1"/>
  <c r="AJ288" i="1"/>
  <c r="AI288" i="1"/>
  <c r="AJ295" i="1"/>
  <c r="AI295" i="1"/>
  <c r="AK295" i="1" s="1"/>
  <c r="AI268" i="1"/>
  <c r="AL268" i="1" s="1"/>
  <c r="AJ262" i="1"/>
  <c r="AI262" i="1"/>
  <c r="AL262" i="1" s="1"/>
  <c r="AJ131" i="1"/>
  <c r="AI131" i="1"/>
  <c r="AL131" i="1" s="1"/>
  <c r="AJ156" i="1"/>
  <c r="AI156" i="1"/>
  <c r="AL156" i="1" s="1"/>
  <c r="AJ144" i="1"/>
  <c r="AI144" i="1"/>
  <c r="AK144" i="1" s="1"/>
  <c r="AJ142" i="1"/>
  <c r="AI142" i="1"/>
  <c r="AL142" i="1" s="1"/>
  <c r="AJ158" i="1"/>
  <c r="AI158" i="1"/>
  <c r="AL158" i="1" s="1"/>
  <c r="AJ284" i="1"/>
  <c r="AI284" i="1"/>
  <c r="AK284" i="1" s="1"/>
  <c r="AJ253" i="1"/>
  <c r="AI253" i="1"/>
  <c r="AL253" i="1" s="1"/>
  <c r="AJ273" i="1"/>
  <c r="AI273" i="1"/>
  <c r="AL273" i="1" s="1"/>
  <c r="AJ277" i="1"/>
  <c r="AI277" i="1"/>
  <c r="AK277" i="1" s="1"/>
  <c r="AJ282" i="1"/>
  <c r="AI282" i="1"/>
  <c r="AK282" i="1" s="1"/>
  <c r="AJ132" i="1"/>
  <c r="AI132" i="1"/>
  <c r="AK132" i="1" s="1"/>
  <c r="AJ78" i="1"/>
  <c r="AI78" i="1"/>
  <c r="AL78" i="1" s="1"/>
  <c r="AJ293" i="1"/>
  <c r="AI293" i="1"/>
  <c r="AK293" i="1" s="1"/>
  <c r="AJ136" i="1"/>
  <c r="AI136" i="1"/>
  <c r="AK136" i="1" s="1"/>
  <c r="AL89" i="1"/>
  <c r="AJ245" i="1"/>
  <c r="AI245" i="1"/>
  <c r="AJ259" i="1"/>
  <c r="AI259" i="1"/>
  <c r="AJ248" i="1"/>
  <c r="AI248" i="1"/>
  <c r="AJ246" i="1"/>
  <c r="AI246" i="1"/>
  <c r="AJ147" i="1"/>
  <c r="AI147" i="1"/>
  <c r="AK137" i="1"/>
  <c r="AI137" i="1"/>
  <c r="AK153" i="1"/>
  <c r="AI153" i="1"/>
  <c r="AL153" i="1" s="1"/>
  <c r="AK161" i="1"/>
  <c r="AI161" i="1"/>
  <c r="AJ83" i="1"/>
  <c r="AI83" i="1"/>
  <c r="AJ291" i="1"/>
  <c r="AI291" i="1"/>
  <c r="AJ270" i="1"/>
  <c r="AI270" i="1"/>
  <c r="AJ266" i="1"/>
  <c r="AI266" i="1"/>
  <c r="AJ160" i="1"/>
  <c r="AI160" i="1"/>
  <c r="AJ260" i="1"/>
  <c r="AI260" i="1"/>
  <c r="AL260" i="1" s="1"/>
  <c r="AJ191" i="1"/>
  <c r="AI191" i="1"/>
  <c r="AJ195" i="1"/>
  <c r="AI195" i="1"/>
  <c r="AC97" i="1"/>
  <c r="AC100" i="1"/>
  <c r="AI100" i="1" s="1"/>
  <c r="AJ80" i="1"/>
  <c r="AJ74" i="1"/>
  <c r="AJ283" i="1"/>
  <c r="AL288" i="1"/>
  <c r="AJ155" i="1"/>
  <c r="AJ133" i="1"/>
  <c r="AJ145" i="1"/>
  <c r="AC108" i="1"/>
  <c r="AI108" i="1" s="1"/>
  <c r="AC114" i="1"/>
  <c r="AC53" i="1"/>
  <c r="AC163" i="1"/>
  <c r="AC96" i="1"/>
  <c r="AC122" i="1"/>
  <c r="AI122" i="1" s="1"/>
  <c r="AC58" i="1"/>
  <c r="AJ58" i="1" s="1"/>
  <c r="AJ76" i="1"/>
  <c r="AJ75" i="1"/>
  <c r="AJ285" i="1"/>
  <c r="AL255" i="1"/>
  <c r="AK297" i="1"/>
  <c r="AJ139" i="1"/>
  <c r="AL270" i="1"/>
  <c r="AJ281" i="1"/>
  <c r="AJ146" i="1"/>
  <c r="AJ135" i="1"/>
  <c r="AL160" i="1"/>
  <c r="AJ153" i="1"/>
  <c r="AJ161" i="1"/>
  <c r="AL161" i="1"/>
  <c r="AJ137" i="1"/>
  <c r="AC376" i="1"/>
  <c r="AI376" i="1" s="1"/>
  <c r="AJ88" i="1"/>
  <c r="AJ243" i="1"/>
  <c r="AJ92" i="1"/>
  <c r="AK259" i="1"/>
  <c r="AL245" i="1"/>
  <c r="AK147" i="1"/>
  <c r="AJ140" i="1"/>
  <c r="AC112" i="1"/>
  <c r="AJ81" i="1"/>
  <c r="AK296" i="1"/>
  <c r="AL246" i="1"/>
  <c r="AJ256" i="1"/>
  <c r="AK248" i="1"/>
  <c r="AK256" i="1"/>
  <c r="AL256" i="1"/>
  <c r="AC55" i="1"/>
  <c r="AI55" i="1" s="1"/>
  <c r="AL290" i="1"/>
  <c r="AJ251" i="1"/>
  <c r="AK298" i="1"/>
  <c r="AL137" i="1"/>
  <c r="AJ189" i="1"/>
  <c r="AC113" i="1"/>
  <c r="AC119" i="1"/>
  <c r="AJ287" i="1"/>
  <c r="AJ241" i="1"/>
  <c r="AK260" i="1"/>
  <c r="AL244" i="1"/>
  <c r="AL133" i="1"/>
  <c r="AJ289" i="1"/>
  <c r="AK257" i="1"/>
  <c r="AK261" i="1"/>
  <c r="AL292" i="1"/>
  <c r="AC57" i="1"/>
  <c r="AI57" i="1" s="1"/>
  <c r="AC98" i="1"/>
  <c r="AC115" i="1"/>
  <c r="AC101" i="1"/>
  <c r="AI101" i="1" s="1"/>
  <c r="AL264" i="1"/>
  <c r="AL190" i="1"/>
  <c r="AJ190" i="1"/>
  <c r="AK193" i="1"/>
  <c r="AL193" i="1"/>
  <c r="V309" i="1"/>
  <c r="X309" i="1"/>
  <c r="W309" i="1"/>
  <c r="Y309" i="1"/>
  <c r="AE309" i="1"/>
  <c r="W307" i="1"/>
  <c r="Y307" i="1"/>
  <c r="AE307" i="1"/>
  <c r="V307" i="1"/>
  <c r="X307" i="1"/>
  <c r="V305" i="1"/>
  <c r="X305" i="1"/>
  <c r="W305" i="1"/>
  <c r="Y305" i="1"/>
  <c r="AE305" i="1"/>
  <c r="V303" i="1"/>
  <c r="Y303" i="1"/>
  <c r="AE303" i="1"/>
  <c r="W303" i="1"/>
  <c r="X303" i="1"/>
  <c r="W301" i="1"/>
  <c r="Y301" i="1"/>
  <c r="AE301" i="1"/>
  <c r="V301" i="1"/>
  <c r="X301" i="1"/>
  <c r="V299" i="1"/>
  <c r="X299" i="1"/>
  <c r="W299" i="1"/>
  <c r="Y299" i="1"/>
  <c r="AE299" i="1"/>
  <c r="AC67" i="1"/>
  <c r="AI67" i="1" s="1"/>
  <c r="AC54" i="1"/>
  <c r="AC72" i="1"/>
  <c r="AI72" i="1" s="1"/>
  <c r="AC65" i="1"/>
  <c r="AJ192" i="1"/>
  <c r="AC94" i="1"/>
  <c r="AI94" i="1" s="1"/>
  <c r="AC162" i="1"/>
  <c r="AI162" i="1" s="1"/>
  <c r="AJ188" i="1"/>
  <c r="AK145" i="1"/>
  <c r="AL145" i="1"/>
  <c r="AK191" i="1"/>
  <c r="AL191" i="1"/>
  <c r="AL294" i="1"/>
  <c r="AK294" i="1"/>
  <c r="AK189" i="1"/>
  <c r="AL189" i="1"/>
  <c r="V310" i="1"/>
  <c r="X310" i="1"/>
  <c r="AE310" i="1"/>
  <c r="W310" i="1"/>
  <c r="Y310" i="1"/>
  <c r="W308" i="1"/>
  <c r="Y308" i="1"/>
  <c r="V308" i="1"/>
  <c r="X308" i="1"/>
  <c r="AE308" i="1"/>
  <c r="V306" i="1"/>
  <c r="X306" i="1"/>
  <c r="AE306" i="1"/>
  <c r="W306" i="1"/>
  <c r="Y306" i="1"/>
  <c r="W304" i="1"/>
  <c r="Y304" i="1"/>
  <c r="V304" i="1"/>
  <c r="X304" i="1"/>
  <c r="AE304" i="1"/>
  <c r="W302" i="1"/>
  <c r="Y302" i="1"/>
  <c r="V302" i="1"/>
  <c r="X302" i="1"/>
  <c r="AE302" i="1"/>
  <c r="V300" i="1"/>
  <c r="X300" i="1"/>
  <c r="AE300" i="1"/>
  <c r="W300" i="1"/>
  <c r="Y300" i="1"/>
  <c r="W240" i="1"/>
  <c r="Y240" i="1"/>
  <c r="V240" i="1"/>
  <c r="AE240" i="1"/>
  <c r="X240" i="1"/>
  <c r="AC106" i="1"/>
  <c r="AI106" i="1" s="1"/>
  <c r="AC110" i="1"/>
  <c r="AC111" i="1"/>
  <c r="AI111" i="1" s="1"/>
  <c r="AC121" i="1"/>
  <c r="AC126" i="1"/>
  <c r="AC127" i="1"/>
  <c r="AC128" i="1"/>
  <c r="AC99" i="1"/>
  <c r="AI99" i="1" s="1"/>
  <c r="AC69" i="1"/>
  <c r="AC70" i="1"/>
  <c r="AI70" i="1" s="1"/>
  <c r="AC68" i="1"/>
  <c r="AI68" i="1" s="1"/>
  <c r="AC71" i="1"/>
  <c r="AI71" i="1" s="1"/>
  <c r="AJ85" i="1"/>
  <c r="AJ271" i="1"/>
  <c r="AJ278" i="1"/>
  <c r="AJ194" i="1"/>
  <c r="AK195" i="1"/>
  <c r="AL195" i="1"/>
  <c r="AC129" i="1"/>
  <c r="AI129" i="1" s="1"/>
  <c r="AC164" i="1"/>
  <c r="AK154" i="1"/>
  <c r="AL154" i="1"/>
  <c r="AK146" i="1"/>
  <c r="AL146" i="1"/>
  <c r="AK138" i="1"/>
  <c r="AL138" i="1"/>
  <c r="AK130" i="1"/>
  <c r="AL130" i="1"/>
  <c r="AK159" i="1"/>
  <c r="AL159" i="1"/>
  <c r="AK155" i="1"/>
  <c r="AL155" i="1"/>
  <c r="AK151" i="1"/>
  <c r="AL151" i="1"/>
  <c r="AK143" i="1"/>
  <c r="AL143" i="1"/>
  <c r="AK139" i="1"/>
  <c r="AL139" i="1"/>
  <c r="AK135" i="1"/>
  <c r="AL135" i="1"/>
  <c r="AK150" i="1"/>
  <c r="AL150" i="1"/>
  <c r="AK134" i="1"/>
  <c r="AL134" i="1"/>
  <c r="AK160" i="1"/>
  <c r="AK152" i="1"/>
  <c r="AL152" i="1"/>
  <c r="AK148" i="1"/>
  <c r="AL148" i="1"/>
  <c r="AK140" i="1"/>
  <c r="AL140" i="1"/>
  <c r="AC165" i="1"/>
  <c r="AL281" i="1"/>
  <c r="AK281" i="1"/>
  <c r="AL265" i="1"/>
  <c r="AK265" i="1"/>
  <c r="AL267" i="1"/>
  <c r="AK267" i="1"/>
  <c r="AL263" i="1"/>
  <c r="AK263" i="1"/>
  <c r="AL258" i="1"/>
  <c r="AK258" i="1"/>
  <c r="AL250" i="1"/>
  <c r="AK250" i="1"/>
  <c r="AL242" i="1"/>
  <c r="AK242" i="1"/>
  <c r="AL79" i="1"/>
  <c r="AJ87" i="1"/>
  <c r="AJ280" i="1"/>
  <c r="AL241" i="1"/>
  <c r="AK241" i="1"/>
  <c r="AK270" i="1"/>
  <c r="AL266" i="1"/>
  <c r="AK266" i="1"/>
  <c r="AK262" i="1"/>
  <c r="AL251" i="1"/>
  <c r="AK251" i="1"/>
  <c r="AL247" i="1"/>
  <c r="AK247" i="1"/>
  <c r="AL243" i="1"/>
  <c r="AK243" i="1"/>
  <c r="AL295" i="1"/>
  <c r="AL291" i="1"/>
  <c r="AK291" i="1"/>
  <c r="AL289" i="1"/>
  <c r="AK289" i="1"/>
  <c r="AL287" i="1"/>
  <c r="AK287" i="1"/>
  <c r="AL286" i="1"/>
  <c r="AK286" i="1"/>
  <c r="AL285" i="1"/>
  <c r="AK285" i="1"/>
  <c r="AL284" i="1"/>
  <c r="AL283" i="1"/>
  <c r="AK283" i="1"/>
  <c r="AL279" i="1"/>
  <c r="AK279" i="1"/>
  <c r="AL280" i="1"/>
  <c r="AK280" i="1"/>
  <c r="AL278" i="1"/>
  <c r="AK278" i="1"/>
  <c r="AL275" i="1"/>
  <c r="AK275" i="1"/>
  <c r="AL274" i="1"/>
  <c r="AK274" i="1"/>
  <c r="AL272" i="1"/>
  <c r="AK272" i="1"/>
  <c r="AL271" i="1"/>
  <c r="AK271" i="1"/>
  <c r="AC109" i="1"/>
  <c r="AI109" i="1" s="1"/>
  <c r="AC52" i="1"/>
  <c r="AI52" i="1" s="1"/>
  <c r="AC64" i="1"/>
  <c r="AI64" i="1" s="1"/>
  <c r="AK92" i="1"/>
  <c r="AL92" i="1"/>
  <c r="AK88" i="1"/>
  <c r="AL88" i="1"/>
  <c r="AK90" i="1"/>
  <c r="AL90" i="1"/>
  <c r="AK91" i="1"/>
  <c r="AL91" i="1"/>
  <c r="AK83" i="1"/>
  <c r="AL83" i="1"/>
  <c r="AK87" i="1"/>
  <c r="AL87" i="1"/>
  <c r="AJ84" i="1"/>
  <c r="AL85" i="1"/>
  <c r="AK85" i="1"/>
  <c r="AL86" i="1"/>
  <c r="AK86" i="1"/>
  <c r="AK84" i="1"/>
  <c r="AL84" i="1"/>
  <c r="AK81" i="1"/>
  <c r="AL81" i="1"/>
  <c r="AK80" i="1"/>
  <c r="AL80" i="1"/>
  <c r="AJ73" i="1"/>
  <c r="AL73" i="1"/>
  <c r="AK73" i="1"/>
  <c r="AL77" i="1"/>
  <c r="AK77" i="1"/>
  <c r="AL76" i="1"/>
  <c r="AK76" i="1"/>
  <c r="AK74" i="1"/>
  <c r="AL74" i="1"/>
  <c r="AC66" i="1"/>
  <c r="AI66" i="1" s="1"/>
  <c r="W167" i="1"/>
  <c r="Y167" i="1"/>
  <c r="AE167" i="1"/>
  <c r="V167" i="1"/>
  <c r="X167" i="1"/>
  <c r="W51" i="1"/>
  <c r="Y51" i="1"/>
  <c r="V51" i="1"/>
  <c r="AE51" i="1"/>
  <c r="X51" i="1"/>
  <c r="AA223" i="1"/>
  <c r="V166" i="1"/>
  <c r="X166" i="1"/>
  <c r="AE166" i="1"/>
  <c r="W166" i="1"/>
  <c r="Y166" i="1"/>
  <c r="AC228" i="1"/>
  <c r="AC117" i="1"/>
  <c r="AC123" i="1"/>
  <c r="AC62" i="1"/>
  <c r="AI62" i="1" s="1"/>
  <c r="AC95" i="1"/>
  <c r="AI95" i="1" s="1"/>
  <c r="AC56" i="1"/>
  <c r="AI56" i="1" s="1"/>
  <c r="AC116" i="1"/>
  <c r="AC118" i="1"/>
  <c r="AC107" i="1"/>
  <c r="AC125" i="1"/>
  <c r="AC63" i="1"/>
  <c r="AJ62" i="1"/>
  <c r="AC61" i="1"/>
  <c r="AI61" i="1" s="1"/>
  <c r="AC60" i="1"/>
  <c r="AC59" i="1"/>
  <c r="AI59" i="1" s="1"/>
  <c r="AC124" i="1"/>
  <c r="AC120" i="1"/>
  <c r="AC105" i="1"/>
  <c r="AI105" i="1" s="1"/>
  <c r="AC104" i="1"/>
  <c r="AC103" i="1"/>
  <c r="AC102" i="1"/>
  <c r="AE3" i="1"/>
  <c r="AH49" i="1"/>
  <c r="AH48" i="1"/>
  <c r="AH47" i="1"/>
  <c r="AH46" i="1"/>
  <c r="AH45" i="1"/>
  <c r="X43" i="1"/>
  <c r="V43" i="1"/>
  <c r="W43" i="1"/>
  <c r="Y43" i="1"/>
  <c r="X44" i="1"/>
  <c r="V44" i="1"/>
  <c r="W44" i="1"/>
  <c r="Y44" i="1"/>
  <c r="X45" i="1"/>
  <c r="V45" i="1"/>
  <c r="W45" i="1"/>
  <c r="Y45" i="1"/>
  <c r="X46" i="1"/>
  <c r="V46" i="1"/>
  <c r="W46" i="1"/>
  <c r="Y46" i="1"/>
  <c r="X47" i="1"/>
  <c r="V47" i="1"/>
  <c r="W47" i="1"/>
  <c r="Y47" i="1"/>
  <c r="X48" i="1"/>
  <c r="V48" i="1"/>
  <c r="W48" i="1"/>
  <c r="Y48" i="1"/>
  <c r="X49" i="1"/>
  <c r="V49" i="1"/>
  <c r="W49" i="1"/>
  <c r="Y49" i="1"/>
  <c r="X50" i="1"/>
  <c r="V50" i="1"/>
  <c r="W50" i="1"/>
  <c r="Y50" i="1"/>
  <c r="X168" i="1"/>
  <c r="V168" i="1"/>
  <c r="W168" i="1"/>
  <c r="Y168" i="1"/>
  <c r="X169" i="1"/>
  <c r="V169" i="1"/>
  <c r="W169" i="1"/>
  <c r="Y169" i="1"/>
  <c r="X170" i="1"/>
  <c r="V170" i="1"/>
  <c r="W170" i="1"/>
  <c r="Y170" i="1"/>
  <c r="X171" i="1"/>
  <c r="V171" i="1"/>
  <c r="W171" i="1"/>
  <c r="Y171" i="1"/>
  <c r="X172" i="1"/>
  <c r="V172" i="1"/>
  <c r="W172" i="1"/>
  <c r="Y172" i="1"/>
  <c r="X173" i="1"/>
  <c r="V173" i="1"/>
  <c r="W173" i="1"/>
  <c r="Y173" i="1"/>
  <c r="X174" i="1"/>
  <c r="V174" i="1"/>
  <c r="W174" i="1"/>
  <c r="Y174" i="1"/>
  <c r="X175" i="1"/>
  <c r="V175" i="1"/>
  <c r="W175" i="1"/>
  <c r="Y175" i="1"/>
  <c r="X176" i="1"/>
  <c r="V176" i="1"/>
  <c r="W176" i="1"/>
  <c r="Y176" i="1"/>
  <c r="X177" i="1"/>
  <c r="V177" i="1"/>
  <c r="W177" i="1"/>
  <c r="Y177" i="1"/>
  <c r="X178" i="1"/>
  <c r="V178" i="1"/>
  <c r="W178" i="1"/>
  <c r="Y178" i="1"/>
  <c r="X179" i="1"/>
  <c r="V179" i="1"/>
  <c r="W179" i="1"/>
  <c r="Y179" i="1"/>
  <c r="X180" i="1"/>
  <c r="V180" i="1"/>
  <c r="W180" i="1"/>
  <c r="Y180" i="1"/>
  <c r="X181" i="1"/>
  <c r="V181" i="1"/>
  <c r="W181" i="1"/>
  <c r="Y181" i="1"/>
  <c r="X182" i="1"/>
  <c r="V182" i="1"/>
  <c r="W182" i="1"/>
  <c r="Y182" i="1"/>
  <c r="X183" i="1"/>
  <c r="V183" i="1"/>
  <c r="W183" i="1"/>
  <c r="Y183" i="1"/>
  <c r="X184" i="1"/>
  <c r="V184" i="1"/>
  <c r="W184" i="1"/>
  <c r="Y184" i="1"/>
  <c r="X185" i="1"/>
  <c r="V185" i="1"/>
  <c r="W185" i="1"/>
  <c r="Y185" i="1"/>
  <c r="X186" i="1"/>
  <c r="V186" i="1"/>
  <c r="W186" i="1"/>
  <c r="Y186" i="1"/>
  <c r="X187" i="1"/>
  <c r="V187" i="1"/>
  <c r="W187" i="1"/>
  <c r="Y187" i="1"/>
  <c r="X196" i="1"/>
  <c r="V196" i="1"/>
  <c r="W196" i="1"/>
  <c r="Y196" i="1"/>
  <c r="X197" i="1"/>
  <c r="V197" i="1"/>
  <c r="W197" i="1"/>
  <c r="Y197" i="1"/>
  <c r="X198" i="1"/>
  <c r="V198" i="1"/>
  <c r="W198" i="1"/>
  <c r="Y198" i="1"/>
  <c r="X199" i="1"/>
  <c r="V199" i="1"/>
  <c r="W199" i="1"/>
  <c r="Y199" i="1"/>
  <c r="AH393" i="1"/>
  <c r="AH392" i="1"/>
  <c r="AH391" i="1"/>
  <c r="AH390" i="1"/>
  <c r="AH381" i="1"/>
  <c r="AH380" i="1"/>
  <c r="AH379" i="1"/>
  <c r="AH378" i="1"/>
  <c r="AH387" i="1"/>
  <c r="AH386" i="1"/>
  <c r="AH385" i="1"/>
  <c r="AH384" i="1"/>
  <c r="AK158" i="1" l="1"/>
  <c r="AK131" i="1"/>
  <c r="AJ108" i="1"/>
  <c r="AL277" i="1"/>
  <c r="AL254" i="1"/>
  <c r="AK156" i="1"/>
  <c r="AK142" i="1"/>
  <c r="AL144" i="1"/>
  <c r="AJ102" i="1"/>
  <c r="AI102" i="1"/>
  <c r="AL102" i="1" s="1"/>
  <c r="AJ104" i="1"/>
  <c r="AI104" i="1"/>
  <c r="AK104" i="1" s="1"/>
  <c r="AJ120" i="1"/>
  <c r="AI120" i="1"/>
  <c r="AJ63" i="1"/>
  <c r="AI63" i="1"/>
  <c r="AL63" i="1" s="1"/>
  <c r="AJ107" i="1"/>
  <c r="AI107" i="1"/>
  <c r="AJ116" i="1"/>
  <c r="AI116" i="1"/>
  <c r="AJ123" i="1"/>
  <c r="AI123" i="1"/>
  <c r="AJ228" i="1"/>
  <c r="AI228" i="1"/>
  <c r="AK228" i="1" s="1"/>
  <c r="AJ165" i="1"/>
  <c r="AI165" i="1"/>
  <c r="AJ69" i="1"/>
  <c r="AI69" i="1"/>
  <c r="AK69" i="1" s="1"/>
  <c r="AJ128" i="1"/>
  <c r="AI128" i="1"/>
  <c r="AJ126" i="1"/>
  <c r="AI126" i="1"/>
  <c r="AJ65" i="1"/>
  <c r="AI65" i="1"/>
  <c r="AL65" i="1" s="1"/>
  <c r="AI54" i="1"/>
  <c r="AK54" i="1" s="1"/>
  <c r="AJ115" i="1"/>
  <c r="AI115" i="1"/>
  <c r="AJ119" i="1"/>
  <c r="AI119" i="1"/>
  <c r="AJ163" i="1"/>
  <c r="AI163" i="1"/>
  <c r="AJ114" i="1"/>
  <c r="AI114" i="1"/>
  <c r="AJ97" i="1"/>
  <c r="AI97" i="1"/>
  <c r="AL97" i="1" s="1"/>
  <c r="AJ122" i="1"/>
  <c r="AJ100" i="1"/>
  <c r="AJ103" i="1"/>
  <c r="AI103" i="1"/>
  <c r="AJ124" i="1"/>
  <c r="AI124" i="1"/>
  <c r="AJ60" i="1"/>
  <c r="AI60" i="1"/>
  <c r="AJ125" i="1"/>
  <c r="AI125" i="1"/>
  <c r="AJ118" i="1"/>
  <c r="AI118" i="1"/>
  <c r="AJ117" i="1"/>
  <c r="AI117" i="1"/>
  <c r="AK253" i="1"/>
  <c r="AJ164" i="1"/>
  <c r="AI164" i="1"/>
  <c r="AJ127" i="1"/>
  <c r="AI127" i="1"/>
  <c r="AJ121" i="1"/>
  <c r="AI121" i="1"/>
  <c r="AJ110" i="1"/>
  <c r="AI110" i="1"/>
  <c r="AK268" i="1"/>
  <c r="AJ98" i="1"/>
  <c r="AI98" i="1"/>
  <c r="AL98" i="1" s="1"/>
  <c r="AJ113" i="1"/>
  <c r="AI113" i="1"/>
  <c r="AJ112" i="1"/>
  <c r="AI112" i="1"/>
  <c r="AK75" i="1"/>
  <c r="AI58" i="1"/>
  <c r="AL58" i="1" s="1"/>
  <c r="AJ96" i="1"/>
  <c r="AI96" i="1"/>
  <c r="AL96" i="1" s="1"/>
  <c r="AJ53" i="1"/>
  <c r="AI53" i="1"/>
  <c r="AL53" i="1" s="1"/>
  <c r="AK288" i="1"/>
  <c r="AJ109" i="1"/>
  <c r="AK141" i="1"/>
  <c r="AK269" i="1"/>
  <c r="AK252" i="1"/>
  <c r="AL257" i="1"/>
  <c r="AJ54" i="1"/>
  <c r="AL147" i="1"/>
  <c r="AJ101" i="1"/>
  <c r="AL259" i="1"/>
  <c r="AK245" i="1"/>
  <c r="AC198" i="1"/>
  <c r="AI198" i="1" s="1"/>
  <c r="AJ55" i="1"/>
  <c r="AJ57" i="1"/>
  <c r="AK246" i="1"/>
  <c r="AL282" i="1"/>
  <c r="AL249" i="1"/>
  <c r="AL136" i="1"/>
  <c r="AK78" i="1"/>
  <c r="AL293" i="1"/>
  <c r="AL248" i="1"/>
  <c r="AJ67" i="1"/>
  <c r="AL261" i="1"/>
  <c r="AJ72" i="1"/>
  <c r="AL132" i="1"/>
  <c r="AL103" i="1"/>
  <c r="AL110" i="1"/>
  <c r="AK79" i="1"/>
  <c r="AK58" i="1"/>
  <c r="AJ111" i="1"/>
  <c r="AJ106" i="1"/>
  <c r="AL82" i="1"/>
  <c r="AK72" i="1"/>
  <c r="AL72" i="1"/>
  <c r="AJ71" i="1"/>
  <c r="AC304" i="1"/>
  <c r="AI304" i="1" s="1"/>
  <c r="AC308" i="1"/>
  <c r="AC301" i="1"/>
  <c r="AI301" i="1" s="1"/>
  <c r="AJ129" i="1"/>
  <c r="AK194" i="1"/>
  <c r="AL194" i="1"/>
  <c r="AJ70" i="1"/>
  <c r="AJ99" i="1"/>
  <c r="AC300" i="1"/>
  <c r="AI300" i="1" s="1"/>
  <c r="AK188" i="1"/>
  <c r="AL188" i="1"/>
  <c r="AJ162" i="1"/>
  <c r="AK192" i="1"/>
  <c r="AL192" i="1"/>
  <c r="AC299" i="1"/>
  <c r="AI299" i="1" s="1"/>
  <c r="AC303" i="1"/>
  <c r="AI303" i="1" s="1"/>
  <c r="AC177" i="1"/>
  <c r="AI177" i="1" s="1"/>
  <c r="AL107" i="1"/>
  <c r="AJ61" i="1"/>
  <c r="AK276" i="1"/>
  <c r="AJ68" i="1"/>
  <c r="AC240" i="1"/>
  <c r="AI240" i="1" s="1"/>
  <c r="AC302" i="1"/>
  <c r="AI302" i="1" s="1"/>
  <c r="AC306" i="1"/>
  <c r="AC310" i="1"/>
  <c r="AJ94" i="1"/>
  <c r="AC305" i="1"/>
  <c r="AC307" i="1"/>
  <c r="AC309" i="1"/>
  <c r="AI309" i="1" s="1"/>
  <c r="AK62" i="1"/>
  <c r="AL62" i="1"/>
  <c r="AK273" i="1"/>
  <c r="AJ105" i="1"/>
  <c r="AJ52" i="1"/>
  <c r="AJ64" i="1"/>
  <c r="AJ66" i="1"/>
  <c r="AC199" i="1"/>
  <c r="AI199" i="1" s="1"/>
  <c r="AJ56" i="1"/>
  <c r="AC167" i="1"/>
  <c r="AC197" i="1"/>
  <c r="AI197" i="1" s="1"/>
  <c r="AC196" i="1"/>
  <c r="AI196" i="1" s="1"/>
  <c r="AC187" i="1"/>
  <c r="AI187" i="1" s="1"/>
  <c r="AC186" i="1"/>
  <c r="AI186" i="1" s="1"/>
  <c r="AC185" i="1"/>
  <c r="AI185" i="1" s="1"/>
  <c r="AC184" i="1"/>
  <c r="AI184" i="1" s="1"/>
  <c r="AC183" i="1"/>
  <c r="AI183" i="1" s="1"/>
  <c r="AC182" i="1"/>
  <c r="AI182" i="1" s="1"/>
  <c r="AC181" i="1"/>
  <c r="AI181" i="1" s="1"/>
  <c r="AC180" i="1"/>
  <c r="AI180" i="1" s="1"/>
  <c r="AC179" i="1"/>
  <c r="AI179" i="1" s="1"/>
  <c r="AJ95" i="1"/>
  <c r="AC166" i="1"/>
  <c r="AC51" i="1"/>
  <c r="AI51" i="1" s="1"/>
  <c r="AJ59" i="1"/>
  <c r="AL111" i="1"/>
  <c r="AK111" i="1"/>
  <c r="AL109" i="1"/>
  <c r="AK109" i="1"/>
  <c r="AL105" i="1"/>
  <c r="AK105" i="1"/>
  <c r="AL101" i="1"/>
  <c r="AK101" i="1"/>
  <c r="AL108" i="1"/>
  <c r="AK108" i="1"/>
  <c r="AL106" i="1"/>
  <c r="AK106" i="1"/>
  <c r="AL100" i="1"/>
  <c r="AK100" i="1"/>
  <c r="AK55" i="1"/>
  <c r="AL55" i="1"/>
  <c r="AK61" i="1"/>
  <c r="AL61" i="1"/>
  <c r="AK57" i="1"/>
  <c r="AL57" i="1"/>
  <c r="AK71" i="1"/>
  <c r="AL71" i="1"/>
  <c r="AK67" i="1"/>
  <c r="AL67" i="1"/>
  <c r="AK59" i="1"/>
  <c r="AL59" i="1"/>
  <c r="AK53" i="1"/>
  <c r="AC178" i="1"/>
  <c r="AI178" i="1" s="1"/>
  <c r="AC168" i="1"/>
  <c r="AI168" i="1" s="1"/>
  <c r="AC50" i="1"/>
  <c r="AI50" i="1" s="1"/>
  <c r="AC49" i="1"/>
  <c r="AC48" i="1"/>
  <c r="AI48" i="1" s="1"/>
  <c r="AC47" i="1"/>
  <c r="AC46" i="1"/>
  <c r="AI46" i="1" s="1"/>
  <c r="AC45" i="1"/>
  <c r="AI45" i="1" s="1"/>
  <c r="AC44" i="1"/>
  <c r="AC43" i="1"/>
  <c r="AC176" i="1"/>
  <c r="AI176" i="1" s="1"/>
  <c r="AC175" i="1"/>
  <c r="AI175" i="1" s="1"/>
  <c r="AC174" i="1"/>
  <c r="AI174" i="1" s="1"/>
  <c r="AC173" i="1"/>
  <c r="AI173" i="1" s="1"/>
  <c r="AC172" i="1"/>
  <c r="AI172" i="1" s="1"/>
  <c r="AC171" i="1"/>
  <c r="AI171" i="1" s="1"/>
  <c r="AC170" i="1"/>
  <c r="AI170" i="1" s="1"/>
  <c r="AC169" i="1"/>
  <c r="AI169" i="1" s="1"/>
  <c r="AK96" i="1" l="1"/>
  <c r="AI44" i="1"/>
  <c r="AL44" i="1" s="1"/>
  <c r="AJ167" i="1"/>
  <c r="AI167" i="1"/>
  <c r="AI43" i="1"/>
  <c r="AL43" i="1" s="1"/>
  <c r="AI47" i="1"/>
  <c r="AK47" i="1" s="1"/>
  <c r="AI49" i="1"/>
  <c r="AL49" i="1" s="1"/>
  <c r="AJ166" i="1"/>
  <c r="AI166" i="1"/>
  <c r="AL54" i="1"/>
  <c r="AK97" i="1"/>
  <c r="AL69" i="1"/>
  <c r="AK98" i="1"/>
  <c r="AK65" i="1"/>
  <c r="AK110" i="1"/>
  <c r="AJ176" i="1"/>
  <c r="AK103" i="1"/>
  <c r="AL228" i="1"/>
  <c r="AK102" i="1"/>
  <c r="AJ50" i="1"/>
  <c r="AK63" i="1"/>
  <c r="AL104" i="1"/>
  <c r="AK107" i="1"/>
  <c r="AJ240" i="1"/>
  <c r="AL68" i="1"/>
  <c r="AK68" i="1"/>
  <c r="AK99" i="1"/>
  <c r="AL99" i="1"/>
  <c r="AL129" i="1"/>
  <c r="AK129" i="1"/>
  <c r="AJ180" i="1"/>
  <c r="AJ168" i="1"/>
  <c r="AJ184" i="1"/>
  <c r="AJ187" i="1"/>
  <c r="AK94" i="1"/>
  <c r="AL94" i="1"/>
  <c r="AK162" i="1"/>
  <c r="AL162" i="1"/>
  <c r="AL70" i="1"/>
  <c r="AK70" i="1"/>
  <c r="AL60" i="1"/>
  <c r="AK60" i="1"/>
  <c r="AK52" i="1"/>
  <c r="AL52" i="1"/>
  <c r="AK64" i="1"/>
  <c r="AL64" i="1"/>
  <c r="AL66" i="1"/>
  <c r="AK66" i="1"/>
  <c r="AJ51" i="1"/>
  <c r="AK56" i="1"/>
  <c r="AL56" i="1"/>
  <c r="AL95" i="1"/>
  <c r="AK95" i="1"/>
  <c r="AJ46" i="1"/>
  <c r="AJ172" i="1"/>
  <c r="AJ45" i="1"/>
  <c r="AL112" i="1"/>
  <c r="AK112" i="1"/>
  <c r="AL114" i="1"/>
  <c r="AK114" i="1"/>
  <c r="AL116" i="1"/>
  <c r="AK116" i="1"/>
  <c r="AK43" i="1"/>
  <c r="AJ43" i="1"/>
  <c r="AL45" i="1"/>
  <c r="AJ170" i="1"/>
  <c r="AJ174" i="1"/>
  <c r="AJ178" i="1"/>
  <c r="AJ182" i="1"/>
  <c r="AJ186" i="1"/>
  <c r="AJ196" i="1"/>
  <c r="AK169" i="1"/>
  <c r="AL169" i="1"/>
  <c r="AK173" i="1"/>
  <c r="AL173" i="1"/>
  <c r="AK177" i="1"/>
  <c r="AL177" i="1"/>
  <c r="AK181" i="1"/>
  <c r="AL181" i="1"/>
  <c r="AK185" i="1"/>
  <c r="AL185" i="1"/>
  <c r="AK198" i="1"/>
  <c r="AL198" i="1"/>
  <c r="AK170" i="1"/>
  <c r="AL170" i="1"/>
  <c r="AK174" i="1"/>
  <c r="AL174" i="1"/>
  <c r="AK178" i="1"/>
  <c r="AL178" i="1"/>
  <c r="AK182" i="1"/>
  <c r="AL182" i="1"/>
  <c r="AK186" i="1"/>
  <c r="AL186" i="1"/>
  <c r="AK196" i="1"/>
  <c r="AL196" i="1"/>
  <c r="AK171" i="1"/>
  <c r="AL171" i="1"/>
  <c r="AK175" i="1"/>
  <c r="AL175" i="1"/>
  <c r="AK179" i="1"/>
  <c r="AL179" i="1"/>
  <c r="AK183" i="1"/>
  <c r="AL183" i="1"/>
  <c r="AK197" i="1"/>
  <c r="AL197" i="1"/>
  <c r="AK168" i="1"/>
  <c r="AL168" i="1"/>
  <c r="AK172" i="1"/>
  <c r="AL172" i="1"/>
  <c r="AK176" i="1"/>
  <c r="AL176" i="1"/>
  <c r="AK180" i="1"/>
  <c r="AL180" i="1"/>
  <c r="AK184" i="1"/>
  <c r="AL184" i="1"/>
  <c r="AJ169" i="1"/>
  <c r="AJ171" i="1"/>
  <c r="AJ173" i="1"/>
  <c r="AJ175" i="1"/>
  <c r="AJ177" i="1"/>
  <c r="AJ179" i="1"/>
  <c r="AJ181" i="1"/>
  <c r="AJ183" i="1"/>
  <c r="AJ185" i="1"/>
  <c r="AJ197" i="1"/>
  <c r="AJ198" i="1"/>
  <c r="AJ44" i="1"/>
  <c r="AK44" i="1"/>
  <c r="AJ49" i="1"/>
  <c r="AJ48" i="1"/>
  <c r="AJ47" i="1"/>
  <c r="AL50" i="1"/>
  <c r="AK50" i="1"/>
  <c r="AL48" i="1"/>
  <c r="AK48" i="1"/>
  <c r="AL46" i="1"/>
  <c r="AK46" i="1"/>
  <c r="AH32" i="1"/>
  <c r="AH31" i="1"/>
  <c r="AH30" i="1"/>
  <c r="AH29" i="1"/>
  <c r="AH28" i="1"/>
  <c r="AH27" i="1"/>
  <c r="AH26" i="1"/>
  <c r="AH25" i="1"/>
  <c r="AH42" i="1"/>
  <c r="AH41" i="1"/>
  <c r="AH40" i="1"/>
  <c r="AH39" i="1"/>
  <c r="AH38" i="1"/>
  <c r="AH37" i="1"/>
  <c r="AH36" i="1"/>
  <c r="AH35" i="1"/>
  <c r="AK49" i="1" l="1"/>
  <c r="AL47" i="1"/>
  <c r="AK240" i="1"/>
  <c r="AL240" i="1"/>
  <c r="AK187" i="1"/>
  <c r="AL187" i="1"/>
  <c r="AK51" i="1"/>
  <c r="AL51" i="1"/>
  <c r="AL115" i="1"/>
  <c r="AK115" i="1"/>
  <c r="AL120" i="1"/>
  <c r="AK120" i="1"/>
  <c r="AL117" i="1"/>
  <c r="AK117" i="1"/>
  <c r="AL122" i="1"/>
  <c r="AK122" i="1"/>
  <c r="AL113" i="1"/>
  <c r="AK113" i="1"/>
  <c r="AL118" i="1"/>
  <c r="AK118" i="1"/>
  <c r="AK45" i="1"/>
  <c r="AH365" i="1"/>
  <c r="AH364" i="1"/>
  <c r="AH363" i="1"/>
  <c r="AH362" i="1"/>
  <c r="AH359" i="1"/>
  <c r="AH358" i="1"/>
  <c r="AH357" i="1"/>
  <c r="AH356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V354" i="1"/>
  <c r="W354" i="1"/>
  <c r="V355" i="1"/>
  <c r="W355" i="1"/>
  <c r="V356" i="1"/>
  <c r="W356" i="1"/>
  <c r="V357" i="1"/>
  <c r="W357" i="1"/>
  <c r="V358" i="1"/>
  <c r="W358" i="1"/>
  <c r="V359" i="1"/>
  <c r="W359" i="1"/>
  <c r="V360" i="1"/>
  <c r="W360" i="1"/>
  <c r="V361" i="1"/>
  <c r="W361" i="1"/>
  <c r="V362" i="1"/>
  <c r="W362" i="1"/>
  <c r="V363" i="1"/>
  <c r="W363" i="1"/>
  <c r="V364" i="1"/>
  <c r="W364" i="1"/>
  <c r="V365" i="1"/>
  <c r="W365" i="1"/>
  <c r="V366" i="1"/>
  <c r="W366" i="1"/>
  <c r="V367" i="1"/>
  <c r="W367" i="1"/>
  <c r="V368" i="1"/>
  <c r="W368" i="1"/>
  <c r="V369" i="1"/>
  <c r="W369" i="1"/>
  <c r="V370" i="1"/>
  <c r="W370" i="1"/>
  <c r="V371" i="1"/>
  <c r="W371" i="1"/>
  <c r="V372" i="1"/>
  <c r="W372" i="1"/>
  <c r="V373" i="1"/>
  <c r="W373" i="1"/>
  <c r="V374" i="1"/>
  <c r="W374" i="1"/>
  <c r="X354" i="1"/>
  <c r="X355" i="1"/>
  <c r="AC355" i="1" s="1"/>
  <c r="AI355" i="1" s="1"/>
  <c r="X356" i="1"/>
  <c r="X357" i="1"/>
  <c r="AC357" i="1" s="1"/>
  <c r="AI357" i="1" s="1"/>
  <c r="X358" i="1"/>
  <c r="X359" i="1"/>
  <c r="AC359" i="1" s="1"/>
  <c r="AI359" i="1" s="1"/>
  <c r="X360" i="1"/>
  <c r="X361" i="1"/>
  <c r="AC361" i="1" s="1"/>
  <c r="AI361" i="1" s="1"/>
  <c r="X362" i="1"/>
  <c r="X363" i="1"/>
  <c r="AC363" i="1" s="1"/>
  <c r="AI363" i="1" s="1"/>
  <c r="X364" i="1"/>
  <c r="X365" i="1"/>
  <c r="AC365" i="1" s="1"/>
  <c r="AI365" i="1" s="1"/>
  <c r="X366" i="1"/>
  <c r="X367" i="1"/>
  <c r="AC367" i="1" s="1"/>
  <c r="AI367" i="1" s="1"/>
  <c r="X368" i="1"/>
  <c r="X369" i="1"/>
  <c r="AC369" i="1" s="1"/>
  <c r="AI369" i="1" s="1"/>
  <c r="X370" i="1"/>
  <c r="X371" i="1"/>
  <c r="AC371" i="1" s="1"/>
  <c r="AI371" i="1" s="1"/>
  <c r="X372" i="1"/>
  <c r="X373" i="1"/>
  <c r="AC373" i="1" s="1"/>
  <c r="AI373" i="1" s="1"/>
  <c r="X374" i="1"/>
  <c r="Y33" i="1"/>
  <c r="Y34" i="1"/>
  <c r="Y35" i="1"/>
  <c r="Y36" i="1"/>
  <c r="Y37" i="1"/>
  <c r="Y38" i="1"/>
  <c r="Y39" i="1"/>
  <c r="Y40" i="1"/>
  <c r="Y41" i="1"/>
  <c r="Y42" i="1"/>
  <c r="V33" i="1"/>
  <c r="W33" i="1"/>
  <c r="V34" i="1"/>
  <c r="W34" i="1"/>
  <c r="V35" i="1"/>
  <c r="W35" i="1"/>
  <c r="V36" i="1"/>
  <c r="W36" i="1"/>
  <c r="V37" i="1"/>
  <c r="W37" i="1"/>
  <c r="V38" i="1"/>
  <c r="W38" i="1"/>
  <c r="V39" i="1"/>
  <c r="W39" i="1"/>
  <c r="V40" i="1"/>
  <c r="W40" i="1"/>
  <c r="V41" i="1"/>
  <c r="W41" i="1"/>
  <c r="V42" i="1"/>
  <c r="W42" i="1"/>
  <c r="X33" i="1"/>
  <c r="AC33" i="1" s="1"/>
  <c r="AI33" i="1" s="1"/>
  <c r="X34" i="1"/>
  <c r="X35" i="1"/>
  <c r="AC35" i="1" s="1"/>
  <c r="AI35" i="1" s="1"/>
  <c r="X36" i="1"/>
  <c r="X37" i="1"/>
  <c r="AC37" i="1" s="1"/>
  <c r="AI37" i="1" s="1"/>
  <c r="X38" i="1"/>
  <c r="X39" i="1"/>
  <c r="AC39" i="1" s="1"/>
  <c r="AI39" i="1" s="1"/>
  <c r="X40" i="1"/>
  <c r="X41" i="1"/>
  <c r="AC41" i="1" s="1"/>
  <c r="AI41" i="1" s="1"/>
  <c r="X42" i="1"/>
  <c r="Y23" i="1"/>
  <c r="Y24" i="1"/>
  <c r="Y25" i="1"/>
  <c r="Y26" i="1"/>
  <c r="Y27" i="1"/>
  <c r="Y28" i="1"/>
  <c r="Y29" i="1"/>
  <c r="Y30" i="1"/>
  <c r="Y31" i="1"/>
  <c r="Y32" i="1"/>
  <c r="V23" i="1"/>
  <c r="W23" i="1"/>
  <c r="V24" i="1"/>
  <c r="W24" i="1"/>
  <c r="V25" i="1"/>
  <c r="W25" i="1"/>
  <c r="V26" i="1"/>
  <c r="W26" i="1"/>
  <c r="V27" i="1"/>
  <c r="W27" i="1"/>
  <c r="V28" i="1"/>
  <c r="W28" i="1"/>
  <c r="V29" i="1"/>
  <c r="W29" i="1"/>
  <c r="V30" i="1"/>
  <c r="W30" i="1"/>
  <c r="V31" i="1"/>
  <c r="W31" i="1"/>
  <c r="V32" i="1"/>
  <c r="W32" i="1"/>
  <c r="X23" i="1"/>
  <c r="AC23" i="1" s="1"/>
  <c r="AI23" i="1" s="1"/>
  <c r="X24" i="1"/>
  <c r="X25" i="1"/>
  <c r="X26" i="1"/>
  <c r="X27" i="1"/>
  <c r="X28" i="1"/>
  <c r="X29" i="1"/>
  <c r="X30" i="1"/>
  <c r="X31" i="1"/>
  <c r="X32" i="1"/>
  <c r="AC34" i="1" l="1"/>
  <c r="AI34" i="1" s="1"/>
  <c r="AC374" i="1"/>
  <c r="AI374" i="1" s="1"/>
  <c r="AC372" i="1"/>
  <c r="AI372" i="1" s="1"/>
  <c r="AC370" i="1"/>
  <c r="AI370" i="1" s="1"/>
  <c r="AC368" i="1"/>
  <c r="AI368" i="1" s="1"/>
  <c r="AC366" i="1"/>
  <c r="AI366" i="1" s="1"/>
  <c r="AC364" i="1"/>
  <c r="AI364" i="1" s="1"/>
  <c r="AC362" i="1"/>
  <c r="AI362" i="1" s="1"/>
  <c r="AC360" i="1"/>
  <c r="AI360" i="1" s="1"/>
  <c r="AC358" i="1"/>
  <c r="AI358" i="1" s="1"/>
  <c r="AC356" i="1"/>
  <c r="AI356" i="1" s="1"/>
  <c r="AC354" i="1"/>
  <c r="AI354" i="1" s="1"/>
  <c r="AL119" i="1"/>
  <c r="AK119" i="1"/>
  <c r="AL124" i="1"/>
  <c r="AK124" i="1"/>
  <c r="AL121" i="1"/>
  <c r="AK121" i="1"/>
  <c r="AL126" i="1"/>
  <c r="AK126" i="1"/>
  <c r="AL123" i="1"/>
  <c r="AK123" i="1"/>
  <c r="AL128" i="1"/>
  <c r="AK128" i="1"/>
  <c r="AC36" i="1"/>
  <c r="AI36" i="1" s="1"/>
  <c r="AC32" i="1"/>
  <c r="AI32" i="1" s="1"/>
  <c r="AC31" i="1"/>
  <c r="AI31" i="1" s="1"/>
  <c r="AC30" i="1"/>
  <c r="AI30" i="1" s="1"/>
  <c r="AC29" i="1"/>
  <c r="AI29" i="1" s="1"/>
  <c r="AC28" i="1"/>
  <c r="AI28" i="1" s="1"/>
  <c r="AC27" i="1"/>
  <c r="AI27" i="1" s="1"/>
  <c r="AC26" i="1"/>
  <c r="AI26" i="1" s="1"/>
  <c r="AC25" i="1"/>
  <c r="AI25" i="1" s="1"/>
  <c r="AC24" i="1"/>
  <c r="AI24" i="1" s="1"/>
  <c r="AC42" i="1"/>
  <c r="AI42" i="1" s="1"/>
  <c r="AC40" i="1"/>
  <c r="AI40" i="1" s="1"/>
  <c r="AC38" i="1"/>
  <c r="AI38" i="1" s="1"/>
  <c r="AH353" i="1"/>
  <c r="AH352" i="1"/>
  <c r="AH351" i="1"/>
  <c r="AH350" i="1"/>
  <c r="AH347" i="1"/>
  <c r="AH346" i="1"/>
  <c r="AH345" i="1"/>
  <c r="AH344" i="1"/>
  <c r="AH341" i="1"/>
  <c r="AH340" i="1"/>
  <c r="AH339" i="1"/>
  <c r="AH338" i="1"/>
  <c r="Y339" i="1"/>
  <c r="Y340" i="1"/>
  <c r="V339" i="1"/>
  <c r="W339" i="1"/>
  <c r="V340" i="1"/>
  <c r="W340" i="1"/>
  <c r="X339" i="1"/>
  <c r="AC339" i="1" s="1"/>
  <c r="AI339" i="1" s="1"/>
  <c r="X340" i="1"/>
  <c r="Y377" i="1"/>
  <c r="W377" i="1"/>
  <c r="V377" i="1"/>
  <c r="X377" i="1"/>
  <c r="Y375" i="1"/>
  <c r="W375" i="1"/>
  <c r="V375" i="1"/>
  <c r="X375" i="1"/>
  <c r="AC375" i="1" l="1"/>
  <c r="AI375" i="1" s="1"/>
  <c r="AC377" i="1"/>
  <c r="AI377" i="1" s="1"/>
  <c r="AC340" i="1"/>
  <c r="AI340" i="1" s="1"/>
  <c r="AL165" i="1"/>
  <c r="AK165" i="1"/>
  <c r="AL164" i="1"/>
  <c r="AK164" i="1"/>
  <c r="AL125" i="1"/>
  <c r="AK125" i="1"/>
  <c r="AL166" i="1"/>
  <c r="AK166" i="1"/>
  <c r="AL127" i="1"/>
  <c r="AK127" i="1"/>
  <c r="AL163" i="1"/>
  <c r="AK163" i="1"/>
  <c r="AJ369" i="1"/>
  <c r="AL369" i="1"/>
  <c r="AK369" i="1"/>
  <c r="AJ357" i="1"/>
  <c r="AK357" i="1"/>
  <c r="AL357" i="1"/>
  <c r="AL27" i="1"/>
  <c r="AJ27" i="1"/>
  <c r="AL31" i="1"/>
  <c r="AJ31" i="1"/>
  <c r="AK26" i="1"/>
  <c r="AJ26" i="1"/>
  <c r="AK30" i="1"/>
  <c r="AJ30" i="1"/>
  <c r="AL362" i="1"/>
  <c r="AJ362" i="1"/>
  <c r="AL364" i="1"/>
  <c r="AJ364" i="1"/>
  <c r="AL356" i="1"/>
  <c r="AJ356" i="1"/>
  <c r="AJ35" i="1"/>
  <c r="AK37" i="1"/>
  <c r="AJ37" i="1"/>
  <c r="AJ39" i="1"/>
  <c r="AK41" i="1"/>
  <c r="AJ41" i="1"/>
  <c r="AK23" i="1"/>
  <c r="AJ23" i="1"/>
  <c r="AK368" i="1"/>
  <c r="AJ368" i="1"/>
  <c r="AJ367" i="1"/>
  <c r="AJ359" i="1"/>
  <c r="AJ33" i="1"/>
  <c r="AJ354" i="1"/>
  <c r="AL360" i="1"/>
  <c r="AJ360" i="1"/>
  <c r="AL370" i="1"/>
  <c r="AJ370" i="1"/>
  <c r="AK25" i="1"/>
  <c r="AJ25" i="1"/>
  <c r="AK29" i="1"/>
  <c r="AJ29" i="1"/>
  <c r="AK24" i="1"/>
  <c r="AJ24" i="1"/>
  <c r="AK28" i="1"/>
  <c r="AJ28" i="1"/>
  <c r="AK32" i="1"/>
  <c r="AJ32" i="1"/>
  <c r="AK361" i="1"/>
  <c r="AJ361" i="1"/>
  <c r="AK363" i="1"/>
  <c r="AJ363" i="1"/>
  <c r="AK365" i="1"/>
  <c r="AJ365" i="1"/>
  <c r="AL34" i="1"/>
  <c r="AJ34" i="1"/>
  <c r="AK36" i="1"/>
  <c r="AJ36" i="1"/>
  <c r="AJ38" i="1"/>
  <c r="AJ40" i="1"/>
  <c r="AK42" i="1"/>
  <c r="AJ42" i="1"/>
  <c r="AJ199" i="1"/>
  <c r="AK355" i="1"/>
  <c r="AJ355" i="1"/>
  <c r="AK373" i="1"/>
  <c r="AJ373" i="1"/>
  <c r="AK371" i="1"/>
  <c r="AJ371" i="1"/>
  <c r="AJ374" i="1"/>
  <c r="AJ358" i="1"/>
  <c r="AJ366" i="1"/>
  <c r="AJ372" i="1"/>
  <c r="AK360" i="1"/>
  <c r="X348" i="1"/>
  <c r="V348" i="1"/>
  <c r="W348" i="1"/>
  <c r="Y348" i="1"/>
  <c r="X349" i="1"/>
  <c r="V349" i="1"/>
  <c r="W349" i="1"/>
  <c r="Y349" i="1"/>
  <c r="X350" i="1"/>
  <c r="V350" i="1"/>
  <c r="W350" i="1"/>
  <c r="Y350" i="1"/>
  <c r="X351" i="1"/>
  <c r="V351" i="1"/>
  <c r="W351" i="1"/>
  <c r="Y351" i="1"/>
  <c r="X352" i="1"/>
  <c r="V352" i="1"/>
  <c r="W352" i="1"/>
  <c r="Y352" i="1"/>
  <c r="X353" i="1"/>
  <c r="V353" i="1"/>
  <c r="W353" i="1"/>
  <c r="Y353" i="1"/>
  <c r="X378" i="1"/>
  <c r="V378" i="1"/>
  <c r="W378" i="1"/>
  <c r="Y378" i="1"/>
  <c r="X379" i="1"/>
  <c r="V379" i="1"/>
  <c r="W379" i="1"/>
  <c r="Y379" i="1"/>
  <c r="X380" i="1"/>
  <c r="V380" i="1"/>
  <c r="W380" i="1"/>
  <c r="Y380" i="1"/>
  <c r="X381" i="1"/>
  <c r="V381" i="1"/>
  <c r="W381" i="1"/>
  <c r="Y381" i="1"/>
  <c r="X382" i="1"/>
  <c r="V382" i="1"/>
  <c r="W382" i="1"/>
  <c r="Y382" i="1"/>
  <c r="X383" i="1"/>
  <c r="V383" i="1"/>
  <c r="W383" i="1"/>
  <c r="Y383" i="1"/>
  <c r="X384" i="1"/>
  <c r="V384" i="1"/>
  <c r="W384" i="1"/>
  <c r="Y384" i="1"/>
  <c r="X385" i="1"/>
  <c r="V385" i="1"/>
  <c r="W385" i="1"/>
  <c r="Y385" i="1"/>
  <c r="X386" i="1"/>
  <c r="V386" i="1"/>
  <c r="W386" i="1"/>
  <c r="Y386" i="1"/>
  <c r="X387" i="1"/>
  <c r="V387" i="1"/>
  <c r="W387" i="1"/>
  <c r="Y387" i="1"/>
  <c r="X388" i="1"/>
  <c r="V388" i="1"/>
  <c r="W388" i="1"/>
  <c r="Y388" i="1"/>
  <c r="X389" i="1"/>
  <c r="V389" i="1"/>
  <c r="W389" i="1"/>
  <c r="Y389" i="1"/>
  <c r="X390" i="1"/>
  <c r="V390" i="1"/>
  <c r="W390" i="1"/>
  <c r="Y390" i="1"/>
  <c r="X391" i="1"/>
  <c r="V391" i="1"/>
  <c r="W391" i="1"/>
  <c r="Y391" i="1"/>
  <c r="X392" i="1"/>
  <c r="V392" i="1"/>
  <c r="W392" i="1"/>
  <c r="Y392" i="1"/>
  <c r="X393" i="1"/>
  <c r="V393" i="1"/>
  <c r="W393" i="1"/>
  <c r="Y393" i="1"/>
  <c r="X394" i="1"/>
  <c r="V394" i="1"/>
  <c r="W394" i="1"/>
  <c r="Y394" i="1"/>
  <c r="X395" i="1"/>
  <c r="V395" i="1"/>
  <c r="W395" i="1"/>
  <c r="Y395" i="1"/>
  <c r="X396" i="1"/>
  <c r="V396" i="1"/>
  <c r="W396" i="1"/>
  <c r="Y396" i="1"/>
  <c r="X397" i="1"/>
  <c r="V397" i="1"/>
  <c r="W397" i="1"/>
  <c r="Y397" i="1"/>
  <c r="X398" i="1"/>
  <c r="V398" i="1"/>
  <c r="W398" i="1"/>
  <c r="Y398" i="1"/>
  <c r="X399" i="1"/>
  <c r="V399" i="1"/>
  <c r="W399" i="1"/>
  <c r="Y399" i="1"/>
  <c r="X400" i="1"/>
  <c r="V400" i="1"/>
  <c r="W400" i="1"/>
  <c r="Y400" i="1"/>
  <c r="X401" i="1"/>
  <c r="V401" i="1"/>
  <c r="W401" i="1"/>
  <c r="Y401" i="1"/>
  <c r="X402" i="1"/>
  <c r="V402" i="1"/>
  <c r="W402" i="1"/>
  <c r="Y402" i="1"/>
  <c r="X403" i="1"/>
  <c r="V403" i="1"/>
  <c r="W403" i="1"/>
  <c r="Y403" i="1"/>
  <c r="X404" i="1"/>
  <c r="V404" i="1"/>
  <c r="W404" i="1"/>
  <c r="Y404" i="1"/>
  <c r="X405" i="1"/>
  <c r="V405" i="1"/>
  <c r="W405" i="1"/>
  <c r="Y405" i="1"/>
  <c r="X406" i="1"/>
  <c r="V406" i="1"/>
  <c r="W406" i="1"/>
  <c r="Y406" i="1"/>
  <c r="X407" i="1"/>
  <c r="V407" i="1"/>
  <c r="W407" i="1"/>
  <c r="Y407" i="1"/>
  <c r="X408" i="1"/>
  <c r="V408" i="1"/>
  <c r="W408" i="1"/>
  <c r="Y408" i="1"/>
  <c r="X409" i="1"/>
  <c r="V409" i="1"/>
  <c r="W409" i="1"/>
  <c r="Y409" i="1"/>
  <c r="X410" i="1"/>
  <c r="V410" i="1"/>
  <c r="W410" i="1"/>
  <c r="Y410" i="1"/>
  <c r="X411" i="1"/>
  <c r="V411" i="1"/>
  <c r="W411" i="1"/>
  <c r="Y411" i="1"/>
  <c r="X412" i="1"/>
  <c r="V412" i="1"/>
  <c r="W412" i="1"/>
  <c r="Y412" i="1"/>
  <c r="X413" i="1"/>
  <c r="V413" i="1"/>
  <c r="W413" i="1"/>
  <c r="Y413" i="1"/>
  <c r="X414" i="1"/>
  <c r="V414" i="1"/>
  <c r="W414" i="1"/>
  <c r="Y414" i="1"/>
  <c r="X415" i="1"/>
  <c r="V415" i="1"/>
  <c r="W415" i="1"/>
  <c r="Y415" i="1"/>
  <c r="X416" i="1"/>
  <c r="V416" i="1"/>
  <c r="W416" i="1"/>
  <c r="Y416" i="1"/>
  <c r="X417" i="1"/>
  <c r="V417" i="1"/>
  <c r="W417" i="1"/>
  <c r="Y417" i="1"/>
  <c r="X418" i="1"/>
  <c r="V418" i="1"/>
  <c r="W418" i="1"/>
  <c r="Y418" i="1"/>
  <c r="X419" i="1"/>
  <c r="V419" i="1"/>
  <c r="W419" i="1"/>
  <c r="Y419" i="1"/>
  <c r="X420" i="1"/>
  <c r="V420" i="1"/>
  <c r="W420" i="1"/>
  <c r="Y420" i="1"/>
  <c r="X421" i="1"/>
  <c r="V421" i="1"/>
  <c r="W421" i="1"/>
  <c r="Y421" i="1"/>
  <c r="X422" i="1"/>
  <c r="V422" i="1"/>
  <c r="W422" i="1"/>
  <c r="Y422" i="1"/>
  <c r="X423" i="1"/>
  <c r="V423" i="1"/>
  <c r="W423" i="1"/>
  <c r="Y423" i="1"/>
  <c r="X424" i="1"/>
  <c r="V424" i="1"/>
  <c r="W424" i="1"/>
  <c r="Y424" i="1"/>
  <c r="X425" i="1"/>
  <c r="V425" i="1"/>
  <c r="W425" i="1"/>
  <c r="Y425" i="1"/>
  <c r="X426" i="1"/>
  <c r="V426" i="1"/>
  <c r="W426" i="1"/>
  <c r="Y426" i="1"/>
  <c r="X427" i="1"/>
  <c r="V427" i="1"/>
  <c r="W427" i="1"/>
  <c r="Y427" i="1"/>
  <c r="X428" i="1"/>
  <c r="V428" i="1"/>
  <c r="W428" i="1"/>
  <c r="Y428" i="1"/>
  <c r="X429" i="1"/>
  <c r="V429" i="1"/>
  <c r="W429" i="1"/>
  <c r="Y429" i="1"/>
  <c r="AC429" i="1" l="1"/>
  <c r="AC428" i="1"/>
  <c r="AI428" i="1" s="1"/>
  <c r="AC427" i="1"/>
  <c r="AI427" i="1" s="1"/>
  <c r="AC426" i="1"/>
  <c r="AI426" i="1" s="1"/>
  <c r="AC425" i="1"/>
  <c r="AI425" i="1" s="1"/>
  <c r="AC424" i="1"/>
  <c r="AC423" i="1"/>
  <c r="AI423" i="1" s="1"/>
  <c r="AC422" i="1"/>
  <c r="AI422" i="1" s="1"/>
  <c r="AC421" i="1"/>
  <c r="AI421" i="1" s="1"/>
  <c r="AC420" i="1"/>
  <c r="AI420" i="1" s="1"/>
  <c r="AC419" i="1"/>
  <c r="AI419" i="1" s="1"/>
  <c r="AC418" i="1"/>
  <c r="AI418" i="1" s="1"/>
  <c r="AC417" i="1"/>
  <c r="AI417" i="1" s="1"/>
  <c r="AC416" i="1"/>
  <c r="AI416" i="1" s="1"/>
  <c r="AC415" i="1"/>
  <c r="AI415" i="1" s="1"/>
  <c r="AC414" i="1"/>
  <c r="AI414" i="1" s="1"/>
  <c r="AC413" i="1"/>
  <c r="AI413" i="1" s="1"/>
  <c r="AC412" i="1"/>
  <c r="AI412" i="1" s="1"/>
  <c r="AC411" i="1"/>
  <c r="AI411" i="1" s="1"/>
  <c r="AC410" i="1"/>
  <c r="AI410" i="1" s="1"/>
  <c r="AC409" i="1"/>
  <c r="AI409" i="1" s="1"/>
  <c r="AC408" i="1"/>
  <c r="AI408" i="1" s="1"/>
  <c r="AC407" i="1"/>
  <c r="AI407" i="1" s="1"/>
  <c r="AC406" i="1"/>
  <c r="AI406" i="1" s="1"/>
  <c r="AC405" i="1"/>
  <c r="AI405" i="1" s="1"/>
  <c r="AC404" i="1"/>
  <c r="AI404" i="1" s="1"/>
  <c r="AC403" i="1"/>
  <c r="AI403" i="1" s="1"/>
  <c r="AC402" i="1"/>
  <c r="AI402" i="1" s="1"/>
  <c r="AC401" i="1"/>
  <c r="AI401" i="1" s="1"/>
  <c r="AC400" i="1"/>
  <c r="AI400" i="1" s="1"/>
  <c r="AC399" i="1"/>
  <c r="AI399" i="1" s="1"/>
  <c r="AC398" i="1"/>
  <c r="AI398" i="1" s="1"/>
  <c r="AC397" i="1"/>
  <c r="AI397" i="1" s="1"/>
  <c r="AC396" i="1"/>
  <c r="AI396" i="1" s="1"/>
  <c r="AC395" i="1"/>
  <c r="AI395" i="1" s="1"/>
  <c r="AC393" i="1"/>
  <c r="AI393" i="1" s="1"/>
  <c r="AC392" i="1"/>
  <c r="AI392" i="1" s="1"/>
  <c r="AC391" i="1"/>
  <c r="AI391" i="1" s="1"/>
  <c r="AC389" i="1"/>
  <c r="AI389" i="1" s="1"/>
  <c r="AC387" i="1"/>
  <c r="AI387" i="1" s="1"/>
  <c r="AC386" i="1"/>
  <c r="AI386" i="1" s="1"/>
  <c r="AC385" i="1"/>
  <c r="AI385" i="1" s="1"/>
  <c r="AC384" i="1"/>
  <c r="AI384" i="1" s="1"/>
  <c r="AC383" i="1"/>
  <c r="AI383" i="1" s="1"/>
  <c r="AC382" i="1"/>
  <c r="AI382" i="1" s="1"/>
  <c r="AC381" i="1"/>
  <c r="AI381" i="1" s="1"/>
  <c r="AC380" i="1"/>
  <c r="AI380" i="1" s="1"/>
  <c r="AC379" i="1"/>
  <c r="AI379" i="1" s="1"/>
  <c r="AC378" i="1"/>
  <c r="AI378" i="1" s="1"/>
  <c r="AC353" i="1"/>
  <c r="AI353" i="1" s="1"/>
  <c r="AC394" i="1"/>
  <c r="AI394" i="1" s="1"/>
  <c r="AC388" i="1"/>
  <c r="AI388" i="1" s="1"/>
  <c r="AC390" i="1"/>
  <c r="AI390" i="1" s="1"/>
  <c r="AC352" i="1"/>
  <c r="AI352" i="1" s="1"/>
  <c r="AC351" i="1"/>
  <c r="AI351" i="1" s="1"/>
  <c r="AC350" i="1"/>
  <c r="AI350" i="1" s="1"/>
  <c r="AC349" i="1"/>
  <c r="AI349" i="1" s="1"/>
  <c r="AC348" i="1"/>
  <c r="AI348" i="1" s="1"/>
  <c r="AL167" i="1"/>
  <c r="AK167" i="1"/>
  <c r="AL25" i="1"/>
  <c r="AL417" i="1"/>
  <c r="AK27" i="1"/>
  <c r="AL32" i="1"/>
  <c r="AL26" i="1"/>
  <c r="AL41" i="1"/>
  <c r="AL24" i="1"/>
  <c r="AL30" i="1"/>
  <c r="AK31" i="1"/>
  <c r="AK362" i="1"/>
  <c r="AK364" i="1"/>
  <c r="AL28" i="1"/>
  <c r="AL29" i="1"/>
  <c r="AL361" i="1"/>
  <c r="AL368" i="1"/>
  <c r="AL363" i="1"/>
  <c r="AK356" i="1"/>
  <c r="AL355" i="1"/>
  <c r="AL23" i="1"/>
  <c r="AL373" i="1"/>
  <c r="AL371" i="1"/>
  <c r="AK34" i="1"/>
  <c r="AL37" i="1"/>
  <c r="AL42" i="1"/>
  <c r="AL365" i="1"/>
  <c r="AL36" i="1"/>
  <c r="AK370" i="1"/>
  <c r="AL375" i="1"/>
  <c r="AJ375" i="1"/>
  <c r="AK377" i="1"/>
  <c r="AJ377" i="1"/>
  <c r="AJ340" i="1"/>
  <c r="AL339" i="1"/>
  <c r="AJ339" i="1"/>
  <c r="AK372" i="1"/>
  <c r="AL372" i="1"/>
  <c r="AK366" i="1"/>
  <c r="AL366" i="1"/>
  <c r="AK358" i="1"/>
  <c r="AL358" i="1"/>
  <c r="AL374" i="1"/>
  <c r="AK374" i="1"/>
  <c r="AK199" i="1"/>
  <c r="AL199" i="1"/>
  <c r="AK40" i="1"/>
  <c r="AL40" i="1"/>
  <c r="AK38" i="1"/>
  <c r="AL38" i="1"/>
  <c r="AK354" i="1"/>
  <c r="AL354" i="1"/>
  <c r="AK33" i="1"/>
  <c r="AL33" i="1"/>
  <c r="AK359" i="1"/>
  <c r="AL359" i="1"/>
  <c r="AL367" i="1"/>
  <c r="AK367" i="1"/>
  <c r="AK39" i="1"/>
  <c r="AL39" i="1"/>
  <c r="AK35" i="1"/>
  <c r="AL35" i="1"/>
  <c r="AK339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9" i="1"/>
  <c r="Y230" i="1"/>
  <c r="Y231" i="1"/>
  <c r="Y232" i="1"/>
  <c r="Y233" i="1"/>
  <c r="Y234" i="1"/>
  <c r="Y235" i="1"/>
  <c r="Y236" i="1"/>
  <c r="Y237" i="1"/>
  <c r="Y238" i="1"/>
  <c r="Y239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41" i="1"/>
  <c r="Y342" i="1"/>
  <c r="Y343" i="1"/>
  <c r="Y344" i="1"/>
  <c r="Y345" i="1"/>
  <c r="Y346" i="1"/>
  <c r="Y347" i="1"/>
  <c r="Y3" i="1"/>
  <c r="X12" i="1"/>
  <c r="X13" i="1"/>
  <c r="X14" i="1"/>
  <c r="X15" i="1"/>
  <c r="X16" i="1"/>
  <c r="X17" i="1"/>
  <c r="X18" i="1"/>
  <c r="X19" i="1"/>
  <c r="X20" i="1"/>
  <c r="X21" i="1"/>
  <c r="X22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9" i="1"/>
  <c r="X230" i="1"/>
  <c r="X231" i="1"/>
  <c r="X232" i="1"/>
  <c r="X233" i="1"/>
  <c r="X234" i="1"/>
  <c r="X235" i="1"/>
  <c r="X236" i="1"/>
  <c r="X237" i="1"/>
  <c r="X238" i="1"/>
  <c r="X239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41" i="1"/>
  <c r="X342" i="1"/>
  <c r="X343" i="1"/>
  <c r="X344" i="1"/>
  <c r="X345" i="1"/>
  <c r="X346" i="1"/>
  <c r="X347" i="1"/>
  <c r="X4" i="1"/>
  <c r="X5" i="1"/>
  <c r="X6" i="1"/>
  <c r="X7" i="1"/>
  <c r="X8" i="1"/>
  <c r="X9" i="1"/>
  <c r="X10" i="1"/>
  <c r="X11" i="1"/>
  <c r="X3" i="1"/>
  <c r="AI424" i="1" l="1"/>
  <c r="AL424" i="1" s="1"/>
  <c r="AI429" i="1"/>
  <c r="AL429" i="1" s="1"/>
  <c r="AJ424" i="1"/>
  <c r="AJ417" i="1"/>
  <c r="AJ429" i="1"/>
  <c r="AK424" i="1"/>
  <c r="AK417" i="1"/>
  <c r="AK429" i="1"/>
  <c r="AL377" i="1"/>
  <c r="AK375" i="1"/>
  <c r="AL348" i="1"/>
  <c r="AJ348" i="1"/>
  <c r="AL350" i="1"/>
  <c r="AJ350" i="1"/>
  <c r="AL352" i="1"/>
  <c r="AJ352" i="1"/>
  <c r="AK382" i="1"/>
  <c r="AJ382" i="1"/>
  <c r="AK384" i="1"/>
  <c r="AJ384" i="1"/>
  <c r="AK386" i="1"/>
  <c r="AJ386" i="1"/>
  <c r="AK388" i="1"/>
  <c r="AJ388" i="1"/>
  <c r="AK390" i="1"/>
  <c r="AJ390" i="1"/>
  <c r="AL392" i="1"/>
  <c r="AJ392" i="1"/>
  <c r="AL394" i="1"/>
  <c r="AJ394" i="1"/>
  <c r="AL396" i="1"/>
  <c r="AJ396" i="1"/>
  <c r="AL398" i="1"/>
  <c r="AJ398" i="1"/>
  <c r="AL400" i="1"/>
  <c r="AJ400" i="1"/>
  <c r="AL402" i="1"/>
  <c r="AJ402" i="1"/>
  <c r="AL404" i="1"/>
  <c r="AJ404" i="1"/>
  <c r="AL406" i="1"/>
  <c r="AJ406" i="1"/>
  <c r="AL408" i="1"/>
  <c r="AJ408" i="1"/>
  <c r="AL410" i="1"/>
  <c r="AJ410" i="1"/>
  <c r="AL413" i="1"/>
  <c r="AJ413" i="1"/>
  <c r="AL415" i="1"/>
  <c r="AJ415" i="1"/>
  <c r="AJ418" i="1"/>
  <c r="AJ426" i="1"/>
  <c r="AJ428" i="1"/>
  <c r="AJ420" i="1"/>
  <c r="AJ422" i="1"/>
  <c r="AL349" i="1"/>
  <c r="AJ349" i="1"/>
  <c r="AL351" i="1"/>
  <c r="AJ351" i="1"/>
  <c r="AL353" i="1"/>
  <c r="AJ353" i="1"/>
  <c r="AK383" i="1"/>
  <c r="AJ383" i="1"/>
  <c r="AK385" i="1"/>
  <c r="AJ385" i="1"/>
  <c r="AK387" i="1"/>
  <c r="AJ387" i="1"/>
  <c r="AL389" i="1"/>
  <c r="AJ389" i="1"/>
  <c r="AK391" i="1"/>
  <c r="AJ391" i="1"/>
  <c r="AK393" i="1"/>
  <c r="AJ393" i="1"/>
  <c r="AK395" i="1"/>
  <c r="AJ395" i="1"/>
  <c r="AK397" i="1"/>
  <c r="AJ397" i="1"/>
  <c r="AK399" i="1"/>
  <c r="AJ399" i="1"/>
  <c r="AK401" i="1"/>
  <c r="AJ401" i="1"/>
  <c r="AK403" i="1"/>
  <c r="AJ403" i="1"/>
  <c r="AK405" i="1"/>
  <c r="AJ405" i="1"/>
  <c r="AK407" i="1"/>
  <c r="AJ407" i="1"/>
  <c r="AK409" i="1"/>
  <c r="AJ409" i="1"/>
  <c r="AL411" i="1"/>
  <c r="AJ411" i="1"/>
  <c r="AJ412" i="1"/>
  <c r="AJ414" i="1"/>
  <c r="AJ416" i="1"/>
  <c r="AJ425" i="1"/>
  <c r="AJ427" i="1"/>
  <c r="AJ419" i="1"/>
  <c r="AJ421" i="1"/>
  <c r="AJ423" i="1"/>
  <c r="AK340" i="1"/>
  <c r="AL340" i="1"/>
  <c r="AL378" i="1"/>
  <c r="AJ378" i="1"/>
  <c r="AL380" i="1"/>
  <c r="AJ380" i="1"/>
  <c r="AL379" i="1"/>
  <c r="AJ379" i="1"/>
  <c r="AL381" i="1"/>
  <c r="AJ381" i="1"/>
  <c r="AK413" i="1"/>
  <c r="AH20" i="1"/>
  <c r="AH19" i="1"/>
  <c r="AH17" i="1"/>
  <c r="V17" i="1"/>
  <c r="W17" i="1"/>
  <c r="V18" i="1"/>
  <c r="W18" i="1"/>
  <c r="V19" i="1"/>
  <c r="W19" i="1"/>
  <c r="V20" i="1"/>
  <c r="W20" i="1"/>
  <c r="AC20" i="1" l="1"/>
  <c r="AI20" i="1" s="1"/>
  <c r="AC19" i="1"/>
  <c r="AI19" i="1" s="1"/>
  <c r="AC18" i="1"/>
  <c r="AC17" i="1"/>
  <c r="AI17" i="1" s="1"/>
  <c r="AK350" i="1"/>
  <c r="AK398" i="1"/>
  <c r="AK406" i="1"/>
  <c r="AL388" i="1"/>
  <c r="AL403" i="1"/>
  <c r="AK410" i="1"/>
  <c r="AK402" i="1"/>
  <c r="AK394" i="1"/>
  <c r="AL384" i="1"/>
  <c r="AL383" i="1"/>
  <c r="AK411" i="1"/>
  <c r="AL395" i="1"/>
  <c r="AK352" i="1"/>
  <c r="AK348" i="1"/>
  <c r="AK408" i="1"/>
  <c r="AK404" i="1"/>
  <c r="AK400" i="1"/>
  <c r="AK396" i="1"/>
  <c r="AK392" i="1"/>
  <c r="AL386" i="1"/>
  <c r="AL382" i="1"/>
  <c r="AK378" i="1"/>
  <c r="AL407" i="1"/>
  <c r="AL399" i="1"/>
  <c r="AL387" i="1"/>
  <c r="AK351" i="1"/>
  <c r="AL409" i="1"/>
  <c r="AL405" i="1"/>
  <c r="AL401" i="1"/>
  <c r="AL397" i="1"/>
  <c r="AL391" i="1"/>
  <c r="AL385" i="1"/>
  <c r="AK353" i="1"/>
  <c r="AK349" i="1"/>
  <c r="AJ18" i="1"/>
  <c r="AK389" i="1"/>
  <c r="AL390" i="1"/>
  <c r="AK415" i="1"/>
  <c r="AL393" i="1"/>
  <c r="AK379" i="1"/>
  <c r="AK380" i="1"/>
  <c r="AK381" i="1"/>
  <c r="AL423" i="1"/>
  <c r="AK423" i="1"/>
  <c r="AL421" i="1"/>
  <c r="AK421" i="1"/>
  <c r="AL419" i="1"/>
  <c r="AK419" i="1"/>
  <c r="AL427" i="1"/>
  <c r="AK427" i="1"/>
  <c r="AL425" i="1"/>
  <c r="AK425" i="1"/>
  <c r="AL416" i="1"/>
  <c r="AK416" i="1"/>
  <c r="AL414" i="1"/>
  <c r="AK414" i="1"/>
  <c r="AL412" i="1"/>
  <c r="AK412" i="1"/>
  <c r="AL422" i="1"/>
  <c r="AK422" i="1"/>
  <c r="AL420" i="1"/>
  <c r="AK420" i="1"/>
  <c r="AL428" i="1"/>
  <c r="AK428" i="1"/>
  <c r="AL426" i="1"/>
  <c r="AK426" i="1"/>
  <c r="AL418" i="1"/>
  <c r="AK418" i="1"/>
  <c r="AH239" i="1"/>
  <c r="AH238" i="1"/>
  <c r="AH237" i="1"/>
  <c r="AH236" i="1"/>
  <c r="AH234" i="1"/>
  <c r="AH233" i="1"/>
  <c r="AH232" i="1"/>
  <c r="AH231" i="1"/>
  <c r="AH227" i="1"/>
  <c r="AH226" i="1"/>
  <c r="V231" i="1"/>
  <c r="W231" i="1"/>
  <c r="V232" i="1"/>
  <c r="W232" i="1"/>
  <c r="V233" i="1"/>
  <c r="W233" i="1"/>
  <c r="V234" i="1"/>
  <c r="W234" i="1"/>
  <c r="V235" i="1"/>
  <c r="W235" i="1"/>
  <c r="V236" i="1"/>
  <c r="W236" i="1"/>
  <c r="V237" i="1"/>
  <c r="W237" i="1"/>
  <c r="V238" i="1"/>
  <c r="W238" i="1"/>
  <c r="V239" i="1"/>
  <c r="W239" i="1"/>
  <c r="V224" i="1"/>
  <c r="W224" i="1"/>
  <c r="V225" i="1"/>
  <c r="W225" i="1"/>
  <c r="V226" i="1"/>
  <c r="W226" i="1"/>
  <c r="AH225" i="1"/>
  <c r="AH224" i="1"/>
  <c r="V229" i="1"/>
  <c r="W229" i="1"/>
  <c r="V230" i="1"/>
  <c r="W230" i="1"/>
  <c r="W227" i="1"/>
  <c r="V227" i="1"/>
  <c r="W222" i="1"/>
  <c r="V222" i="1"/>
  <c r="AC230" i="1" l="1"/>
  <c r="AI230" i="1" s="1"/>
  <c r="AC229" i="1"/>
  <c r="AI229" i="1" s="1"/>
  <c r="AC226" i="1"/>
  <c r="AI226" i="1" s="1"/>
  <c r="AC225" i="1"/>
  <c r="AI225" i="1" s="1"/>
  <c r="AC224" i="1"/>
  <c r="AI224" i="1" s="1"/>
  <c r="AC239" i="1"/>
  <c r="AI239" i="1" s="1"/>
  <c r="AC238" i="1"/>
  <c r="AI238" i="1" s="1"/>
  <c r="AC237" i="1"/>
  <c r="AI237" i="1" s="1"/>
  <c r="AC236" i="1"/>
  <c r="AI236" i="1" s="1"/>
  <c r="AC235" i="1"/>
  <c r="AI235" i="1" s="1"/>
  <c r="AC234" i="1"/>
  <c r="AI234" i="1" s="1"/>
  <c r="AC233" i="1"/>
  <c r="AI233" i="1" s="1"/>
  <c r="AC232" i="1"/>
  <c r="AI232" i="1" s="1"/>
  <c r="AC231" i="1"/>
  <c r="AI231" i="1" s="1"/>
  <c r="AC222" i="1"/>
  <c r="AI222" i="1" s="1"/>
  <c r="AC227" i="1"/>
  <c r="AI227" i="1" s="1"/>
  <c r="AL17" i="1"/>
  <c r="AJ17" i="1"/>
  <c r="AK20" i="1"/>
  <c r="AJ20" i="1"/>
  <c r="AJ19" i="1"/>
  <c r="AK17" i="1"/>
  <c r="AH313" i="1"/>
  <c r="AH312" i="1"/>
  <c r="AH311" i="1"/>
  <c r="AH310" i="1"/>
  <c r="AI310" i="1" s="1"/>
  <c r="V311" i="1"/>
  <c r="W311" i="1"/>
  <c r="V312" i="1"/>
  <c r="W312" i="1"/>
  <c r="V313" i="1"/>
  <c r="W313" i="1"/>
  <c r="AH317" i="1"/>
  <c r="AH318" i="1"/>
  <c r="AH316" i="1"/>
  <c r="AH315" i="1"/>
  <c r="V315" i="1"/>
  <c r="W315" i="1"/>
  <c r="V316" i="1"/>
  <c r="W316" i="1"/>
  <c r="V317" i="1"/>
  <c r="W317" i="1"/>
  <c r="V318" i="1"/>
  <c r="W318" i="1"/>
  <c r="AC318" i="1" l="1"/>
  <c r="AI318" i="1" s="1"/>
  <c r="AC317" i="1"/>
  <c r="AI317" i="1" s="1"/>
  <c r="AC316" i="1"/>
  <c r="AI316" i="1" s="1"/>
  <c r="AC315" i="1"/>
  <c r="AI315" i="1" s="1"/>
  <c r="AC313" i="1"/>
  <c r="AI313" i="1" s="1"/>
  <c r="AC312" i="1"/>
  <c r="AI312" i="1" s="1"/>
  <c r="AC311" i="1"/>
  <c r="AI311" i="1" s="1"/>
  <c r="AL20" i="1"/>
  <c r="AK225" i="1"/>
  <c r="AJ225" i="1"/>
  <c r="AK230" i="1"/>
  <c r="AJ230" i="1"/>
  <c r="AK234" i="1"/>
  <c r="AJ234" i="1"/>
  <c r="AL235" i="1"/>
  <c r="AJ235" i="1"/>
  <c r="AJ237" i="1"/>
  <c r="AL239" i="1"/>
  <c r="AJ239" i="1"/>
  <c r="AJ222" i="1"/>
  <c r="AK231" i="1"/>
  <c r="AJ231" i="1"/>
  <c r="AL224" i="1"/>
  <c r="AJ224" i="1"/>
  <c r="AK226" i="1"/>
  <c r="AJ226" i="1"/>
  <c r="AJ232" i="1"/>
  <c r="AK301" i="1"/>
  <c r="AJ301" i="1"/>
  <c r="AK236" i="1"/>
  <c r="AJ236" i="1"/>
  <c r="AL238" i="1"/>
  <c r="AJ238" i="1"/>
  <c r="AK229" i="1"/>
  <c r="AJ229" i="1"/>
  <c r="AJ233" i="1"/>
  <c r="AL299" i="1"/>
  <c r="AJ299" i="1"/>
  <c r="AJ300" i="1"/>
  <c r="AK19" i="1"/>
  <c r="AL19" i="1"/>
  <c r="AL234" i="1"/>
  <c r="AH216" i="1"/>
  <c r="AH215" i="1"/>
  <c r="AH214" i="1"/>
  <c r="AH213" i="1"/>
  <c r="AH210" i="1"/>
  <c r="AH209" i="1"/>
  <c r="AH208" i="1"/>
  <c r="AH207" i="1"/>
  <c r="AH204" i="1"/>
  <c r="AH203" i="1"/>
  <c r="AH202" i="1"/>
  <c r="AH201" i="1"/>
  <c r="V205" i="1"/>
  <c r="W205" i="1"/>
  <c r="V206" i="1"/>
  <c r="W206" i="1"/>
  <c r="V207" i="1"/>
  <c r="W207" i="1"/>
  <c r="V208" i="1"/>
  <c r="W208" i="1"/>
  <c r="V209" i="1"/>
  <c r="W209" i="1"/>
  <c r="V210" i="1"/>
  <c r="W210" i="1"/>
  <c r="V211" i="1"/>
  <c r="W211" i="1"/>
  <c r="V212" i="1"/>
  <c r="W212" i="1"/>
  <c r="V213" i="1"/>
  <c r="W213" i="1"/>
  <c r="V214" i="1"/>
  <c r="W214" i="1"/>
  <c r="V201" i="1"/>
  <c r="W201" i="1"/>
  <c r="V202" i="1"/>
  <c r="W202" i="1"/>
  <c r="V203" i="1"/>
  <c r="W203" i="1"/>
  <c r="V204" i="1"/>
  <c r="W204" i="1"/>
  <c r="V200" i="1"/>
  <c r="W200" i="1"/>
  <c r="V215" i="1"/>
  <c r="W215" i="1"/>
  <c r="V216" i="1"/>
  <c r="W216" i="1"/>
  <c r="V217" i="1"/>
  <c r="W217" i="1"/>
  <c r="V218" i="1"/>
  <c r="W218" i="1"/>
  <c r="V219" i="1"/>
  <c r="W219" i="1"/>
  <c r="AC215" i="1" l="1"/>
  <c r="AI215" i="1" s="1"/>
  <c r="AC200" i="1"/>
  <c r="AI200" i="1" s="1"/>
  <c r="AC204" i="1"/>
  <c r="AI204" i="1" s="1"/>
  <c r="AC203" i="1"/>
  <c r="AI203" i="1" s="1"/>
  <c r="AC202" i="1"/>
  <c r="AI202" i="1" s="1"/>
  <c r="AC201" i="1"/>
  <c r="AI201" i="1" s="1"/>
  <c r="AC214" i="1"/>
  <c r="AI214" i="1" s="1"/>
  <c r="AC213" i="1"/>
  <c r="AI213" i="1" s="1"/>
  <c r="AC212" i="1"/>
  <c r="AI212" i="1" s="1"/>
  <c r="AC219" i="1"/>
  <c r="AI219" i="1" s="1"/>
  <c r="AC218" i="1"/>
  <c r="AI218" i="1" s="1"/>
  <c r="AC217" i="1"/>
  <c r="AI217" i="1" s="1"/>
  <c r="AC216" i="1"/>
  <c r="AI216" i="1" s="1"/>
  <c r="AC211" i="1"/>
  <c r="AI211" i="1" s="1"/>
  <c r="AC210" i="1"/>
  <c r="AI210" i="1" s="1"/>
  <c r="AC209" i="1"/>
  <c r="AI209" i="1" s="1"/>
  <c r="AC208" i="1"/>
  <c r="AI208" i="1" s="1"/>
  <c r="AC207" i="1"/>
  <c r="AI207" i="1" s="1"/>
  <c r="AC206" i="1"/>
  <c r="AI206" i="1" s="1"/>
  <c r="AC205" i="1"/>
  <c r="AI205" i="1" s="1"/>
  <c r="AK238" i="1"/>
  <c r="AL230" i="1"/>
  <c r="AK224" i="1"/>
  <c r="AL225" i="1"/>
  <c r="AK235" i="1"/>
  <c r="AK239" i="1"/>
  <c r="AL231" i="1"/>
  <c r="AL226" i="1"/>
  <c r="AL301" i="1"/>
  <c r="AL236" i="1"/>
  <c r="AK299" i="1"/>
  <c r="AL229" i="1"/>
  <c r="AL316" i="1"/>
  <c r="AJ316" i="1"/>
  <c r="AL310" i="1"/>
  <c r="AJ310" i="1"/>
  <c r="AL312" i="1"/>
  <c r="AJ312" i="1"/>
  <c r="AL315" i="1"/>
  <c r="AJ315" i="1"/>
  <c r="AL317" i="1"/>
  <c r="AJ317" i="1"/>
  <c r="AL311" i="1"/>
  <c r="AJ311" i="1"/>
  <c r="AL313" i="1"/>
  <c r="AJ313" i="1"/>
  <c r="AK300" i="1"/>
  <c r="AL300" i="1"/>
  <c r="AL233" i="1"/>
  <c r="AK233" i="1"/>
  <c r="AL232" i="1"/>
  <c r="AK232" i="1"/>
  <c r="AL222" i="1"/>
  <c r="AK222" i="1"/>
  <c r="AK237" i="1"/>
  <c r="AL237" i="1"/>
  <c r="AK313" i="1"/>
  <c r="V338" i="1"/>
  <c r="W338" i="1"/>
  <c r="V341" i="1"/>
  <c r="W341" i="1"/>
  <c r="V342" i="1"/>
  <c r="W342" i="1"/>
  <c r="V343" i="1"/>
  <c r="W343" i="1"/>
  <c r="V344" i="1"/>
  <c r="W344" i="1"/>
  <c r="V345" i="1"/>
  <c r="W345" i="1"/>
  <c r="V346" i="1"/>
  <c r="W346" i="1"/>
  <c r="V347" i="1"/>
  <c r="W347" i="1"/>
  <c r="AH335" i="1"/>
  <c r="AH334" i="1"/>
  <c r="AH333" i="1"/>
  <c r="AH332" i="1"/>
  <c r="AH329" i="1"/>
  <c r="AH328" i="1"/>
  <c r="AH327" i="1"/>
  <c r="AH326" i="1"/>
  <c r="AC347" i="1" l="1"/>
  <c r="AI347" i="1" s="1"/>
  <c r="AC346" i="1"/>
  <c r="AI346" i="1" s="1"/>
  <c r="AC345" i="1"/>
  <c r="AI345" i="1" s="1"/>
  <c r="AC344" i="1"/>
  <c r="AI344" i="1" s="1"/>
  <c r="AC343" i="1"/>
  <c r="AI343" i="1" s="1"/>
  <c r="AC342" i="1"/>
  <c r="AC341" i="1"/>
  <c r="AI341" i="1" s="1"/>
  <c r="AC338" i="1"/>
  <c r="AI338" i="1" s="1"/>
  <c r="AK316" i="1"/>
  <c r="AK317" i="1"/>
  <c r="AK311" i="1"/>
  <c r="AK315" i="1"/>
  <c r="AK310" i="1"/>
  <c r="AK312" i="1"/>
  <c r="AK200" i="1"/>
  <c r="AJ200" i="1"/>
  <c r="AK215" i="1"/>
  <c r="AJ215" i="1"/>
  <c r="AJ213" i="1"/>
  <c r="AK217" i="1"/>
  <c r="AJ217" i="1"/>
  <c r="AK219" i="1"/>
  <c r="AJ219" i="1"/>
  <c r="AK203" i="1"/>
  <c r="AJ203" i="1"/>
  <c r="AK206" i="1"/>
  <c r="AJ206" i="1"/>
  <c r="AK209" i="1"/>
  <c r="AJ209" i="1"/>
  <c r="AK205" i="1"/>
  <c r="AJ205" i="1"/>
  <c r="AK202" i="1"/>
  <c r="AJ202" i="1"/>
  <c r="AK207" i="1"/>
  <c r="AJ207" i="1"/>
  <c r="AL216" i="1"/>
  <c r="AJ216" i="1"/>
  <c r="AK212" i="1"/>
  <c r="AJ212" i="1"/>
  <c r="AK214" i="1"/>
  <c r="AJ214" i="1"/>
  <c r="AL218" i="1"/>
  <c r="AJ218" i="1"/>
  <c r="AK201" i="1"/>
  <c r="AJ201" i="1"/>
  <c r="AK204" i="1"/>
  <c r="AJ204" i="1"/>
  <c r="AK210" i="1"/>
  <c r="AJ210" i="1"/>
  <c r="AJ208" i="1"/>
  <c r="AJ211" i="1"/>
  <c r="AL205" i="1"/>
  <c r="AH323" i="1"/>
  <c r="AH322" i="1"/>
  <c r="AH321" i="1"/>
  <c r="AH320" i="1"/>
  <c r="V319" i="1"/>
  <c r="V320" i="1"/>
  <c r="V321" i="1"/>
  <c r="V322" i="1"/>
  <c r="V323" i="1"/>
  <c r="V324" i="1"/>
  <c r="V325" i="1"/>
  <c r="V326" i="1"/>
  <c r="V327" i="1"/>
  <c r="V328" i="1"/>
  <c r="V329" i="1"/>
  <c r="AI342" i="1" l="1"/>
  <c r="AK342" i="1" s="1"/>
  <c r="AJ342" i="1"/>
  <c r="AK216" i="1"/>
  <c r="AK218" i="1"/>
  <c r="AL200" i="1"/>
  <c r="AL206" i="1"/>
  <c r="AL219" i="1"/>
  <c r="AL202" i="1"/>
  <c r="AL215" i="1"/>
  <c r="AL203" i="1"/>
  <c r="AL209" i="1"/>
  <c r="AL217" i="1"/>
  <c r="AL207" i="1"/>
  <c r="AL214" i="1"/>
  <c r="AL212" i="1"/>
  <c r="AL204" i="1"/>
  <c r="AL210" i="1"/>
  <c r="AL201" i="1"/>
  <c r="AL345" i="1"/>
  <c r="AJ345" i="1"/>
  <c r="AK344" i="1"/>
  <c r="AJ344" i="1"/>
  <c r="AJ346" i="1"/>
  <c r="AK341" i="1"/>
  <c r="AJ341" i="1"/>
  <c r="AL343" i="1"/>
  <c r="AJ343" i="1"/>
  <c r="AJ347" i="1"/>
  <c r="AJ338" i="1"/>
  <c r="AL211" i="1"/>
  <c r="AK211" i="1"/>
  <c r="AK208" i="1"/>
  <c r="AL208" i="1"/>
  <c r="AK213" i="1"/>
  <c r="AL213" i="1"/>
  <c r="AL341" i="1"/>
  <c r="AH308" i="1"/>
  <c r="AI308" i="1" s="1"/>
  <c r="AH307" i="1"/>
  <c r="AI307" i="1" s="1"/>
  <c r="AH306" i="1"/>
  <c r="AI306" i="1" s="1"/>
  <c r="AH305" i="1"/>
  <c r="AI305" i="1" s="1"/>
  <c r="AL342" i="1" l="1"/>
  <c r="AL344" i="1"/>
  <c r="AK345" i="1"/>
  <c r="AK343" i="1"/>
  <c r="AK338" i="1"/>
  <c r="AL338" i="1"/>
  <c r="AL347" i="1"/>
  <c r="AK347" i="1"/>
  <c r="AK346" i="1"/>
  <c r="AL346" i="1"/>
  <c r="AH9" i="1"/>
  <c r="V9" i="1"/>
  <c r="W9" i="1"/>
  <c r="AH8" i="1"/>
  <c r="AH10" i="1"/>
  <c r="V8" i="1"/>
  <c r="W8" i="1"/>
  <c r="AC8" i="1" l="1"/>
  <c r="AI8" i="1" s="1"/>
  <c r="AC9" i="1"/>
  <c r="AI9" i="1" s="1"/>
  <c r="AK305" i="1"/>
  <c r="AJ305" i="1"/>
  <c r="AL308" i="1"/>
  <c r="AJ308" i="1"/>
  <c r="AJ306" i="1"/>
  <c r="AJ307" i="1"/>
  <c r="AK308" i="1"/>
  <c r="V223" i="1"/>
  <c r="W223" i="1"/>
  <c r="V314" i="1"/>
  <c r="W314" i="1"/>
  <c r="AC314" i="1" l="1"/>
  <c r="AI314" i="1" s="1"/>
  <c r="AC223" i="1"/>
  <c r="AI223" i="1" s="1"/>
  <c r="AJ314" i="1"/>
  <c r="AL305" i="1"/>
  <c r="AK8" i="1"/>
  <c r="AJ8" i="1"/>
  <c r="AK227" i="1"/>
  <c r="AJ227" i="1"/>
  <c r="AL9" i="1"/>
  <c r="AJ9" i="1"/>
  <c r="AL307" i="1"/>
  <c r="AK307" i="1"/>
  <c r="AK306" i="1"/>
  <c r="AL306" i="1"/>
  <c r="AH6" i="1"/>
  <c r="V6" i="1"/>
  <c r="W6" i="1"/>
  <c r="AH16" i="1"/>
  <c r="AH22" i="1"/>
  <c r="AH21" i="1"/>
  <c r="AH18" i="1"/>
  <c r="AI18" i="1" s="1"/>
  <c r="AH15" i="1"/>
  <c r="W15" i="1"/>
  <c r="W16" i="1"/>
  <c r="W21" i="1"/>
  <c r="W22" i="1"/>
  <c r="V15" i="1"/>
  <c r="AC15" i="1" s="1"/>
  <c r="V16" i="1"/>
  <c r="AC16" i="1" s="1"/>
  <c r="AI16" i="1" s="1"/>
  <c r="V21" i="1"/>
  <c r="AC21" i="1" s="1"/>
  <c r="V22" i="1"/>
  <c r="AC22" i="1" s="1"/>
  <c r="AI22" i="1" s="1"/>
  <c r="AI21" i="1" l="1"/>
  <c r="AI15" i="1"/>
  <c r="AC6" i="1"/>
  <c r="AI6" i="1" s="1"/>
  <c r="AL314" i="1"/>
  <c r="AK9" i="1"/>
  <c r="AL227" i="1"/>
  <c r="AL8" i="1"/>
  <c r="AL304" i="1"/>
  <c r="AJ304" i="1"/>
  <c r="AK223" i="1"/>
  <c r="AJ223" i="1"/>
  <c r="AK309" i="1"/>
  <c r="AJ309" i="1"/>
  <c r="AJ302" i="1"/>
  <c r="AJ303" i="1"/>
  <c r="AK314" i="1"/>
  <c r="AK18" i="1"/>
  <c r="AL18" i="1"/>
  <c r="W321" i="1"/>
  <c r="AC321" i="1" s="1"/>
  <c r="AI321" i="1" s="1"/>
  <c r="W322" i="1"/>
  <c r="AC322" i="1" s="1"/>
  <c r="AI322" i="1" s="1"/>
  <c r="W323" i="1"/>
  <c r="AC323" i="1" s="1"/>
  <c r="AI323" i="1" s="1"/>
  <c r="W324" i="1"/>
  <c r="AC324" i="1" s="1"/>
  <c r="AI324" i="1" s="1"/>
  <c r="W325" i="1"/>
  <c r="AC325" i="1" s="1"/>
  <c r="AI325" i="1" s="1"/>
  <c r="W326" i="1"/>
  <c r="AC326" i="1" s="1"/>
  <c r="AI326" i="1" s="1"/>
  <c r="W327" i="1"/>
  <c r="AC327" i="1" s="1"/>
  <c r="AI327" i="1" s="1"/>
  <c r="W328" i="1"/>
  <c r="AC328" i="1" s="1"/>
  <c r="AI328" i="1" s="1"/>
  <c r="W329" i="1"/>
  <c r="AC329" i="1" s="1"/>
  <c r="AI329" i="1" s="1"/>
  <c r="V330" i="1"/>
  <c r="W330" i="1"/>
  <c r="V331" i="1"/>
  <c r="W331" i="1"/>
  <c r="V332" i="1"/>
  <c r="W332" i="1"/>
  <c r="V333" i="1"/>
  <c r="W333" i="1"/>
  <c r="V334" i="1"/>
  <c r="W334" i="1"/>
  <c r="V335" i="1"/>
  <c r="W335" i="1"/>
  <c r="V336" i="1"/>
  <c r="W336" i="1"/>
  <c r="V337" i="1"/>
  <c r="W337" i="1"/>
  <c r="AC337" i="1" l="1"/>
  <c r="AI337" i="1" s="1"/>
  <c r="AC336" i="1"/>
  <c r="AI336" i="1" s="1"/>
  <c r="AC335" i="1"/>
  <c r="AI335" i="1" s="1"/>
  <c r="AC334" i="1"/>
  <c r="AI334" i="1" s="1"/>
  <c r="AC333" i="1"/>
  <c r="AI333" i="1" s="1"/>
  <c r="AC332" i="1"/>
  <c r="AI332" i="1" s="1"/>
  <c r="AC331" i="1"/>
  <c r="AI331" i="1" s="1"/>
  <c r="AC330" i="1"/>
  <c r="AI330" i="1" s="1"/>
  <c r="AL309" i="1"/>
  <c r="AK304" i="1"/>
  <c r="AL223" i="1"/>
  <c r="AK329" i="1"/>
  <c r="AJ329" i="1"/>
  <c r="AK323" i="1"/>
  <c r="AJ323" i="1"/>
  <c r="AL6" i="1"/>
  <c r="AJ6" i="1"/>
  <c r="AL328" i="1"/>
  <c r="AJ328" i="1"/>
  <c r="AL326" i="1"/>
  <c r="AJ326" i="1"/>
  <c r="AL324" i="1"/>
  <c r="AJ324" i="1"/>
  <c r="AK16" i="1"/>
  <c r="AJ16" i="1"/>
  <c r="AL15" i="1"/>
  <c r="AJ15" i="1"/>
  <c r="AK22" i="1"/>
  <c r="AJ22" i="1"/>
  <c r="AK21" i="1"/>
  <c r="AJ21" i="1"/>
  <c r="AK303" i="1"/>
  <c r="AL303" i="1"/>
  <c r="AK302" i="1"/>
  <c r="AL302" i="1"/>
  <c r="AK15" i="1"/>
  <c r="AH11" i="1"/>
  <c r="AH7" i="1"/>
  <c r="AH4" i="1"/>
  <c r="W4" i="1"/>
  <c r="V4" i="1"/>
  <c r="AC4" i="1" l="1"/>
  <c r="AI4" i="1" s="1"/>
  <c r="AK326" i="1"/>
  <c r="AL323" i="1"/>
  <c r="AK328" i="1"/>
  <c r="AL329" i="1"/>
  <c r="AL22" i="1"/>
  <c r="AK324" i="1"/>
  <c r="AL21" i="1"/>
  <c r="AL16" i="1"/>
  <c r="AK6" i="1"/>
  <c r="AL325" i="1"/>
  <c r="AJ325" i="1"/>
  <c r="AL331" i="1"/>
  <c r="AJ331" i="1"/>
  <c r="AK334" i="1"/>
  <c r="AJ334" i="1"/>
  <c r="AL337" i="1"/>
  <c r="AJ337" i="1"/>
  <c r="AJ336" i="1"/>
  <c r="AL322" i="1"/>
  <c r="AJ322" i="1"/>
  <c r="AL321" i="1"/>
  <c r="AJ321" i="1"/>
  <c r="AL327" i="1"/>
  <c r="AJ327" i="1"/>
  <c r="AK333" i="1"/>
  <c r="AJ333" i="1"/>
  <c r="AL335" i="1"/>
  <c r="AJ335" i="1"/>
  <c r="AL332" i="1"/>
  <c r="AJ332" i="1"/>
  <c r="AJ330" i="1"/>
  <c r="AK331" i="1"/>
  <c r="AH5" i="1"/>
  <c r="V14" i="1"/>
  <c r="W14" i="1"/>
  <c r="V5" i="1"/>
  <c r="W5" i="1"/>
  <c r="V7" i="1"/>
  <c r="W7" i="1"/>
  <c r="V10" i="1"/>
  <c r="W10" i="1"/>
  <c r="V11" i="1"/>
  <c r="W11" i="1"/>
  <c r="V12" i="1"/>
  <c r="W12" i="1"/>
  <c r="V13" i="1"/>
  <c r="W13" i="1"/>
  <c r="V220" i="1"/>
  <c r="W220" i="1"/>
  <c r="V221" i="1"/>
  <c r="W221" i="1"/>
  <c r="W319" i="1"/>
  <c r="AC319" i="1" s="1"/>
  <c r="AI319" i="1" s="1"/>
  <c r="W320" i="1"/>
  <c r="AC320" i="1" s="1"/>
  <c r="AI320" i="1" s="1"/>
  <c r="V3" i="1"/>
  <c r="W3" i="1"/>
  <c r="AC13" i="1" l="1"/>
  <c r="AI13" i="1" s="1"/>
  <c r="AC12" i="1"/>
  <c r="AI12" i="1" s="1"/>
  <c r="AC11" i="1"/>
  <c r="AI11" i="1" s="1"/>
  <c r="AC10" i="1"/>
  <c r="AI10" i="1" s="1"/>
  <c r="AC7" i="1"/>
  <c r="AI7" i="1" s="1"/>
  <c r="AC5" i="1"/>
  <c r="AI5" i="1" s="1"/>
  <c r="AC221" i="1"/>
  <c r="AI221" i="1" s="1"/>
  <c r="AC220" i="1"/>
  <c r="AI220" i="1" s="1"/>
  <c r="AC14" i="1"/>
  <c r="AI14" i="1" s="1"/>
  <c r="AL333" i="1"/>
  <c r="AL334" i="1"/>
  <c r="AK322" i="1"/>
  <c r="AK325" i="1"/>
  <c r="AK337" i="1"/>
  <c r="AK321" i="1"/>
  <c r="AK335" i="1"/>
  <c r="AK327" i="1"/>
  <c r="AK332" i="1"/>
  <c r="AL4" i="1"/>
  <c r="AJ4" i="1"/>
  <c r="AK330" i="1"/>
  <c r="AL330" i="1"/>
  <c r="AK336" i="1"/>
  <c r="AL336" i="1"/>
  <c r="AK4" i="1"/>
  <c r="AJ320" i="1"/>
  <c r="AJ319" i="1"/>
  <c r="AJ14" i="1" l="1"/>
  <c r="AJ221" i="1"/>
  <c r="AK3" i="1"/>
  <c r="AJ11" i="1"/>
  <c r="AJ7" i="1"/>
  <c r="AJ13" i="1"/>
  <c r="AJ5" i="1"/>
  <c r="AJ10" i="1"/>
  <c r="AJ12" i="1"/>
  <c r="AL220" i="1"/>
  <c r="AJ220" i="1"/>
  <c r="AK318" i="1"/>
  <c r="AJ318" i="1"/>
  <c r="AK220" i="1"/>
  <c r="AL14" i="1"/>
  <c r="AL11" i="1"/>
  <c r="AL13" i="1"/>
  <c r="AK221" i="1"/>
  <c r="AL319" i="1"/>
  <c r="AK5" i="1"/>
  <c r="AK12" i="1"/>
  <c r="AL320" i="1"/>
  <c r="AK10" i="1"/>
  <c r="AK7" i="1"/>
  <c r="AL3" i="1" l="1"/>
  <c r="AL318" i="1"/>
  <c r="AL10" i="1"/>
  <c r="AL5" i="1"/>
  <c r="AL221" i="1"/>
  <c r="AL12" i="1"/>
  <c r="AK320" i="1"/>
  <c r="AK319" i="1"/>
  <c r="AK13" i="1"/>
  <c r="AK11" i="1"/>
  <c r="AK14" i="1"/>
  <c r="AL7" i="1"/>
</calcChain>
</file>

<file path=xl/comments1.xml><?xml version="1.0" encoding="utf-8"?>
<comments xmlns="http://schemas.openxmlformats.org/spreadsheetml/2006/main">
  <authors>
    <author>Пользователь</author>
  </authors>
  <commentList>
    <comment ref="L2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от 3% до 50% от стоимости — для бытовой техники, компьютеров и ноутбуков, смартфонов и планшетов, аудиотехники и аксессуаров к аудио- и видеотехнике;
от 5% до 50% от стоимости — для всех остальных категорий.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Ставка от 7% до 50%, шаг 0.1%, минимальное списание 5 руб.</t>
        </r>
      </text>
    </comment>
    <comment ref="AH3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Идеал, скидка 10%</t>
        </r>
      </text>
    </comment>
    <comment ref="AH14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Идеал, скидка 10%</t>
        </r>
      </text>
    </comment>
    <comment ref="AH24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Идеал, скидка 10%</t>
        </r>
      </text>
    </comment>
    <comment ref="AH34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Идеал, скидка 10%</t>
        </r>
      </text>
    </comment>
    <comment ref="AH164" authorId="0" shape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Идеал, скидка 10%</t>
        </r>
      </text>
    </comment>
    <comment ref="AH176" authorId="0" shape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Идеал, скидка 10%</t>
        </r>
      </text>
    </comment>
    <comment ref="AH188" authorId="0" shape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Идеал, скидка 10%</t>
        </r>
      </text>
    </comment>
    <comment ref="AH200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Старпак
</t>
        </r>
      </text>
    </comment>
    <comment ref="AH206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Старпак</t>
        </r>
      </text>
    </comment>
    <comment ref="AH212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Старпак</t>
        </r>
      </text>
    </comment>
    <comment ref="AH242" authorId="0" shape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Старпак</t>
        </r>
      </text>
    </comment>
    <comment ref="AH331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Старпак</t>
        </r>
      </text>
    </comment>
    <comment ref="AH337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Старпак</t>
        </r>
      </text>
    </comment>
    <comment ref="AH343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Старпак</t>
        </r>
      </text>
    </comment>
    <comment ref="AH349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Старпак</t>
        </r>
      </text>
    </comment>
    <comment ref="AH355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Идеал, скидка 10%</t>
        </r>
      </text>
    </comment>
    <comment ref="AH361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Старпак
</t>
        </r>
      </text>
    </comment>
    <comment ref="AH375" authorId="0" shape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Идеал, скидка 10%</t>
        </r>
      </text>
    </comment>
    <comment ref="AH377" authorId="0" shape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7 цветов</t>
        </r>
      </text>
    </comment>
    <comment ref="AH383" authorId="0" shape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Идеал, скидка 10%</t>
        </r>
      </text>
    </comment>
    <comment ref="AH389" authorId="0" shape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Старпак</t>
        </r>
      </text>
    </comment>
  </commentList>
</comments>
</file>

<file path=xl/sharedStrings.xml><?xml version="1.0" encoding="utf-8"?>
<sst xmlns="http://schemas.openxmlformats.org/spreadsheetml/2006/main" count="1855" uniqueCount="568">
  <si>
    <t>Артикул</t>
  </si>
  <si>
    <t>Название</t>
  </si>
  <si>
    <t>Вес, кг</t>
  </si>
  <si>
    <t>Объемный вес, кг</t>
  </si>
  <si>
    <t>Цена, руб.</t>
  </si>
  <si>
    <t>Закупочная цена, руб.</t>
  </si>
  <si>
    <t>Маржа, руб.</t>
  </si>
  <si>
    <t>Итого расходы OZON, руб.</t>
  </si>
  <si>
    <t>Кирпич OASIS Classic</t>
  </si>
  <si>
    <t>02-10</t>
  </si>
  <si>
    <t>Комиссия, руб.</t>
  </si>
  <si>
    <t>Эквайринг, руб.</t>
  </si>
  <si>
    <t>Прием FBS, руб.</t>
  </si>
  <si>
    <t>Комиссия %</t>
  </si>
  <si>
    <t>Рентабельность оборота, %</t>
  </si>
  <si>
    <t>Кирпич OASIS Ideal</t>
  </si>
  <si>
    <t>Кирпич OASIS Classic (3 шт)</t>
  </si>
  <si>
    <t>Кирпич OASIS Classic (2 шт)</t>
  </si>
  <si>
    <t>Кирпич OASIS Classic (5 шт)</t>
  </si>
  <si>
    <t>Кирпич OASIS Classic (10 шт)</t>
  </si>
  <si>
    <t>Кирпич OASIS Classic (35 шт)</t>
  </si>
  <si>
    <t>Конус OASIS 50х15см</t>
  </si>
  <si>
    <t>Кирпич OASIS Ideal (2 шт)</t>
  </si>
  <si>
    <t>Кирпич OASIS Ideal (3 шт)</t>
  </si>
  <si>
    <t>Кирпич OASIS Ideal (5 шт)</t>
  </si>
  <si>
    <t>Кирпич OASIS Ideal (10 шт)</t>
  </si>
  <si>
    <t>Кирпич OASIS Ideal (35 шт)</t>
  </si>
  <si>
    <t>Кирпич OASIS Classic (4 шт)</t>
  </si>
  <si>
    <t>01-81</t>
  </si>
  <si>
    <t>05-04-1</t>
  </si>
  <si>
    <t>Проволока-бульонка 0.3мм 75гр зеленая</t>
  </si>
  <si>
    <t>Кирпич OASIS Classic (6 шт)</t>
  </si>
  <si>
    <t>Кирпич OASIS Classic (8 шт)</t>
  </si>
  <si>
    <t>Лента ANCHOR 12мм*50м</t>
  </si>
  <si>
    <t>Лента ANCHOR 6мм*50м</t>
  </si>
  <si>
    <t>02-35</t>
  </si>
  <si>
    <t>02-36</t>
  </si>
  <si>
    <t>05-21</t>
  </si>
  <si>
    <t>Проволока-бульонка 0.3мм 75гр зеленая (2 шт)</t>
  </si>
  <si>
    <t>Проволока-бульонка 0.3мм 75гр зеленая (3 шт)</t>
  </si>
  <si>
    <t>Проволока-бульонка 0.3мм 75гр зеленая (4 шт)</t>
  </si>
  <si>
    <t>Проволока-бульонка 0.3мм 75гр зеленая (5 шт)</t>
  </si>
  <si>
    <t>Тейп-лента 13ммх27м</t>
  </si>
  <si>
    <t>Тейп-лента 13ммх27м (2 шт)</t>
  </si>
  <si>
    <t>Тейп-лента 13ммх27м (3 шт)</t>
  </si>
  <si>
    <t>Тейп-лента 13ммх27м (4 шт)</t>
  </si>
  <si>
    <t>Тейп-лента 13ммх27м (5 шт)</t>
  </si>
  <si>
    <t>Тейп-лента 13мм</t>
  </si>
  <si>
    <t>Тейп-лента 13мм (2 шт)</t>
  </si>
  <si>
    <t>Тейп-лента 13мм (3 шт)</t>
  </si>
  <si>
    <t>Тейп-лента 13мм (4 шт)</t>
  </si>
  <si>
    <t>Тейп-лента 13мм (5 шт)</t>
  </si>
  <si>
    <t>Тейп-лента OASIS 1.3см</t>
  </si>
  <si>
    <t>Тейп-лента OASIS 1.3см (2 шт)</t>
  </si>
  <si>
    <t>Тейп-лента OASIS 1.3см (3 шт)</t>
  </si>
  <si>
    <t>Тейп-лента OASIS 1.3см (4 шт)</t>
  </si>
  <si>
    <t>Тейп-лента OASIS 1.3см (5 шт)</t>
  </si>
  <si>
    <t>Проволока в бумажной оплетке 200м</t>
  </si>
  <si>
    <t>Настольный Mini</t>
  </si>
  <si>
    <t>Настольный Mini (2 шт)</t>
  </si>
  <si>
    <t>Настольный Mini (3 шт)</t>
  </si>
  <si>
    <t>Настольный Mini (4 шт)</t>
  </si>
  <si>
    <t>Настольный Mini (5 шт)</t>
  </si>
  <si>
    <t>Настольный Medi</t>
  </si>
  <si>
    <t>Настольный Medi (2 шт)</t>
  </si>
  <si>
    <t>Настольный Medi (3 шт)</t>
  </si>
  <si>
    <t>Настольный Medi (4 шт)</t>
  </si>
  <si>
    <t>Настольный Medi (5 шт)</t>
  </si>
  <si>
    <t>01-69</t>
  </si>
  <si>
    <t>01-69_2pc</t>
  </si>
  <si>
    <t>01-69_3pc</t>
  </si>
  <si>
    <t>01-69_4pc</t>
  </si>
  <si>
    <t>01-69_5pc</t>
  </si>
  <si>
    <t>04-73</t>
  </si>
  <si>
    <t>04-73_2pc</t>
  </si>
  <si>
    <t>04-73_3pc</t>
  </si>
  <si>
    <t>04-73_4pc</t>
  </si>
  <si>
    <t>04-73_5pc</t>
  </si>
  <si>
    <t>Настольный Maxi</t>
  </si>
  <si>
    <t>04-71</t>
  </si>
  <si>
    <t>04-71_2pc</t>
  </si>
  <si>
    <t>04-71_3pc</t>
  </si>
  <si>
    <t>04-71_4pc</t>
  </si>
  <si>
    <t>04-71_5pc</t>
  </si>
  <si>
    <t>Настольный Maxi (2 шт)</t>
  </si>
  <si>
    <t>Настольный Maxi (3 шт)</t>
  </si>
  <si>
    <t>Настольный Maxi (4 шт)</t>
  </si>
  <si>
    <t>Настольный Maxi (5 шт)</t>
  </si>
  <si>
    <t>02-36_2pc</t>
  </si>
  <si>
    <t>02-36_3pc</t>
  </si>
  <si>
    <t>02-36_4pc</t>
  </si>
  <si>
    <t>02-36_5pc</t>
  </si>
  <si>
    <t>Лента ANCHOR 6мм*50м (2 шт.)</t>
  </si>
  <si>
    <t>Лента ANCHOR 6мм*50м (3 шт.)</t>
  </si>
  <si>
    <t>Лента ANCHOR 6мм*50м (4 шт.)</t>
  </si>
  <si>
    <t>Лента ANCHOR 6мм*50м (5 шт.)</t>
  </si>
  <si>
    <t>02-35_2pc</t>
  </si>
  <si>
    <t>02-35_3pc</t>
  </si>
  <si>
    <t>02-35_4pc</t>
  </si>
  <si>
    <t>02-35_5pc</t>
  </si>
  <si>
    <t>Лента ANCHOR 12мм*50м (2 шт.)</t>
  </si>
  <si>
    <t>Лента ANCHOR 12мм*50м (3 шт.)</t>
  </si>
  <si>
    <t>Лента ANCHOR 12мм*50м (4 шт.)</t>
  </si>
  <si>
    <t>Лента ANCHOR 12мм*50м (5 шт.)</t>
  </si>
  <si>
    <t>Сердце OASIS с поддоном 12х14 см</t>
  </si>
  <si>
    <t>Сердце OASIS на стиропоре 31х29 см</t>
  </si>
  <si>
    <t>Сердце OASIS на стиропоре 24х25 см</t>
  </si>
  <si>
    <t>05-20</t>
  </si>
  <si>
    <t>01-82</t>
  </si>
  <si>
    <t>Сердце OASIS с поддоном 16х16 см</t>
  </si>
  <si>
    <t>Сердце OASIS с поддоном 12х14 см (2 шт.)</t>
  </si>
  <si>
    <t>Сердце OASIS с поддоном 12х14 см (3 шт.)</t>
  </si>
  <si>
    <t>01-81_2pc</t>
  </si>
  <si>
    <t>01-81_3pc</t>
  </si>
  <si>
    <t>05-28</t>
  </si>
  <si>
    <t>Сердце открытое с поддоном ASPAC 23 см</t>
  </si>
  <si>
    <t>Сердце открытое с поддоном ASPAC 23 см (2 шт.)</t>
  </si>
  <si>
    <t>Сердце открытое с поддоном ASPAC 23 см (3 шт.)</t>
  </si>
  <si>
    <t>Сердце OASIS с поддоном 12х14 см (4 шт.)</t>
  </si>
  <si>
    <t>Сердце OASIS с поддоном 12х14 см (5 шт.)</t>
  </si>
  <si>
    <t>01-81_4pc</t>
  </si>
  <si>
    <t>01-81_5pc</t>
  </si>
  <si>
    <t>Сердце открытое с поддоном ASPAC 23 см (4 шт.)</t>
  </si>
  <si>
    <t>Сердце открытое с поддоном ASPAC 23 см (5 шт.)</t>
  </si>
  <si>
    <t>05-28_2pc</t>
  </si>
  <si>
    <t>05-28_3pc</t>
  </si>
  <si>
    <t>05-28_4pc</t>
  </si>
  <si>
    <t>05-28_5pc</t>
  </si>
  <si>
    <t>Сердце открытое с поддоном 22х22 см</t>
  </si>
  <si>
    <t>05-25</t>
  </si>
  <si>
    <t>05-25_2pc</t>
  </si>
  <si>
    <t>05-25_3pc</t>
  </si>
  <si>
    <t>05-25_4pc</t>
  </si>
  <si>
    <t>05-25_5pc</t>
  </si>
  <si>
    <t>Сердце открытое с поддоном 22х22 см (2 шт.)</t>
  </si>
  <si>
    <t>Сердце открытое с поддоном 22х22 см (3 шт.)</t>
  </si>
  <si>
    <t>Сердце открытое с поддоном 22х22 см (4 шт.)</t>
  </si>
  <si>
    <t>Сердце открытое с поддоном 22х22 см (5 шт.)</t>
  </si>
  <si>
    <t>Кирпич OASIS Ideal (6 шт)</t>
  </si>
  <si>
    <t>Кирпич OASIS Ideal (8 шт)</t>
  </si>
  <si>
    <t>02-09</t>
  </si>
  <si>
    <t>02-09_2pc</t>
  </si>
  <si>
    <t>02-09_3pc</t>
  </si>
  <si>
    <t>02-09_4pc</t>
  </si>
  <si>
    <t>02-09_5pc</t>
  </si>
  <si>
    <t>02-09_6pc</t>
  </si>
  <si>
    <t>02-09_8pc</t>
  </si>
  <si>
    <t>02-09_10pc</t>
  </si>
  <si>
    <t>02-09_35pc</t>
  </si>
  <si>
    <t>Кирпич OASIS Ideal (4 шт)</t>
  </si>
  <si>
    <t>05-76</t>
  </si>
  <si>
    <t>Тейп-лента OASIS 2.6см</t>
  </si>
  <si>
    <t>Тейп-лента OASIS 2.6см (2 шт)</t>
  </si>
  <si>
    <t>Тейп-лента OASIS 2.6см (3 шт)</t>
  </si>
  <si>
    <t>Тейп-лента OASIS 2.6см (4 шт)</t>
  </si>
  <si>
    <t>Тейп-лента OASIS 2.6см (5 шт)</t>
  </si>
  <si>
    <t>Рентабельность затрат на товар, %</t>
  </si>
  <si>
    <t>Тейп-лента PAULA 13мм 30м</t>
  </si>
  <si>
    <t>Тейп-лента PAULA 13мм 30м (2 шт)</t>
  </si>
  <si>
    <t>Тейп-лента PAULA 13мм 30м (3 шт)</t>
  </si>
  <si>
    <t>Тейп-лента PAULA 13мм 30м (4 шт)</t>
  </si>
  <si>
    <t>Тейп-лента PAULA 13мм 30м (5 шт)</t>
  </si>
  <si>
    <t>Кирпич OASIS для сухоцветов</t>
  </si>
  <si>
    <t>Кирпич OASIS для сухоцветов (2 шт)</t>
  </si>
  <si>
    <t>Кирпич OASIS для сухоцветов (3 шт)</t>
  </si>
  <si>
    <t>Кирпич OASIS для сухоцветов (4 шт)</t>
  </si>
  <si>
    <t>Кирпич OASIS для сухоцветов (5 шт)</t>
  </si>
  <si>
    <t>Кирпич OASIS для сухоцветов (6 шт)</t>
  </si>
  <si>
    <t>Кирпич OASIS для сухоцветов (8 шт)</t>
  </si>
  <si>
    <t>Кирпич OASIS для сухоцветов (10 шт)</t>
  </si>
  <si>
    <t>Кирпич OASIS для сухоцветов (35 шт)</t>
  </si>
  <si>
    <t>02-11</t>
  </si>
  <si>
    <t>02-11_2pc</t>
  </si>
  <si>
    <t>02-11_3pc</t>
  </si>
  <si>
    <t>02-11_4pc</t>
  </si>
  <si>
    <t>02-11_5pc</t>
  </si>
  <si>
    <t>02-11_6pc</t>
  </si>
  <si>
    <t>02-11_8pc</t>
  </si>
  <si>
    <t>02-11_10pc</t>
  </si>
  <si>
    <t>02-11_35pc</t>
  </si>
  <si>
    <t>Кирпич Victoria</t>
  </si>
  <si>
    <t>Кирпич Victoria (2 шт)</t>
  </si>
  <si>
    <t>Кирпич Victoria (3 шт)</t>
  </si>
  <si>
    <t>Кирпич Victoria (4 шт)</t>
  </si>
  <si>
    <t>Кирпич Victoria (5 шт)</t>
  </si>
  <si>
    <t>Кирпич Victoria (6 шт)</t>
  </si>
  <si>
    <t>Кирпич Victoria (8 шт)</t>
  </si>
  <si>
    <t>Кирпич Victoria (10 шт)</t>
  </si>
  <si>
    <t>Лента OASIS Parafilm 13мм 23м</t>
  </si>
  <si>
    <t>Лента OASIS Parafilm 13мм 23м (2 шт)</t>
  </si>
  <si>
    <t>Лента OASIS Parafilm 13мм 23м (3 шт)</t>
  </si>
  <si>
    <t>Лента OASIS Parafilm 13мм 23м (4 шт)</t>
  </si>
  <si>
    <t>Лента OASIS Parafilm 13мм 23м (5 шт)</t>
  </si>
  <si>
    <t>04-63</t>
  </si>
  <si>
    <t>04-63_2pc</t>
  </si>
  <si>
    <t>04-63_3pc</t>
  </si>
  <si>
    <t>04-63_4pc</t>
  </si>
  <si>
    <t>04-63_5pc</t>
  </si>
  <si>
    <t>01-90</t>
  </si>
  <si>
    <t>01-90_2pc</t>
  </si>
  <si>
    <t>01-90_3pc</t>
  </si>
  <si>
    <t>01-90_4pc</t>
  </si>
  <si>
    <t>01-90_5pc</t>
  </si>
  <si>
    <t>Лента OASIS полибаст</t>
  </si>
  <si>
    <t>Лента OASIS полибаст (2 шт)</t>
  </si>
  <si>
    <t>Лента OASIS полибаст (3 шт)</t>
  </si>
  <si>
    <t>Лента OASIS полибаст (4 шт)</t>
  </si>
  <si>
    <t>Лента OASIS полибаст (5 шт)</t>
  </si>
  <si>
    <t>Тейп-лента цветная 13мм</t>
  </si>
  <si>
    <t>Тейп-лента цветная 13мм (2 шт)</t>
  </si>
  <si>
    <t>Тейп-лента цветная 13мм (3 шт)</t>
  </si>
  <si>
    <t>Тейп-лента цветная 13мм (4 шт)</t>
  </si>
  <si>
    <t>Тейп-лента цветная 13мм (5 шт)</t>
  </si>
  <si>
    <t>Процент</t>
  </si>
  <si>
    <t>Минимум, руб.</t>
  </si>
  <si>
    <t>Максимум, руб.</t>
  </si>
  <si>
    <t>Объемный вес мин, кг</t>
  </si>
  <si>
    <t>Объемный вес макс, кг</t>
  </si>
  <si>
    <t>Кирпич Victoria (20 шт)</t>
  </si>
  <si>
    <t>10-67</t>
  </si>
  <si>
    <t>10-67_2pc</t>
  </si>
  <si>
    <t>10-67_3pc</t>
  </si>
  <si>
    <t>10-67_4pc</t>
  </si>
  <si>
    <t>10-67_5pc</t>
  </si>
  <si>
    <t>10-68</t>
  </si>
  <si>
    <t>10-68_2pc</t>
  </si>
  <si>
    <t>10-68_3pc</t>
  </si>
  <si>
    <t>10-68_4pc</t>
  </si>
  <si>
    <t>10-68_5pc</t>
  </si>
  <si>
    <t>10-69</t>
  </si>
  <si>
    <t>10-69_2pc</t>
  </si>
  <si>
    <t>10-69_3pc</t>
  </si>
  <si>
    <t>10-69_4pc</t>
  </si>
  <si>
    <t>10-69_5pc</t>
  </si>
  <si>
    <t>Денежный поток, руб.</t>
  </si>
  <si>
    <t>Проволока в бумажной оплетке Oasis 200м 0.4мм</t>
  </si>
  <si>
    <t>Проволока в бумажной оплетке Oasis 200м 0.4мм (2 шт)</t>
  </si>
  <si>
    <t>Проволока в бумажной оплетке Oasis 200м 0.4мм (3 шт)</t>
  </si>
  <si>
    <t>Проволока в бумажной оплетке Oasis 200м 0.4мм (4 шт)</t>
  </si>
  <si>
    <t>Проволока в бумажной оплетке Oasis 200м 0.4мм (5 шт)</t>
  </si>
  <si>
    <t>10-70</t>
  </si>
  <si>
    <t>10-70_2pc</t>
  </si>
  <si>
    <t>10-70_3pc</t>
  </si>
  <si>
    <t>10-70_4pc</t>
  </si>
  <si>
    <t>10-70_5pc</t>
  </si>
  <si>
    <t>Друт 1кг (0.6 - 1.8 мм)</t>
  </si>
  <si>
    <t>Проволока бульонка Florad Зиг-Заг 50гр</t>
  </si>
  <si>
    <t>10-71</t>
  </si>
  <si>
    <t>10-71_2pc</t>
  </si>
  <si>
    <t>10-71_3pc</t>
  </si>
  <si>
    <t>10-71_4pc</t>
  </si>
  <si>
    <t>10-71_5pc</t>
  </si>
  <si>
    <t>Проволока бульонка Florad Зиг-Заг 50гр (2 шт)</t>
  </si>
  <si>
    <t>Проволока бульонка Florad Зиг-Заг 50гр (3 шт)</t>
  </si>
  <si>
    <t>Проволока бульонка Florad Зиг-Заг 50гр (4 шт)</t>
  </si>
  <si>
    <t>Проволока бульонка Florad Зиг-Заг 50гр (5 шт)</t>
  </si>
  <si>
    <t>Шар Oasis 9см</t>
  </si>
  <si>
    <t>01-64</t>
  </si>
  <si>
    <t>01-64_2pc</t>
  </si>
  <si>
    <t>01-64_3pc</t>
  </si>
  <si>
    <t>01-64_4pc</t>
  </si>
  <si>
    <t>01-64_6pc</t>
  </si>
  <si>
    <t>01-64_8pc</t>
  </si>
  <si>
    <t>01-64_10pc</t>
  </si>
  <si>
    <t>Шар Oasis 9см (2 шт.)</t>
  </si>
  <si>
    <t>Шар Oasis 9см (3 шт.)</t>
  </si>
  <si>
    <t>Шар Oasis 9см (4 шт.)</t>
  </si>
  <si>
    <t>Шар Oasis 9см (6 шт.)</t>
  </si>
  <si>
    <t>Шар Oasis 9см (8 шт.)</t>
  </si>
  <si>
    <t>Шар Oasis 9см (10 шт.)</t>
  </si>
  <si>
    <t>Бонусы продавца, %</t>
  </si>
  <si>
    <t>Бонусы продавца, руб.</t>
  </si>
  <si>
    <t>Комиссия за бонусы продавца, руб.</t>
  </si>
  <si>
    <t>Рассрочка продавца</t>
  </si>
  <si>
    <t>Комиссия за рассрочку, руб.</t>
  </si>
  <si>
    <t>Нет</t>
  </si>
  <si>
    <t>Скидка по акции, %</t>
  </si>
  <si>
    <t>Ставка в поиске, %</t>
  </si>
  <si>
    <t>Продвижение в поиске, руб.</t>
  </si>
  <si>
    <t>Цена со скидкой, руб.</t>
  </si>
  <si>
    <t>02-10_2pc</t>
  </si>
  <si>
    <t>02-10_3pc</t>
  </si>
  <si>
    <t>02-10_4pc</t>
  </si>
  <si>
    <t>02-10_5pc</t>
  </si>
  <si>
    <t>02-10_6pc</t>
  </si>
  <si>
    <t>02-10_8pc</t>
  </si>
  <si>
    <t>02-10_10pc</t>
  </si>
  <si>
    <t>02-10_35pc</t>
  </si>
  <si>
    <t>Цены</t>
  </si>
  <si>
    <t>Габариты</t>
  </si>
  <si>
    <t>Учетные данные</t>
  </si>
  <si>
    <t>Продвижение</t>
  </si>
  <si>
    <t>Расходы OZON</t>
  </si>
  <si>
    <t>Другие расходы</t>
  </si>
  <si>
    <t>Результат</t>
  </si>
  <si>
    <t>Налог с выручки, %</t>
  </si>
  <si>
    <t>Налог с выручки, руб.</t>
  </si>
  <si>
    <t>01-81_6pc</t>
  </si>
  <si>
    <t>Сердце OASIS с поддоном 12х14 см (6 шт.)</t>
  </si>
  <si>
    <t>Кольцо Oasis на пластике 15 см</t>
  </si>
  <si>
    <t>02-23</t>
  </si>
  <si>
    <t>02-23_2pc</t>
  </si>
  <si>
    <t>Кольцо Oasis на пластике 15 см (2 шт.)</t>
  </si>
  <si>
    <t>02-23_3pc</t>
  </si>
  <si>
    <t>02-23_4pc</t>
  </si>
  <si>
    <t>02-23_5pc</t>
  </si>
  <si>
    <t>02-23_6pc</t>
  </si>
  <si>
    <t>Кольцо Oasis на пластике 15 см (3 шт.)</t>
  </si>
  <si>
    <t>Кольцо Oasis на пластике 15 см (4 шт.)</t>
  </si>
  <si>
    <t>Кольцо Oasis на пластике 15 см (5 шт.)</t>
  </si>
  <si>
    <t>Кольцо Oasis на пластике 15 см (6 шт.)</t>
  </si>
  <si>
    <t>Кольцо Oasis на пластике 17 см</t>
  </si>
  <si>
    <t>04-56</t>
  </si>
  <si>
    <t>04-56_2pc</t>
  </si>
  <si>
    <t>04-56_3pc</t>
  </si>
  <si>
    <t>04-56_4pc</t>
  </si>
  <si>
    <t>04-56_5pc</t>
  </si>
  <si>
    <t>04-56_6pc</t>
  </si>
  <si>
    <t>Кольцо Oasis на пластике 17 см (2 шт.)</t>
  </si>
  <si>
    <t>Кольцо Oasis на пластике 17 см (3 шт.)</t>
  </si>
  <si>
    <t>Кольцо Oasis на пластике 17 см (4 шт.)</t>
  </si>
  <si>
    <t>Кольцо Oasis на пластике 17 см (5 шт.)</t>
  </si>
  <si>
    <t>Кольцо Oasis на пластике 17 см (6 шт.)</t>
  </si>
  <si>
    <t>Кольцо Oasis на пластике 20 см</t>
  </si>
  <si>
    <t>01-88</t>
  </si>
  <si>
    <t>01-88_2pc</t>
  </si>
  <si>
    <t>01-88_3pc</t>
  </si>
  <si>
    <t>01-88_4pc</t>
  </si>
  <si>
    <t>01-88_5pc</t>
  </si>
  <si>
    <t>01-88_6pc</t>
  </si>
  <si>
    <t>Кольцо Oasis на пластике 20 см (2 шт.)</t>
  </si>
  <si>
    <t>Кольцо Oasis на пластике 20 см (3 шт.)</t>
  </si>
  <si>
    <t>Кольцо Oasis на пластике 20 см (4 шт.)</t>
  </si>
  <si>
    <t>Кольцо Oasis на пластике 20 см (5 шт.)</t>
  </si>
  <si>
    <t>Кольцо Oasis на пластике 20 см (6 шт.)</t>
  </si>
  <si>
    <t>Кольцо Oasis на пластике 25 см</t>
  </si>
  <si>
    <t>02-25</t>
  </si>
  <si>
    <t>02-25_2pc</t>
  </si>
  <si>
    <t>02-25_3pc</t>
  </si>
  <si>
    <t>02-25_4pc</t>
  </si>
  <si>
    <t>02-25_5pc</t>
  </si>
  <si>
    <t>02-25_6pc</t>
  </si>
  <si>
    <t>Кольцо Oasis на пластике 25 см (2 шт.)</t>
  </si>
  <si>
    <t>Кольцо Oasis на пластике 25 см (3 шт.)</t>
  </si>
  <si>
    <t>Кольцо Oasis на пластике 25 см (4 шт.)</t>
  </si>
  <si>
    <t>Кольцо Oasis на пластике 25 см (5 шт.)</t>
  </si>
  <si>
    <t>Кольцо Oasis на пластике 25 см (6 шт.)</t>
  </si>
  <si>
    <t>02-26</t>
  </si>
  <si>
    <t>Кольцо Oasis на пластике 30 см</t>
  </si>
  <si>
    <t>02-26_2pc</t>
  </si>
  <si>
    <t>02-26_3pc</t>
  </si>
  <si>
    <t>02-26_4pc</t>
  </si>
  <si>
    <t>02-26_5pc</t>
  </si>
  <si>
    <t>02-26_6pc</t>
  </si>
  <si>
    <t>Кольцо Oasis на пластике 30 см (2 шт.)</t>
  </si>
  <si>
    <t>Кольцо Oasis на пластике 30 см (3 шт.)</t>
  </si>
  <si>
    <t>Кольцо Oasis на пластике 30 см (4 шт.)</t>
  </si>
  <si>
    <t>Кольцо Oasis на пластике 30 см (5 шт.)</t>
  </si>
  <si>
    <t>Кольцо Oasis на пластике 30 см (6 шт.)</t>
  </si>
  <si>
    <t>Шар Oasis 12см</t>
  </si>
  <si>
    <t>01-59</t>
  </si>
  <si>
    <t>01-59_2pc</t>
  </si>
  <si>
    <t>01-59_3pc</t>
  </si>
  <si>
    <t>01-59_4pc</t>
  </si>
  <si>
    <t>01-59_5pc</t>
  </si>
  <si>
    <t>01-59_10pc</t>
  </si>
  <si>
    <t>Шар Oasis 12см (2 шт.)</t>
  </si>
  <si>
    <t>Шар Oasis 12см (3 шт.)</t>
  </si>
  <si>
    <t>Шар Oasis 12см (4 шт.)</t>
  </si>
  <si>
    <t>Шар Oasis 12см (5 шт.)</t>
  </si>
  <si>
    <t>Шар Oasis 12см (10 шт.)</t>
  </si>
  <si>
    <t>10-72</t>
  </si>
  <si>
    <t>Шар Oasis 14см</t>
  </si>
  <si>
    <t>10-72_2pc</t>
  </si>
  <si>
    <t>10-72_3pc</t>
  </si>
  <si>
    <t>10-72_4pc</t>
  </si>
  <si>
    <t>10-72_8pc</t>
  </si>
  <si>
    <t>Шар Oasis 14см (2 шт.)</t>
  </si>
  <si>
    <t>Шар Oasis 14см (3 шт.)</t>
  </si>
  <si>
    <t>Шар Oasis 14см (4 шт.)</t>
  </si>
  <si>
    <t>Шар Oasis 14см (8 шт.)</t>
  </si>
  <si>
    <t>01-60</t>
  </si>
  <si>
    <t>Шар Oasis 16см</t>
  </si>
  <si>
    <t>01-60_2pc</t>
  </si>
  <si>
    <t>01-60_3pc</t>
  </si>
  <si>
    <t>01-60_4pc</t>
  </si>
  <si>
    <t>01-60_6pc</t>
  </si>
  <si>
    <t>01-60_8pc</t>
  </si>
  <si>
    <t>01-60_10pc</t>
  </si>
  <si>
    <t>Шар Oasis 16см (2 шт.)</t>
  </si>
  <si>
    <t>Шар Oasis 16см (3 шт.)</t>
  </si>
  <si>
    <t>Шар Oasis 16см (4 шт.)</t>
  </si>
  <si>
    <t>Шар Oasis 16см (6 шт.)</t>
  </si>
  <si>
    <t>Шар Oasis 16см (8 шт.)</t>
  </si>
  <si>
    <t>Шар Oasis 16см (10 шт.)</t>
  </si>
  <si>
    <t>Шар Oasis 20см</t>
  </si>
  <si>
    <t>01-61</t>
  </si>
  <si>
    <t>01-61_2pc</t>
  </si>
  <si>
    <t>01-61_3pc</t>
  </si>
  <si>
    <t>01-61_4pc</t>
  </si>
  <si>
    <t>01-61_6pc</t>
  </si>
  <si>
    <t>Шар Oasis 20см (2 шт.)</t>
  </si>
  <si>
    <t>Шар Oasis 20см (3 шт.)</t>
  </si>
  <si>
    <t>Шар Oasis 20см (4 шт.)</t>
  </si>
  <si>
    <t>Шар Oasis 20см (6 шт.)</t>
  </si>
  <si>
    <t>Шар Oasis 25см</t>
  </si>
  <si>
    <t>01-62</t>
  </si>
  <si>
    <t>01-62_2pc</t>
  </si>
  <si>
    <t>01-62_3pc</t>
  </si>
  <si>
    <t>01-62_4pc</t>
  </si>
  <si>
    <t>Шар Oasis 25см (2 шт.)</t>
  </si>
  <si>
    <t>Шар Oasis 25см (3 шт.)</t>
  </si>
  <si>
    <t>Шар Oasis 25см (4 шт.)</t>
  </si>
  <si>
    <t>01-63</t>
  </si>
  <si>
    <t>Шар Oasis 30см</t>
  </si>
  <si>
    <t>01-63_2pc</t>
  </si>
  <si>
    <t>01-63_3pc</t>
  </si>
  <si>
    <t>01-63_4pc</t>
  </si>
  <si>
    <t>Шар Oasis 30см (2 шт.)</t>
  </si>
  <si>
    <t>Шар Oasis 30см (3 шт.)</t>
  </si>
  <si>
    <t>Шар Oasis 30см (4 шт.)</t>
  </si>
  <si>
    <t>10-73</t>
  </si>
  <si>
    <t>Шар Aspac 7см</t>
  </si>
  <si>
    <t>10-73_2pc</t>
  </si>
  <si>
    <t>10-73_3pc</t>
  </si>
  <si>
    <t>10-73_4pc</t>
  </si>
  <si>
    <t>10-73_5pc</t>
  </si>
  <si>
    <t>10-73_6pc</t>
  </si>
  <si>
    <t>10-73_8pc</t>
  </si>
  <si>
    <t>10-73_10pc</t>
  </si>
  <si>
    <t>10-73_16pc</t>
  </si>
  <si>
    <t>10-73_20pc</t>
  </si>
  <si>
    <t>Шар Aspac 7см (2 шт.)</t>
  </si>
  <si>
    <t>Шар Aspac 7см (3 шт.)</t>
  </si>
  <si>
    <t>Шар Aspac 7см (4 шт.)</t>
  </si>
  <si>
    <t>Шар Aspac 7см (5 шт.)</t>
  </si>
  <si>
    <t>Шар Aspac 7см (6 шт.)</t>
  </si>
  <si>
    <t>Шар Aspac 7см (8 шт.)</t>
  </si>
  <si>
    <t>Шар Aspac 7см (10 шт.)</t>
  </si>
  <si>
    <t>Шар Aspac 7см (16 шт.)</t>
  </si>
  <si>
    <t>Шар Aspac 7см (20 шт.)</t>
  </si>
  <si>
    <t>Шар Aspac 9см</t>
  </si>
  <si>
    <t>Шар Aspac 9см (2 шт.)</t>
  </si>
  <si>
    <t>Шар Aspac 9см (3 шт.)</t>
  </si>
  <si>
    <t>Шар Aspac 9см (4 шт.)</t>
  </si>
  <si>
    <t>Шар Aspac 9см (5 шт.)</t>
  </si>
  <si>
    <t>Шар Aspac 9см (6 шт.)</t>
  </si>
  <si>
    <t>Шар Aspac 9см (8 шт.)</t>
  </si>
  <si>
    <t>Шар Aspac 9см (10 шт.)</t>
  </si>
  <si>
    <t>Шар Aspac 9см (16 шт.)</t>
  </si>
  <si>
    <t>Шар Aspac 9см (20 шт.)</t>
  </si>
  <si>
    <t>10-74</t>
  </si>
  <si>
    <t>10-74_2pc</t>
  </si>
  <si>
    <t>10-74_3pc</t>
  </si>
  <si>
    <t>10-74_4pc</t>
  </si>
  <si>
    <t>10-74_5pc</t>
  </si>
  <si>
    <t>10-74_6pc</t>
  </si>
  <si>
    <t>10-74_8pc</t>
  </si>
  <si>
    <t>10-74_10pc</t>
  </si>
  <si>
    <t>10-74_16pc</t>
  </si>
  <si>
    <t>10-74_20pc</t>
  </si>
  <si>
    <t>Шар Aspac 12см</t>
  </si>
  <si>
    <t>Шар Aspac 12см (2 шт.)</t>
  </si>
  <si>
    <t>Шар Aspac 12см (3 шт.)</t>
  </si>
  <si>
    <t>Шар Aspac 12см (4 шт.)</t>
  </si>
  <si>
    <t>Шар Aspac 12см (5 шт.)</t>
  </si>
  <si>
    <t>Шар Aspac 12см (6 шт.)</t>
  </si>
  <si>
    <t>Шар Aspac 12см (8 шт.)</t>
  </si>
  <si>
    <t>Шар Aspac 12см (10 шт.)</t>
  </si>
  <si>
    <t>Шар Aspac 12см (16 шт.)</t>
  </si>
  <si>
    <t>Шар Aspac 12см (20 шт.)</t>
  </si>
  <si>
    <t>10-75_2pc</t>
  </si>
  <si>
    <t>10-75_3pc</t>
  </si>
  <si>
    <t>10-75_4pc</t>
  </si>
  <si>
    <t>10-75_5pc</t>
  </si>
  <si>
    <t>10-75_6pc</t>
  </si>
  <si>
    <t>10-75_8pc</t>
  </si>
  <si>
    <t>10-75_10pc</t>
  </si>
  <si>
    <t>10-75_16pc</t>
  </si>
  <si>
    <t>10-75_20pc</t>
  </si>
  <si>
    <t>10-75</t>
  </si>
  <si>
    <t>05-41</t>
  </si>
  <si>
    <t>05-41_2pc</t>
  </si>
  <si>
    <t>05-41_3pc</t>
  </si>
  <si>
    <t>05-41_4pc</t>
  </si>
  <si>
    <t>05-41_5pc</t>
  </si>
  <si>
    <t>05-41_6pc</t>
  </si>
  <si>
    <t>05-41_8pc</t>
  </si>
  <si>
    <t>05-41_10pc</t>
  </si>
  <si>
    <t>05-41_16pc</t>
  </si>
  <si>
    <t>05-41_20pc</t>
  </si>
  <si>
    <t>05-41_30pc</t>
  </si>
  <si>
    <t>Цилиндр Oasis 5х8см</t>
  </si>
  <si>
    <t>Цилиндр Oasis 5х8см (2 шт.)</t>
  </si>
  <si>
    <t>Цилиндр Oasis 5х8см (3 шт.)</t>
  </si>
  <si>
    <t>Цилиндр Oasis 5х8см (4 шт.)</t>
  </si>
  <si>
    <t>Цилиндр Oasis 5х8см (5 шт.)</t>
  </si>
  <si>
    <t>Цилиндр Oasis 5х8см (6 шт.)</t>
  </si>
  <si>
    <t>Цилиндр Oasis 5х8см (8 шт.)</t>
  </si>
  <si>
    <t>Цилиндр Oasis 5х8см (10 шт.)</t>
  </si>
  <si>
    <t>Цилиндр Oasis 5х8см (16 шт.)</t>
  </si>
  <si>
    <t>Цилиндр Oasis 5х8см (20 шт.)</t>
  </si>
  <si>
    <t>Цилиндр Oasis 5х8см (30 шт.)</t>
  </si>
  <si>
    <t>05-39</t>
  </si>
  <si>
    <t>Цилиндр Oasis 7х14см</t>
  </si>
  <si>
    <t>05-39_2pc</t>
  </si>
  <si>
    <t>05-39_3pc</t>
  </si>
  <si>
    <t>05-39_4pc</t>
  </si>
  <si>
    <t>05-39_5pc</t>
  </si>
  <si>
    <t>05-39_6pc</t>
  </si>
  <si>
    <t>05-39_8pc</t>
  </si>
  <si>
    <t>05-39_10pc</t>
  </si>
  <si>
    <t>05-39_16pc</t>
  </si>
  <si>
    <t>05-39_20pc</t>
  </si>
  <si>
    <t>05-39_30pc</t>
  </si>
  <si>
    <t>Цилиндр Oasis 7х14см (2 шт.)</t>
  </si>
  <si>
    <t>Цилиндр Oasis 7х14см (3 шт.)</t>
  </si>
  <si>
    <t>Цилиндр Oasis 7х14см (4 шт.)</t>
  </si>
  <si>
    <t>Цилиндр Oasis 7х14см (5 шт.)</t>
  </si>
  <si>
    <t>Цилиндр Oasis 7х14см (6 шт.)</t>
  </si>
  <si>
    <t>Цилиндр Oasis 7х14см (8 шт.)</t>
  </si>
  <si>
    <t>Цилиндр Oasis 7х14см (10 шт.)</t>
  </si>
  <si>
    <t>Цилиндр Oasis 7х14см (16 шт.)</t>
  </si>
  <si>
    <t>Цилиндр Oasis 7х14см (20 шт.)</t>
  </si>
  <si>
    <t>Цилиндр Oasis 7х14см (28 шт.)</t>
  </si>
  <si>
    <t>Цилиндр Oasis 7х22см</t>
  </si>
  <si>
    <t>Цилиндр Oasis 7х22см (2 шт.)</t>
  </si>
  <si>
    <t>Цилиндр Oasis 7х22см (3 шт.)</t>
  </si>
  <si>
    <t>Цилиндр Oasis 7х22см (4 шт.)</t>
  </si>
  <si>
    <t>Цилиндр Oasis 7х22см (5 шт.)</t>
  </si>
  <si>
    <t>Цилиндр Oasis 7х22см (6 шт.)</t>
  </si>
  <si>
    <t>Цилиндр Oasis 7х22см (8 шт.)</t>
  </si>
  <si>
    <t>Цилиндр Oasis 7х22см (10 шт.)</t>
  </si>
  <si>
    <t>Цилиндр Oasis 7х22см (16 шт.)</t>
  </si>
  <si>
    <t>Цилиндр Oasis 7х22см (20 шт.)</t>
  </si>
  <si>
    <t>05-40</t>
  </si>
  <si>
    <t>05-40_2pc</t>
  </si>
  <si>
    <t>05-40_3pc</t>
  </si>
  <si>
    <t>05-40_4pc</t>
  </si>
  <si>
    <t>05-40_5pc</t>
  </si>
  <si>
    <t>05-40_6pc</t>
  </si>
  <si>
    <t>05-40_8pc</t>
  </si>
  <si>
    <t>05-40_10pc</t>
  </si>
  <si>
    <t>05-40_16pc</t>
  </si>
  <si>
    <t>05-40_20pc</t>
  </si>
  <si>
    <t>Oasis Mini Deco</t>
  </si>
  <si>
    <t>05-77</t>
  </si>
  <si>
    <t>05-77_2pc</t>
  </si>
  <si>
    <t>Oasis Mini Deco (2 шт.)</t>
  </si>
  <si>
    <t>Объем, л</t>
  </si>
  <si>
    <t>Длина, см</t>
  </si>
  <si>
    <t>Ширина, см</t>
  </si>
  <si>
    <t>Толщина, см</t>
  </si>
  <si>
    <t>Логистика, руб.</t>
  </si>
  <si>
    <t>Доставка, руб.</t>
  </si>
  <si>
    <t>Вид склада по цене хранения</t>
  </si>
  <si>
    <t>Цена за 1 литр в день, руб.</t>
  </si>
  <si>
    <t>Склад А (0.3)</t>
  </si>
  <si>
    <t>Склад Б (0.2)</t>
  </si>
  <si>
    <t>Склад В (0.1)</t>
  </si>
  <si>
    <t>Склад Г (0)</t>
  </si>
  <si>
    <t>Вид отгрузки</t>
  </si>
  <si>
    <t>FBS</t>
  </si>
  <si>
    <t>Склад FBO</t>
  </si>
  <si>
    <t>Оборачиваемость, дн</t>
  </si>
  <si>
    <t>Хранение FBO, руб.</t>
  </si>
  <si>
    <t>Расходы на упаковку FBS, руб.</t>
  </si>
  <si>
    <t>Расходы на упаковку FBO,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</si>
</sst>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2" xfId="0" applyBorder="1"/>
    <xf numFmtId="0" fontId="0" fillId="0" borderId="7" xfId="0" applyBorder="1"/>
    <xf numFmtId="49" fontId="0" fillId="2" borderId="6" xfId="0" applyNumberFormat="1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1" xfId="0" applyFill="1" applyBorder="1"/>
    <xf numFmtId="9" fontId="0" fillId="2" borderId="6" xfId="1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3" borderId="2" xfId="0" applyFill="1" applyBorder="1"/>
    <xf numFmtId="9" fontId="0" fillId="3" borderId="2" xfId="1" applyFont="1" applyFill="1" applyBorder="1"/>
    <xf numFmtId="9" fontId="0" fillId="3" borderId="13" xfId="1" applyFont="1" applyFill="1" applyBorder="1"/>
    <xf numFmtId="9" fontId="0" fillId="3" borderId="1" xfId="1" applyFont="1" applyFill="1" applyBorder="1"/>
    <xf numFmtId="9" fontId="0" fillId="3" borderId="9" xfId="1" applyFont="1" applyFill="1" applyBorder="1"/>
    <xf numFmtId="0" fontId="2" fillId="2" borderId="14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16" xfId="0" applyFill="1" applyBorder="1"/>
    <xf numFmtId="0" fontId="0" fillId="2" borderId="0" xfId="0" applyFill="1"/>
    <xf numFmtId="49" fontId="2" fillId="2" borderId="3" xfId="0" applyNumberFormat="1" applyFont="1" applyFill="1" applyBorder="1" applyAlignment="1">
      <alignment horizontal="center" vertical="center" wrapText="1"/>
    </xf>
    <xf numFmtId="49" fontId="0" fillId="2" borderId="8" xfId="0" applyNumberFormat="1" applyFill="1" applyBorder="1"/>
    <xf numFmtId="49" fontId="0" fillId="2" borderId="1" xfId="0" applyNumberFormat="1" applyFill="1" applyBorder="1"/>
    <xf numFmtId="49" fontId="0" fillId="0" borderId="0" xfId="0" applyNumberFormat="1"/>
    <xf numFmtId="0" fontId="2" fillId="2" borderId="6" xfId="0" applyFont="1" applyFill="1" applyBorder="1"/>
    <xf numFmtId="0" fontId="2" fillId="2" borderId="8" xfId="0" applyFont="1" applyFill="1" applyBorder="1"/>
    <xf numFmtId="9" fontId="0" fillId="0" borderId="0" xfId="1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0" borderId="18" xfId="0" applyBorder="1"/>
    <xf numFmtId="9" fontId="0" fillId="2" borderId="15" xfId="1" applyFont="1" applyFill="1" applyBorder="1"/>
    <xf numFmtId="0" fontId="0" fillId="0" borderId="19" xfId="0" applyBorder="1"/>
    <xf numFmtId="0" fontId="0" fillId="0" borderId="0" xfId="0" applyBorder="1"/>
    <xf numFmtId="164" fontId="0" fillId="2" borderId="15" xfId="1" applyNumberFormat="1" applyFont="1" applyFill="1" applyBorder="1"/>
    <xf numFmtId="0" fontId="0" fillId="2" borderId="18" xfId="0" applyFill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20" xfId="0" applyFill="1" applyBorder="1"/>
    <xf numFmtId="0" fontId="0" fillId="2" borderId="8" xfId="0" applyFill="1" applyBorder="1"/>
    <xf numFmtId="0" fontId="0" fillId="2" borderId="22" xfId="0" applyFill="1" applyBorder="1"/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/>
    <xf numFmtId="0" fontId="2" fillId="4" borderId="13" xfId="0" applyFont="1" applyFill="1" applyBorder="1"/>
    <xf numFmtId="0" fontId="7" fillId="0" borderId="0" xfId="0" applyFont="1" applyAlignment="1">
      <alignment vertical="center"/>
    </xf>
    <xf numFmtId="0" fontId="0" fillId="0" borderId="21" xfId="0" applyBorder="1"/>
    <xf numFmtId="0" fontId="0" fillId="0" borderId="27" xfId="0" applyBorder="1"/>
    <xf numFmtId="0" fontId="0" fillId="0" borderId="13" xfId="0" applyBorder="1"/>
    <xf numFmtId="0" fontId="2" fillId="3" borderId="14" xfId="0" applyFont="1" applyFill="1" applyBorder="1" applyAlignment="1">
      <alignment horizontal="center" vertical="center" wrapText="1"/>
    </xf>
    <xf numFmtId="0" fontId="0" fillId="3" borderId="15" xfId="0" applyFill="1" applyBorder="1"/>
    <xf numFmtId="0" fontId="0" fillId="0" borderId="9" xfId="0" applyBorder="1"/>
    <xf numFmtId="0" fontId="0" fillId="0" borderId="9" xfId="0" applyFill="1" applyBorder="1"/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Fill="1" applyBorder="1"/>
    <xf numFmtId="0" fontId="7" fillId="6" borderId="2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49" fontId="7" fillId="5" borderId="24" xfId="0" applyNumberFormat="1" applyFont="1" applyFill="1" applyBorder="1" applyAlignment="1">
      <alignment horizontal="center" vertical="center"/>
    </xf>
    <xf numFmtId="49" fontId="7" fillId="5" borderId="25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2" fillId="0" borderId="0" xfId="0" applyFont="1" applyAlignment="1">
      <alignment horizontal="center" wrapText="1"/>
    </xf>
    <xf numFmtId="0" fontId="7" fillId="5" borderId="28" xfId="0" applyFont="1" applyFill="1" applyBorder="1" applyAlignment="1">
      <alignment horizontal="center" vertical="center"/>
    </xf>
    <xf numFmtId="9" fontId="0" fillId="2" borderId="1" xfId="1" applyFont="1" applyFill="1" applyBorder="1"/>
    <xf numFmtId="0" fontId="0" fillId="0" borderId="1" xfId="0" applyFill="1" applyBorder="1"/>
    <xf numFmtId="0" fontId="0" fillId="0" borderId="1" xfId="0" applyBorder="1"/>
    <xf numFmtId="0" fontId="0" fillId="2" borderId="21" xfId="0" applyFill="1" applyBorder="1"/>
    <xf numFmtId="9" fontId="0" fillId="2" borderId="29" xfId="1" applyFont="1" applyFill="1" applyBorder="1"/>
    <xf numFmtId="0" fontId="0" fillId="0" borderId="30" xfId="0" applyBorder="1"/>
    <xf numFmtId="164" fontId="0" fillId="2" borderId="31" xfId="1" applyNumberFormat="1" applyFont="1" applyFill="1" applyBorder="1"/>
    <xf numFmtId="0" fontId="0" fillId="2" borderId="25" xfId="0" applyFill="1" applyBorder="1"/>
    <xf numFmtId="9" fontId="0" fillId="2" borderId="2" xfId="1" applyFont="1" applyFill="1" applyBorder="1"/>
    <xf numFmtId="0" fontId="7" fillId="5" borderId="32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74196</xdr:colOff>
      <xdr:row>0</xdr:row>
      <xdr:rowOff>95914</xdr:rowOff>
    </xdr:from>
    <xdr:to>
      <xdr:col>20</xdr:col>
      <xdr:colOff>93246</xdr:colOff>
      <xdr:row>37</xdr:row>
      <xdr:rowOff>82321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5512" y="95914"/>
          <a:ext cx="8581523" cy="7265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429"/>
  <sheetViews>
    <sheetView zoomScale="60" zoomScaleNormal="60" workbookViewId="0">
      <pane ySplit="2" topLeftCell="A3" activePane="bottomLeft" state="frozen"/>
      <selection pane="bottomLeft" activeCell="Q2" sqref="Q2"/>
    </sheetView>
  </sheetViews>
  <sheetFormatPr defaultRowHeight="15" x14ac:dyDescent="0.25"/>
  <cols>
    <col min="1" max="1" width="12.140625" style="29" customWidth="1"/>
    <col min="2" max="2" width="53.28515625" style="25" bestFit="1" customWidth="1"/>
    <col min="3" max="3" width="9.42578125" style="48" customWidth="1"/>
    <col min="4" max="4" width="10.85546875" style="42" customWidth="1"/>
    <col min="5" max="5" width="9.42578125" style="51" customWidth="1"/>
    <col min="7" max="7" width="7.7109375" customWidth="1"/>
    <col min="8" max="8" width="9.28515625" customWidth="1"/>
    <col min="9" max="10" width="9.85546875" customWidth="1"/>
    <col min="11" max="11" width="12.140625" customWidth="1"/>
    <col min="12" max="12" width="10.7109375" style="37" customWidth="1"/>
    <col min="13" max="13" width="12.28515625" style="39" customWidth="1"/>
    <col min="14" max="14" width="9.28515625" style="42" customWidth="1"/>
    <col min="15" max="16" width="12.28515625" style="40" customWidth="1"/>
    <col min="17" max="17" width="13.5703125" style="40" bestFit="1" customWidth="1"/>
    <col min="18" max="18" width="13.5703125" style="40" customWidth="1"/>
    <col min="19" max="19" width="10.7109375" style="54" customWidth="1"/>
    <col min="20" max="20" width="10.7109375" style="40" customWidth="1"/>
    <col min="21" max="21" width="12.7109375" style="40" customWidth="1"/>
    <col min="22" max="22" width="11" style="40" customWidth="1"/>
    <col min="23" max="23" width="11.28515625" style="40" customWidth="1"/>
    <col min="24" max="24" width="11.5703125" style="62" customWidth="1"/>
    <col min="25" max="25" width="10.5703125" style="37" customWidth="1"/>
    <col min="26" max="27" width="15" style="39" customWidth="1"/>
    <col min="28" max="28" width="13.5703125" style="39" customWidth="1"/>
    <col min="29" max="29" width="12.42578125" style="55" customWidth="1"/>
    <col min="30" max="30" width="9.42578125" style="48" customWidth="1"/>
    <col min="31" max="33" width="9.42578125" style="40" customWidth="1"/>
    <col min="34" max="34" width="12" style="55" customWidth="1"/>
    <col min="35" max="35" width="8.7109375" customWidth="1"/>
    <col min="36" max="36" width="12.28515625" customWidth="1"/>
    <col min="37" max="37" width="16.85546875" customWidth="1"/>
    <col min="38" max="38" width="17.7109375" bestFit="1" customWidth="1"/>
  </cols>
  <sheetData>
    <row r="1" spans="1:38" s="52" customFormat="1" ht="33.75" customHeight="1" thickBot="1" x14ac:dyDescent="0.3">
      <c r="A1" s="75" t="s">
        <v>290</v>
      </c>
      <c r="B1" s="76"/>
      <c r="C1" s="69" t="s">
        <v>288</v>
      </c>
      <c r="D1" s="70"/>
      <c r="E1" s="71"/>
      <c r="F1" s="72" t="s">
        <v>289</v>
      </c>
      <c r="G1" s="73"/>
      <c r="H1" s="73"/>
      <c r="I1" s="73"/>
      <c r="J1" s="73"/>
      <c r="K1" s="74"/>
      <c r="L1" s="66" t="s">
        <v>291</v>
      </c>
      <c r="M1" s="67"/>
      <c r="N1" s="67"/>
      <c r="O1" s="68"/>
      <c r="P1" s="80" t="s">
        <v>292</v>
      </c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90"/>
      <c r="AD1" s="66" t="s">
        <v>293</v>
      </c>
      <c r="AE1" s="67"/>
      <c r="AF1" s="67"/>
      <c r="AG1" s="67"/>
      <c r="AH1" s="68"/>
      <c r="AI1" s="63" t="s">
        <v>294</v>
      </c>
      <c r="AJ1" s="64"/>
      <c r="AK1" s="64"/>
      <c r="AL1" s="65"/>
    </row>
    <row r="2" spans="1:38" s="14" customFormat="1" ht="50.25" customHeight="1" thickBot="1" x14ac:dyDescent="0.3">
      <c r="A2" s="26" t="s">
        <v>0</v>
      </c>
      <c r="B2" s="44" t="s">
        <v>1</v>
      </c>
      <c r="C2" s="10" t="s">
        <v>4</v>
      </c>
      <c r="D2" s="22" t="s">
        <v>276</v>
      </c>
      <c r="E2" s="49" t="s">
        <v>279</v>
      </c>
      <c r="F2" s="22" t="s">
        <v>2</v>
      </c>
      <c r="G2" s="12" t="s">
        <v>550</v>
      </c>
      <c r="H2" s="12" t="s">
        <v>551</v>
      </c>
      <c r="I2" s="12" t="s">
        <v>552</v>
      </c>
      <c r="J2" s="77" t="s">
        <v>549</v>
      </c>
      <c r="K2" s="13" t="s">
        <v>3</v>
      </c>
      <c r="L2" s="10" t="s">
        <v>270</v>
      </c>
      <c r="M2" s="9" t="s">
        <v>271</v>
      </c>
      <c r="N2" s="22" t="s">
        <v>277</v>
      </c>
      <c r="O2" s="43" t="s">
        <v>273</v>
      </c>
      <c r="P2" s="10" t="s">
        <v>561</v>
      </c>
      <c r="Q2" s="12" t="s">
        <v>563</v>
      </c>
      <c r="R2" s="12" t="s">
        <v>564</v>
      </c>
      <c r="S2" s="12" t="s">
        <v>13</v>
      </c>
      <c r="T2" s="12" t="s">
        <v>12</v>
      </c>
      <c r="U2" s="9" t="s">
        <v>565</v>
      </c>
      <c r="V2" s="9" t="s">
        <v>10</v>
      </c>
      <c r="W2" s="9" t="s">
        <v>11</v>
      </c>
      <c r="X2" s="60" t="s">
        <v>553</v>
      </c>
      <c r="Y2" s="9" t="s">
        <v>554</v>
      </c>
      <c r="Z2" s="9" t="s">
        <v>272</v>
      </c>
      <c r="AA2" s="9" t="s">
        <v>278</v>
      </c>
      <c r="AB2" s="9" t="s">
        <v>274</v>
      </c>
      <c r="AC2" s="13" t="s">
        <v>7</v>
      </c>
      <c r="AD2" s="22" t="s">
        <v>295</v>
      </c>
      <c r="AE2" s="35" t="s">
        <v>296</v>
      </c>
      <c r="AF2" s="12" t="s">
        <v>566</v>
      </c>
      <c r="AG2" s="12" t="s">
        <v>567</v>
      </c>
      <c r="AH2" s="11" t="s">
        <v>5</v>
      </c>
      <c r="AI2" s="56" t="s">
        <v>6</v>
      </c>
      <c r="AJ2" s="15" t="s">
        <v>234</v>
      </c>
      <c r="AK2" s="15" t="s">
        <v>14</v>
      </c>
      <c r="AL2" s="16" t="s">
        <v>156</v>
      </c>
    </row>
    <row r="3" spans="1:38" x14ac:dyDescent="0.25">
      <c r="A3" s="3" t="s">
        <v>9</v>
      </c>
      <c r="B3" s="45" t="s">
        <v>8</v>
      </c>
      <c r="C3" s="30">
        <v>255</v>
      </c>
      <c r="D3" s="38">
        <v>0</v>
      </c>
      <c r="E3" s="50">
        <f>ROUND(C3*(1-D3),0)</f>
        <v>255</v>
      </c>
      <c r="F3" s="23">
        <v>0.05</v>
      </c>
      <c r="G3" s="6">
        <v>25</v>
      </c>
      <c r="H3" s="6">
        <v>13</v>
      </c>
      <c r="I3" s="6">
        <v>11</v>
      </c>
      <c r="J3" s="78">
        <f>G3*H3*I3/1000</f>
        <v>3.5750000000000002</v>
      </c>
      <c r="K3" s="2">
        <f>ROUND(IF(J3/5&gt;F3,J3/5,F3),1)</f>
        <v>0.7</v>
      </c>
      <c r="L3" s="8">
        <v>0</v>
      </c>
      <c r="M3" s="1">
        <f t="shared" ref="M3:M178" si="0">IF(L3=0,0,IF(ROUND(E3*L3,0)&gt;20,ROUND(E3*L3,0),20))</f>
        <v>0</v>
      </c>
      <c r="N3" s="41">
        <v>0</v>
      </c>
      <c r="O3" s="84" t="s">
        <v>275</v>
      </c>
      <c r="P3" s="23" t="s">
        <v>562</v>
      </c>
      <c r="Q3" s="6" t="s">
        <v>557</v>
      </c>
      <c r="R3" s="6">
        <v>30</v>
      </c>
      <c r="S3" s="89">
        <v>0.09</v>
      </c>
      <c r="T3" s="6">
        <v>25</v>
      </c>
      <c r="U3" s="61"/>
      <c r="V3" s="1">
        <f>ROUNDUP(E3*S3,2)</f>
        <v>22.95</v>
      </c>
      <c r="W3" s="1">
        <f>ROUNDUP(E3*0.015,2)</f>
        <v>3.8299999999999996</v>
      </c>
      <c r="X3" s="61">
        <f>MAX(MIN(SUMIFS(Логистика!$C$2:$C$38,Логистика!$A$2:$A$38,"&lt;="&amp;K3,Логистика!$B$2:$B$38,"&gt;="&amp;K3)*E3,SUMIFS(Логистика!$E$2:$E$38,Логистика!$A$2:$A$38,"&lt;="&amp;K3,Логистика!$B$2:$B$38,"&gt;="&amp;K3)),SUMIFS(Логистика!$D$2:$D$38,Логистика!$A$2:$A$38,"&lt;="&amp;K3,Логистика!$B$2:$B$38,"&gt;="&amp;K3))</f>
        <v>45</v>
      </c>
      <c r="Y3" s="1">
        <f>IF(AND(E3*0.055&gt;20,E3*0.055&lt;250),ROUNDUP(E3*0.055,2),IF(E3*0.055&lt;=20,20,250))</f>
        <v>20</v>
      </c>
      <c r="Z3" s="1">
        <f>ROUND(M3*0.05,2)</f>
        <v>0</v>
      </c>
      <c r="AA3" s="1">
        <f>IF(N3=0,0,IF(ROUND(E3*N3,2)&gt;5,ROUND(E3*N3,2),5))</f>
        <v>0</v>
      </c>
      <c r="AB3" s="1">
        <f>IF(O3="Да",ROUND(E3*0.1111,2),0)</f>
        <v>0</v>
      </c>
      <c r="AC3" s="53">
        <f>IF(P3="FBS",T3,U3)+SUM(V3:AB3)</f>
        <v>116.78</v>
      </c>
      <c r="AD3" s="8">
        <v>0</v>
      </c>
      <c r="AE3" s="36">
        <f>ROUND(E3*AD3,2)</f>
        <v>0</v>
      </c>
      <c r="AF3" s="6">
        <v>15</v>
      </c>
      <c r="AG3" s="6">
        <v>15</v>
      </c>
      <c r="AH3" s="4">
        <v>77.489999999999995</v>
      </c>
      <c r="AI3" s="57">
        <f>E3-AC3-AE3-AH3-IF(P3="FBS",AF3,AG3)</f>
        <v>45.730000000000004</v>
      </c>
      <c r="AJ3" s="17">
        <f>E3-AC3</f>
        <v>138.22</v>
      </c>
      <c r="AK3" s="18">
        <f>ROUND(AI3/E3,2)</f>
        <v>0.18</v>
      </c>
      <c r="AL3" s="19">
        <f>ROUND(AI3/AH3,2)</f>
        <v>0.59</v>
      </c>
    </row>
    <row r="4" spans="1:38" x14ac:dyDescent="0.25">
      <c r="A4" s="27" t="s">
        <v>280</v>
      </c>
      <c r="B4" s="45" t="s">
        <v>17</v>
      </c>
      <c r="C4" s="30">
        <v>390</v>
      </c>
      <c r="D4" s="38">
        <v>0</v>
      </c>
      <c r="E4" s="50">
        <f>ROUND(C4*(1-D4),0)</f>
        <v>390</v>
      </c>
      <c r="F4" s="23">
        <v>0.1</v>
      </c>
      <c r="G4" s="6">
        <v>25</v>
      </c>
      <c r="H4" s="6">
        <v>13</v>
      </c>
      <c r="I4" s="6">
        <v>18</v>
      </c>
      <c r="J4" s="78">
        <f t="shared" ref="J4:J67" si="1">G4*H4*I4/1000</f>
        <v>5.85</v>
      </c>
      <c r="K4" s="2">
        <f>ROUND(IF(J4/5&gt;F4,J4/5,F4),1)</f>
        <v>1.2</v>
      </c>
      <c r="L4" s="8">
        <v>0</v>
      </c>
      <c r="M4" s="1">
        <f t="shared" si="0"/>
        <v>0</v>
      </c>
      <c r="N4" s="41">
        <v>0</v>
      </c>
      <c r="O4" s="84" t="s">
        <v>275</v>
      </c>
      <c r="P4" s="24" t="s">
        <v>562</v>
      </c>
      <c r="Q4" s="7" t="s">
        <v>557</v>
      </c>
      <c r="R4" s="7"/>
      <c r="S4" s="81">
        <v>0.09</v>
      </c>
      <c r="T4" s="7">
        <v>25</v>
      </c>
      <c r="U4" s="82"/>
      <c r="V4" s="83">
        <f>ROUNDUP(E4*S4,2)</f>
        <v>35.1</v>
      </c>
      <c r="W4" s="83">
        <f>ROUNDUP(E4*0.015,2)</f>
        <v>5.85</v>
      </c>
      <c r="X4" s="82">
        <f>MAX(MIN(SUMIFS(Логистика!$C$2:$C$38,Логистика!$A$2:$A$38,"&lt;="&amp;K4,Логистика!$B$2:$B$38,"&gt;="&amp;K4)*E4,SUMIFS(Логистика!$E$2:$E$38,Логистика!$A$2:$A$38,"&lt;="&amp;K4,Логистика!$B$2:$B$38,"&gt;="&amp;K4)),SUMIFS(Логистика!$D$2:$D$38,Логистика!$A$2:$A$38,"&lt;="&amp;K4,Логистика!$B$2:$B$38,"&gt;="&amp;K4))</f>
        <v>57</v>
      </c>
      <c r="Y4" s="83">
        <f>IF(AND(E4*0.055&gt;20,E4*0.055&lt;250),ROUNDUP(E4*0.055,2),IF(E4*0.055&lt;=20,20,250))</f>
        <v>21.45</v>
      </c>
      <c r="Z4" s="83">
        <f>ROUND(M4*0.05,2)</f>
        <v>0</v>
      </c>
      <c r="AA4" s="83">
        <f>IF(N4=0,0,IF(ROUND(E4*N4,2)&gt;5,ROUND(E4*N4,2),5))</f>
        <v>0</v>
      </c>
      <c r="AB4" s="83">
        <f>IF(O4="Да",ROUND(E4*0.1111,2),0)</f>
        <v>0</v>
      </c>
      <c r="AC4" s="53">
        <f>V4+W4+T4+X4+Y4+Z4+AA4+AB4</f>
        <v>144.4</v>
      </c>
      <c r="AD4" s="8">
        <v>0</v>
      </c>
      <c r="AE4" s="36">
        <f>ROUND(E4*AD4,2)</f>
        <v>0</v>
      </c>
      <c r="AF4" s="6">
        <v>15</v>
      </c>
      <c r="AG4" s="6">
        <v>15</v>
      </c>
      <c r="AH4" s="58">
        <f>AH3*2</f>
        <v>154.97999999999999</v>
      </c>
      <c r="AI4" s="57">
        <f>E4-AC4-AE4-AH4</f>
        <v>90.62</v>
      </c>
      <c r="AJ4" s="17">
        <f>E4-AC4</f>
        <v>245.6</v>
      </c>
      <c r="AK4" s="20">
        <f>ROUND(AI4/E4,2)</f>
        <v>0.23</v>
      </c>
      <c r="AL4" s="21">
        <f t="shared" ref="AL4:AL320" si="2">ROUND(AI4/AH4,2)</f>
        <v>0.57999999999999996</v>
      </c>
    </row>
    <row r="5" spans="1:38" x14ac:dyDescent="0.25">
      <c r="A5" s="27" t="s">
        <v>281</v>
      </c>
      <c r="B5" s="45" t="s">
        <v>16</v>
      </c>
      <c r="C5" s="30">
        <v>540</v>
      </c>
      <c r="D5" s="38">
        <v>0</v>
      </c>
      <c r="E5" s="50">
        <f>ROUND(C5*(1-D5),0)</f>
        <v>540</v>
      </c>
      <c r="F5" s="24">
        <v>0.15</v>
      </c>
      <c r="G5" s="6">
        <v>25</v>
      </c>
      <c r="H5" s="6">
        <v>13</v>
      </c>
      <c r="I5" s="6">
        <v>26</v>
      </c>
      <c r="J5" s="78">
        <f t="shared" si="1"/>
        <v>8.4499999999999993</v>
      </c>
      <c r="K5" s="2">
        <f t="shared" ref="K5:K68" si="3">ROUND(IF(J5/5&gt;F5,J5/5,F5),1)</f>
        <v>1.7</v>
      </c>
      <c r="L5" s="8">
        <v>0</v>
      </c>
      <c r="M5" s="1">
        <f t="shared" si="0"/>
        <v>0</v>
      </c>
      <c r="N5" s="41">
        <v>0</v>
      </c>
      <c r="O5" s="84" t="s">
        <v>275</v>
      </c>
      <c r="P5" s="24" t="s">
        <v>562</v>
      </c>
      <c r="Q5" s="7" t="s">
        <v>557</v>
      </c>
      <c r="R5" s="7"/>
      <c r="S5" s="81">
        <v>0.09</v>
      </c>
      <c r="T5" s="7">
        <v>25</v>
      </c>
      <c r="U5" s="82"/>
      <c r="V5" s="83">
        <f>ROUNDUP(E5*S5,2)</f>
        <v>48.6</v>
      </c>
      <c r="W5" s="83">
        <f>ROUNDUP(E5*0.015,2)</f>
        <v>8.1</v>
      </c>
      <c r="X5" s="82">
        <f>MAX(MIN(SUMIFS(Логистика!$C$2:$C$38,Логистика!$A$2:$A$38,"&lt;="&amp;K5,Логистика!$B$2:$B$38,"&gt;="&amp;K5)*E5,SUMIFS(Логистика!$E$2:$E$38,Логистика!$A$2:$A$38,"&lt;="&amp;K5,Логистика!$B$2:$B$38,"&gt;="&amp;K5)),SUMIFS(Логистика!$D$2:$D$38,Логистика!$A$2:$A$38,"&lt;="&amp;K5,Логистика!$B$2:$B$38,"&gt;="&amp;K5))</f>
        <v>69</v>
      </c>
      <c r="Y5" s="83">
        <f>IF(AND(E5*0.055&gt;20,E5*0.055&lt;250),ROUNDUP(E5*0.055,2),IF(E5*0.055&lt;=20,20,250))</f>
        <v>29.7</v>
      </c>
      <c r="Z5" s="83">
        <f>ROUND(M5*0.05,2)</f>
        <v>0</v>
      </c>
      <c r="AA5" s="83">
        <f>IF(N5=0,0,IF(ROUND(E5*N5,2)&gt;5,ROUND(E5*N5,2),5))</f>
        <v>0</v>
      </c>
      <c r="AB5" s="83">
        <f>IF(O5="Да",ROUND(E5*0.1111,2),0)</f>
        <v>0</v>
      </c>
      <c r="AC5" s="53">
        <f>V5+W5+T5+X5+Y5+Z5+AA5+AB5</f>
        <v>180.39999999999998</v>
      </c>
      <c r="AD5" s="8">
        <v>0</v>
      </c>
      <c r="AE5" s="36">
        <f>ROUND(E5*AD5,2)</f>
        <v>0</v>
      </c>
      <c r="AF5" s="6">
        <v>15</v>
      </c>
      <c r="AG5" s="6">
        <v>15</v>
      </c>
      <c r="AH5" s="58">
        <f>AH3*3</f>
        <v>232.46999999999997</v>
      </c>
      <c r="AI5" s="57">
        <f>E5-AC5-AE5-AH5</f>
        <v>127.13000000000005</v>
      </c>
      <c r="AJ5" s="17">
        <f>E5-AC5</f>
        <v>359.6</v>
      </c>
      <c r="AK5" s="20">
        <f>ROUND(AI5/E5,2)</f>
        <v>0.24</v>
      </c>
      <c r="AL5" s="21">
        <f t="shared" si="2"/>
        <v>0.55000000000000004</v>
      </c>
    </row>
    <row r="6" spans="1:38" x14ac:dyDescent="0.25">
      <c r="A6" s="27" t="s">
        <v>282</v>
      </c>
      <c r="B6" s="45" t="s">
        <v>27</v>
      </c>
      <c r="C6" s="30">
        <v>690</v>
      </c>
      <c r="D6" s="38">
        <v>0</v>
      </c>
      <c r="E6" s="50">
        <f>ROUND(C6*(1-D6),0)</f>
        <v>690</v>
      </c>
      <c r="F6" s="24">
        <v>0.2</v>
      </c>
      <c r="G6" s="6">
        <v>25</v>
      </c>
      <c r="H6" s="6">
        <v>13</v>
      </c>
      <c r="I6" s="6">
        <v>34</v>
      </c>
      <c r="J6" s="78">
        <f t="shared" si="1"/>
        <v>11.05</v>
      </c>
      <c r="K6" s="2">
        <f t="shared" si="3"/>
        <v>2.2000000000000002</v>
      </c>
      <c r="L6" s="8">
        <v>0</v>
      </c>
      <c r="M6" s="1">
        <f t="shared" si="0"/>
        <v>0</v>
      </c>
      <c r="N6" s="41">
        <v>0</v>
      </c>
      <c r="O6" s="84" t="s">
        <v>275</v>
      </c>
      <c r="P6" s="24" t="s">
        <v>562</v>
      </c>
      <c r="Q6" s="7" t="s">
        <v>557</v>
      </c>
      <c r="R6" s="7"/>
      <c r="S6" s="81">
        <v>0.09</v>
      </c>
      <c r="T6" s="7">
        <v>25</v>
      </c>
      <c r="U6" s="82"/>
      <c r="V6" s="83">
        <f>ROUNDUP(E6*S6,2)</f>
        <v>62.1</v>
      </c>
      <c r="W6" s="83">
        <f>ROUNDUP(E6*0.015,2)</f>
        <v>10.35</v>
      </c>
      <c r="X6" s="82">
        <f>MAX(MIN(SUMIFS(Логистика!$C$2:$C$38,Логистика!$A$2:$A$38,"&lt;="&amp;K6,Логистика!$B$2:$B$38,"&gt;="&amp;K6)*E6,SUMIFS(Логистика!$E$2:$E$38,Логистика!$A$2:$A$38,"&lt;="&amp;K6,Логистика!$B$2:$B$38,"&gt;="&amp;K6)),SUMIFS(Логистика!$D$2:$D$38,Логистика!$A$2:$A$38,"&lt;="&amp;K6,Логистика!$B$2:$B$38,"&gt;="&amp;K6))</f>
        <v>79</v>
      </c>
      <c r="Y6" s="83">
        <f>IF(AND(E6*0.055&gt;20,E6*0.055&lt;250),ROUNDUP(E6*0.055,2),IF(E6*0.055&lt;=20,20,250))</f>
        <v>37.950000000000003</v>
      </c>
      <c r="Z6" s="83">
        <f>ROUND(M6*0.05,2)</f>
        <v>0</v>
      </c>
      <c r="AA6" s="83">
        <f>IF(N6=0,0,IF(ROUND(E6*N6,2)&gt;5,ROUND(E6*N6,2),5))</f>
        <v>0</v>
      </c>
      <c r="AB6" s="83">
        <f>IF(O6="Да",ROUND(E6*0.1111,2),0)</f>
        <v>0</v>
      </c>
      <c r="AC6" s="53">
        <f>V6+W6+T6+X6+Y6+Z6+AA6+AB6</f>
        <v>214.39999999999998</v>
      </c>
      <c r="AD6" s="8">
        <v>0</v>
      </c>
      <c r="AE6" s="36">
        <f>ROUND(E6*AD6,2)</f>
        <v>0</v>
      </c>
      <c r="AF6" s="6">
        <v>15</v>
      </c>
      <c r="AG6" s="6">
        <v>15</v>
      </c>
      <c r="AH6" s="58">
        <f>AH3*4</f>
        <v>309.95999999999998</v>
      </c>
      <c r="AI6" s="57">
        <f>E6-AC6-AE6-AH6</f>
        <v>165.64000000000004</v>
      </c>
      <c r="AJ6" s="17">
        <f>E6-AC6</f>
        <v>475.6</v>
      </c>
      <c r="AK6" s="20">
        <f>ROUND(AI6/E6,2)</f>
        <v>0.24</v>
      </c>
      <c r="AL6" s="21">
        <f t="shared" ref="AL6" si="4">ROUND(AI6/AH6,2)</f>
        <v>0.53</v>
      </c>
    </row>
    <row r="7" spans="1:38" x14ac:dyDescent="0.25">
      <c r="A7" s="27" t="s">
        <v>283</v>
      </c>
      <c r="B7" s="45" t="s">
        <v>18</v>
      </c>
      <c r="C7" s="31">
        <v>810</v>
      </c>
      <c r="D7" s="38">
        <v>0</v>
      </c>
      <c r="E7" s="50">
        <f t="shared" ref="E7:E182" si="5">ROUND(C7*(1-D7),0)</f>
        <v>810</v>
      </c>
      <c r="F7" s="24">
        <v>0.25</v>
      </c>
      <c r="G7" s="6">
        <v>25</v>
      </c>
      <c r="H7" s="6">
        <v>13</v>
      </c>
      <c r="I7" s="7">
        <v>42</v>
      </c>
      <c r="J7" s="78">
        <f t="shared" si="1"/>
        <v>13.65</v>
      </c>
      <c r="K7" s="2">
        <f t="shared" si="3"/>
        <v>2.7</v>
      </c>
      <c r="L7" s="8">
        <v>0</v>
      </c>
      <c r="M7" s="1">
        <f t="shared" si="0"/>
        <v>0</v>
      </c>
      <c r="N7" s="41">
        <v>0</v>
      </c>
      <c r="O7" s="84" t="s">
        <v>275</v>
      </c>
      <c r="P7" s="24" t="s">
        <v>562</v>
      </c>
      <c r="Q7" s="7" t="s">
        <v>557</v>
      </c>
      <c r="R7" s="7"/>
      <c r="S7" s="81">
        <v>0.09</v>
      </c>
      <c r="T7" s="7">
        <v>25</v>
      </c>
      <c r="U7" s="82"/>
      <c r="V7" s="83">
        <f>ROUNDUP(E7*S7,2)</f>
        <v>72.900000000000006</v>
      </c>
      <c r="W7" s="83">
        <f>ROUNDUP(E7*0.015,2)</f>
        <v>12.15</v>
      </c>
      <c r="X7" s="82">
        <f>MAX(MIN(SUMIFS(Логистика!$C$2:$C$38,Логистика!$A$2:$A$38,"&lt;="&amp;K7,Логистика!$B$2:$B$38,"&gt;="&amp;K7)*E7,SUMIFS(Логистика!$E$2:$E$38,Логистика!$A$2:$A$38,"&lt;="&amp;K7,Логистика!$B$2:$B$38,"&gt;="&amp;K7)),SUMIFS(Логистика!$D$2:$D$38,Логистика!$A$2:$A$38,"&lt;="&amp;K7,Логистика!$B$2:$B$38,"&gt;="&amp;K7))</f>
        <v>79</v>
      </c>
      <c r="Y7" s="83">
        <f>IF(AND(E7*0.055&gt;20,E7*0.055&lt;250),ROUNDUP(E7*0.055,2),IF(E7*0.055&lt;=20,20,250))</f>
        <v>44.55</v>
      </c>
      <c r="Z7" s="83">
        <f>ROUND(M7*0.05,2)</f>
        <v>0</v>
      </c>
      <c r="AA7" s="83">
        <f>IF(N7=0,0,IF(ROUND(E7*N7,2)&gt;5,ROUND(E7*N7,2),5))</f>
        <v>0</v>
      </c>
      <c r="AB7" s="83">
        <f>IF(O7="Да",ROUND(E7*0.1111,2),0)</f>
        <v>0</v>
      </c>
      <c r="AC7" s="53">
        <f>V7+W7+T7+X7+Y7+Z7+AA7+AB7</f>
        <v>233.60000000000002</v>
      </c>
      <c r="AD7" s="8">
        <v>0</v>
      </c>
      <c r="AE7" s="36">
        <f>ROUND(E7*AD7,2)</f>
        <v>0</v>
      </c>
      <c r="AF7" s="6">
        <v>15</v>
      </c>
      <c r="AG7" s="6">
        <v>15</v>
      </c>
      <c r="AH7" s="58">
        <f>AH3*5</f>
        <v>387.45</v>
      </c>
      <c r="AI7" s="57">
        <f>E7-AC7-AE7-AH7</f>
        <v>188.95</v>
      </c>
      <c r="AJ7" s="17">
        <f>E7-AC7</f>
        <v>576.4</v>
      </c>
      <c r="AK7" s="20">
        <f>ROUND(AI7/E7,2)</f>
        <v>0.23</v>
      </c>
      <c r="AL7" s="21">
        <f t="shared" si="2"/>
        <v>0.49</v>
      </c>
    </row>
    <row r="8" spans="1:38" x14ac:dyDescent="0.25">
      <c r="A8" s="27" t="s">
        <v>284</v>
      </c>
      <c r="B8" s="45" t="s">
        <v>31</v>
      </c>
      <c r="C8" s="31">
        <v>970</v>
      </c>
      <c r="D8" s="38">
        <v>0</v>
      </c>
      <c r="E8" s="50">
        <f t="shared" si="5"/>
        <v>970</v>
      </c>
      <c r="F8" s="24">
        <v>0.3</v>
      </c>
      <c r="G8" s="6">
        <v>25</v>
      </c>
      <c r="H8" s="7">
        <v>24</v>
      </c>
      <c r="I8" s="7">
        <v>26</v>
      </c>
      <c r="J8" s="78">
        <f t="shared" si="1"/>
        <v>15.6</v>
      </c>
      <c r="K8" s="2">
        <f t="shared" si="3"/>
        <v>3.1</v>
      </c>
      <c r="L8" s="8">
        <v>0</v>
      </c>
      <c r="M8" s="1">
        <f t="shared" si="0"/>
        <v>0</v>
      </c>
      <c r="N8" s="41">
        <v>0</v>
      </c>
      <c r="O8" s="84" t="s">
        <v>275</v>
      </c>
      <c r="P8" s="24" t="s">
        <v>562</v>
      </c>
      <c r="Q8" s="7" t="s">
        <v>557</v>
      </c>
      <c r="R8" s="7"/>
      <c r="S8" s="81">
        <v>0.09</v>
      </c>
      <c r="T8" s="7">
        <v>25</v>
      </c>
      <c r="U8" s="82"/>
      <c r="V8" s="83">
        <f>ROUNDUP(E8*S8,2)</f>
        <v>87.3</v>
      </c>
      <c r="W8" s="83">
        <f>ROUNDUP(E8*0.015,2)</f>
        <v>14.55</v>
      </c>
      <c r="X8" s="82">
        <f>MAX(MIN(SUMIFS(Логистика!$C$2:$C$38,Логистика!$A$2:$A$38,"&lt;="&amp;K8,Логистика!$B$2:$B$38,"&gt;="&amp;K8)*E8,SUMIFS(Логистика!$E$2:$E$38,Логистика!$A$2:$A$38,"&lt;="&amp;K8,Логистика!$B$2:$B$38,"&gt;="&amp;K8)),SUMIFS(Логистика!$D$2:$D$38,Логистика!$A$2:$A$38,"&lt;="&amp;K8,Логистика!$B$2:$B$38,"&gt;="&amp;K8))</f>
        <v>100</v>
      </c>
      <c r="Y8" s="83">
        <f>IF(AND(E8*0.055&gt;20,E8*0.055&lt;250),ROUNDUP(E8*0.055,2),IF(E8*0.055&lt;=20,20,250))</f>
        <v>53.35</v>
      </c>
      <c r="Z8" s="83">
        <f>ROUND(M8*0.05,2)</f>
        <v>0</v>
      </c>
      <c r="AA8" s="83">
        <f>IF(N8=0,0,IF(ROUND(E8*N8,2)&gt;5,ROUND(E8*N8,2),5))</f>
        <v>0</v>
      </c>
      <c r="AB8" s="83">
        <f>IF(O8="Да",ROUND(E8*0.1111,2),0)</f>
        <v>0</v>
      </c>
      <c r="AC8" s="53">
        <f>V8+W8+T8+X8+Y8+Z8+AA8+AB8</f>
        <v>280.2</v>
      </c>
      <c r="AD8" s="8">
        <v>0</v>
      </c>
      <c r="AE8" s="36">
        <f>ROUND(E8*AD8,2)</f>
        <v>0</v>
      </c>
      <c r="AF8" s="6">
        <v>15</v>
      </c>
      <c r="AG8" s="6">
        <v>15</v>
      </c>
      <c r="AH8" s="58">
        <f>AH3*6</f>
        <v>464.93999999999994</v>
      </c>
      <c r="AI8" s="57">
        <f>E8-AC8-AE8-AH8</f>
        <v>224.86</v>
      </c>
      <c r="AJ8" s="17">
        <f>E8-AC8</f>
        <v>689.8</v>
      </c>
      <c r="AK8" s="20">
        <f>ROUND(AI8/E8,2)</f>
        <v>0.23</v>
      </c>
      <c r="AL8" s="21">
        <f t="shared" ref="AL8" si="6">ROUND(AI8/AH8,2)</f>
        <v>0.48</v>
      </c>
    </row>
    <row r="9" spans="1:38" x14ac:dyDescent="0.25">
      <c r="A9" s="27" t="s">
        <v>285</v>
      </c>
      <c r="B9" s="45" t="s">
        <v>32</v>
      </c>
      <c r="C9" s="31">
        <v>1250</v>
      </c>
      <c r="D9" s="38">
        <v>0</v>
      </c>
      <c r="E9" s="50">
        <f t="shared" si="5"/>
        <v>1250</v>
      </c>
      <c r="F9" s="24">
        <v>0.4</v>
      </c>
      <c r="G9" s="6">
        <v>25</v>
      </c>
      <c r="H9" s="7">
        <v>24</v>
      </c>
      <c r="I9" s="7">
        <v>34</v>
      </c>
      <c r="J9" s="78">
        <f t="shared" si="1"/>
        <v>20.399999999999999</v>
      </c>
      <c r="K9" s="2">
        <f t="shared" si="3"/>
        <v>4.0999999999999996</v>
      </c>
      <c r="L9" s="8">
        <v>0</v>
      </c>
      <c r="M9" s="1">
        <f t="shared" si="0"/>
        <v>0</v>
      </c>
      <c r="N9" s="41">
        <v>0</v>
      </c>
      <c r="O9" s="84" t="s">
        <v>275</v>
      </c>
      <c r="P9" s="24" t="s">
        <v>562</v>
      </c>
      <c r="Q9" s="7" t="s">
        <v>557</v>
      </c>
      <c r="R9" s="7"/>
      <c r="S9" s="81">
        <v>0.09</v>
      </c>
      <c r="T9" s="7">
        <v>25</v>
      </c>
      <c r="U9" s="82"/>
      <c r="V9" s="83">
        <f>ROUNDUP(E9*S9,2)</f>
        <v>112.5</v>
      </c>
      <c r="W9" s="83">
        <f>ROUNDUP(E9*0.015,2)</f>
        <v>18.75</v>
      </c>
      <c r="X9" s="82">
        <f>MAX(MIN(SUMIFS(Логистика!$C$2:$C$38,Логистика!$A$2:$A$38,"&lt;="&amp;K9,Логистика!$B$2:$B$38,"&gt;="&amp;K9)*E9,SUMIFS(Логистика!$E$2:$E$38,Логистика!$A$2:$A$38,"&lt;="&amp;K9,Логистика!$B$2:$B$38,"&gt;="&amp;K9)),SUMIFS(Логистика!$D$2:$D$38,Логистика!$A$2:$A$38,"&lt;="&amp;K9,Логистика!$B$2:$B$38,"&gt;="&amp;K9))</f>
        <v>120</v>
      </c>
      <c r="Y9" s="83">
        <f>IF(AND(E9*0.055&gt;20,E9*0.055&lt;250),ROUNDUP(E9*0.055,2),IF(E9*0.055&lt;=20,20,250))</f>
        <v>68.75</v>
      </c>
      <c r="Z9" s="83">
        <f>ROUND(M9*0.05,2)</f>
        <v>0</v>
      </c>
      <c r="AA9" s="83">
        <f>IF(N9=0,0,IF(ROUND(E9*N9,2)&gt;5,ROUND(E9*N9,2),5))</f>
        <v>0</v>
      </c>
      <c r="AB9" s="83">
        <f>IF(O9="Да",ROUND(E9*0.1111,2),0)</f>
        <v>0</v>
      </c>
      <c r="AC9" s="53">
        <f>V9+W9+T9+X9+Y9+Z9+AA9+AB9</f>
        <v>345</v>
      </c>
      <c r="AD9" s="8">
        <v>0</v>
      </c>
      <c r="AE9" s="36">
        <f>ROUND(E9*AD9,2)</f>
        <v>0</v>
      </c>
      <c r="AF9" s="6">
        <v>15</v>
      </c>
      <c r="AG9" s="6">
        <v>15</v>
      </c>
      <c r="AH9" s="58">
        <f>AH3*8</f>
        <v>619.91999999999996</v>
      </c>
      <c r="AI9" s="57">
        <f>E9-AC9-AE9-AH9</f>
        <v>285.08000000000004</v>
      </c>
      <c r="AJ9" s="17">
        <f>E9-AC9</f>
        <v>905</v>
      </c>
      <c r="AK9" s="20">
        <f>ROUND(AI9/E9,2)</f>
        <v>0.23</v>
      </c>
      <c r="AL9" s="21">
        <f t="shared" ref="AL9" si="7">ROUND(AI9/AH9,2)</f>
        <v>0.46</v>
      </c>
    </row>
    <row r="10" spans="1:38" x14ac:dyDescent="0.25">
      <c r="A10" s="27" t="s">
        <v>286</v>
      </c>
      <c r="B10" s="45" t="s">
        <v>19</v>
      </c>
      <c r="C10" s="31">
        <v>1520</v>
      </c>
      <c r="D10" s="38">
        <v>0</v>
      </c>
      <c r="E10" s="50">
        <f t="shared" si="5"/>
        <v>1520</v>
      </c>
      <c r="F10" s="24">
        <v>0.5</v>
      </c>
      <c r="G10" s="6">
        <v>25</v>
      </c>
      <c r="H10" s="7">
        <v>24</v>
      </c>
      <c r="I10" s="7">
        <v>42</v>
      </c>
      <c r="J10" s="78">
        <f t="shared" si="1"/>
        <v>25.2</v>
      </c>
      <c r="K10" s="2">
        <f t="shared" si="3"/>
        <v>5</v>
      </c>
      <c r="L10" s="8">
        <v>0</v>
      </c>
      <c r="M10" s="1">
        <f t="shared" si="0"/>
        <v>0</v>
      </c>
      <c r="N10" s="41">
        <v>0</v>
      </c>
      <c r="O10" s="84" t="s">
        <v>275</v>
      </c>
      <c r="P10" s="24" t="s">
        <v>562</v>
      </c>
      <c r="Q10" s="7" t="s">
        <v>557</v>
      </c>
      <c r="R10" s="7"/>
      <c r="S10" s="81">
        <v>0.09</v>
      </c>
      <c r="T10" s="7">
        <v>25</v>
      </c>
      <c r="U10" s="82"/>
      <c r="V10" s="83">
        <f>ROUNDUP(E10*S10,2)</f>
        <v>136.80000000000001</v>
      </c>
      <c r="W10" s="83">
        <f>ROUNDUP(E10*0.015,2)</f>
        <v>22.8</v>
      </c>
      <c r="X10" s="82">
        <f>MAX(MIN(SUMIFS(Логистика!$C$2:$C$38,Логистика!$A$2:$A$38,"&lt;="&amp;K10,Логистика!$B$2:$B$38,"&gt;="&amp;K10)*E10,SUMIFS(Логистика!$E$2:$E$38,Логистика!$A$2:$A$38,"&lt;="&amp;K10,Логистика!$B$2:$B$38,"&gt;="&amp;K10)),SUMIFS(Логистика!$D$2:$D$38,Логистика!$A$2:$A$38,"&lt;="&amp;K10,Логистика!$B$2:$B$38,"&gt;="&amp;K10))</f>
        <v>135</v>
      </c>
      <c r="Y10" s="83">
        <f>IF(AND(E10*0.055&gt;20,E10*0.055&lt;250),ROUNDUP(E10*0.055,2),IF(E10*0.055&lt;=20,20,250))</f>
        <v>83.6</v>
      </c>
      <c r="Z10" s="83">
        <f>ROUND(M10*0.05,2)</f>
        <v>0</v>
      </c>
      <c r="AA10" s="83">
        <f>IF(N10=0,0,IF(ROUND(E10*N10,2)&gt;5,ROUND(E10*N10,2),5))</f>
        <v>0</v>
      </c>
      <c r="AB10" s="83">
        <f>IF(O10="Да",ROUND(E10*0.1111,2),0)</f>
        <v>0</v>
      </c>
      <c r="AC10" s="53">
        <f>V10+W10+T10+X10+Y10+Z10+AA10+AB10</f>
        <v>403.20000000000005</v>
      </c>
      <c r="AD10" s="8">
        <v>0</v>
      </c>
      <c r="AE10" s="36">
        <f>ROUND(E10*AD10,2)</f>
        <v>0</v>
      </c>
      <c r="AF10" s="6">
        <v>15</v>
      </c>
      <c r="AG10" s="6">
        <v>15</v>
      </c>
      <c r="AH10" s="58">
        <f>AH3*10</f>
        <v>774.9</v>
      </c>
      <c r="AI10" s="57">
        <f>E10-AC10-AE10-AH10</f>
        <v>341.9</v>
      </c>
      <c r="AJ10" s="17">
        <f>E10-AC10</f>
        <v>1116.8</v>
      </c>
      <c r="AK10" s="20">
        <f>ROUND(AI10/E10,2)</f>
        <v>0.22</v>
      </c>
      <c r="AL10" s="21">
        <f t="shared" si="2"/>
        <v>0.44</v>
      </c>
    </row>
    <row r="11" spans="1:38" x14ac:dyDescent="0.25">
      <c r="A11" s="27" t="s">
        <v>287</v>
      </c>
      <c r="B11" s="45" t="s">
        <v>20</v>
      </c>
      <c r="C11" s="31">
        <v>4750</v>
      </c>
      <c r="D11" s="38">
        <v>0</v>
      </c>
      <c r="E11" s="50">
        <f t="shared" si="5"/>
        <v>4750</v>
      </c>
      <c r="F11" s="24">
        <v>1.97</v>
      </c>
      <c r="G11" s="7">
        <v>79</v>
      </c>
      <c r="H11" s="7">
        <v>40</v>
      </c>
      <c r="I11" s="7">
        <v>25</v>
      </c>
      <c r="J11" s="78">
        <f t="shared" si="1"/>
        <v>79</v>
      </c>
      <c r="K11" s="2">
        <f t="shared" si="3"/>
        <v>15.8</v>
      </c>
      <c r="L11" s="8">
        <v>0</v>
      </c>
      <c r="M11" s="1">
        <f t="shared" si="0"/>
        <v>0</v>
      </c>
      <c r="N11" s="41">
        <v>0</v>
      </c>
      <c r="O11" s="84" t="s">
        <v>275</v>
      </c>
      <c r="P11" s="24" t="s">
        <v>562</v>
      </c>
      <c r="Q11" s="7" t="s">
        <v>557</v>
      </c>
      <c r="R11" s="7"/>
      <c r="S11" s="81">
        <v>0.09</v>
      </c>
      <c r="T11" s="7">
        <v>25</v>
      </c>
      <c r="U11" s="82"/>
      <c r="V11" s="83">
        <f>ROUNDUP(E11*S11,2)</f>
        <v>427.5</v>
      </c>
      <c r="W11" s="83">
        <f>ROUNDUP(E11*0.015,2)</f>
        <v>71.25</v>
      </c>
      <c r="X11" s="82">
        <f>MAX(MIN(SUMIFS(Логистика!$C$2:$C$38,Логистика!$A$2:$A$38,"&lt;="&amp;K11,Логистика!$B$2:$B$38,"&gt;="&amp;K11)*E11,SUMIFS(Логистика!$E$2:$E$38,Логистика!$A$2:$A$38,"&lt;="&amp;K11,Логистика!$B$2:$B$38,"&gt;="&amp;K11)),SUMIFS(Логистика!$D$2:$D$38,Логистика!$A$2:$A$38,"&lt;="&amp;K11,Логистика!$B$2:$B$38,"&gt;="&amp;K11))</f>
        <v>400</v>
      </c>
      <c r="Y11" s="83">
        <f>IF(AND(E11*0.055&gt;20,E11*0.055&lt;250),ROUNDUP(E11*0.055,2),IF(E11*0.055&lt;=20,20,250))</f>
        <v>250</v>
      </c>
      <c r="Z11" s="83">
        <f>ROUND(M11*0.05,2)</f>
        <v>0</v>
      </c>
      <c r="AA11" s="83">
        <f>IF(N11=0,0,IF(ROUND(E11*N11,2)&gt;5,ROUND(E11*N11,2),5))</f>
        <v>0</v>
      </c>
      <c r="AB11" s="83">
        <f>IF(O11="Да",ROUND(E11*0.1111,2),0)</f>
        <v>0</v>
      </c>
      <c r="AC11" s="53">
        <f>V11+W11+T11+X11+Y11+Z11+AA11+AB11</f>
        <v>1173.75</v>
      </c>
      <c r="AD11" s="8">
        <v>0</v>
      </c>
      <c r="AE11" s="36">
        <f>ROUND(E11*AD11,2)</f>
        <v>0</v>
      </c>
      <c r="AF11" s="6">
        <v>15</v>
      </c>
      <c r="AG11" s="6">
        <v>15</v>
      </c>
      <c r="AH11" s="58">
        <f>AH3*35</f>
        <v>2712.1499999999996</v>
      </c>
      <c r="AI11" s="57">
        <f>E11-AC11-AE11-AH11</f>
        <v>864.10000000000036</v>
      </c>
      <c r="AJ11" s="17">
        <f>E11-AC11</f>
        <v>3576.25</v>
      </c>
      <c r="AK11" s="20">
        <f>ROUND(AI11/E11,2)</f>
        <v>0.18</v>
      </c>
      <c r="AL11" s="21">
        <f t="shared" si="2"/>
        <v>0.32</v>
      </c>
    </row>
    <row r="12" spans="1:38" x14ac:dyDescent="0.25">
      <c r="A12" s="27"/>
      <c r="B12" s="46"/>
      <c r="C12" s="31"/>
      <c r="D12" s="38">
        <v>0</v>
      </c>
      <c r="E12" s="50">
        <f t="shared" si="5"/>
        <v>0</v>
      </c>
      <c r="F12" s="24"/>
      <c r="G12" s="7">
        <v>0</v>
      </c>
      <c r="H12" s="7">
        <v>0</v>
      </c>
      <c r="I12" s="7">
        <v>0</v>
      </c>
      <c r="J12" s="78">
        <f t="shared" si="1"/>
        <v>0</v>
      </c>
      <c r="K12" s="2">
        <f t="shared" si="3"/>
        <v>0</v>
      </c>
      <c r="L12" s="8">
        <v>0</v>
      </c>
      <c r="M12" s="1">
        <f t="shared" si="0"/>
        <v>0</v>
      </c>
      <c r="N12" s="41">
        <v>0</v>
      </c>
      <c r="O12" s="84" t="s">
        <v>275</v>
      </c>
      <c r="P12" s="24" t="s">
        <v>562</v>
      </c>
      <c r="Q12" s="7" t="s">
        <v>557</v>
      </c>
      <c r="R12" s="7"/>
      <c r="S12" s="81"/>
      <c r="T12" s="7"/>
      <c r="U12" s="82"/>
      <c r="V12" s="83">
        <f>ROUNDUP(E12*S12,2)</f>
        <v>0</v>
      </c>
      <c r="W12" s="83">
        <f>ROUNDUP(E12*0.015,2)</f>
        <v>0</v>
      </c>
      <c r="X12" s="82">
        <f>MAX(MIN(SUMIFS(Логистика!$C$2:$C$38,Логистика!$A$2:$A$38,"&lt;="&amp;K12,Логистика!$B$2:$B$38,"&gt;="&amp;K12)*E12,SUMIFS(Логистика!$E$2:$E$38,Логистика!$A$2:$A$38,"&lt;="&amp;K12,Логистика!$B$2:$B$38,"&gt;="&amp;K12)),SUMIFS(Логистика!$D$2:$D$38,Логистика!$A$2:$A$38,"&lt;="&amp;K12,Логистика!$B$2:$B$38,"&gt;="&amp;K12))</f>
        <v>0</v>
      </c>
      <c r="Y12" s="83">
        <f>IF(AND(E12*0.055&gt;20,E12*0.055&lt;250),ROUNDUP(E12*0.055,2),IF(E12*0.055&lt;=20,20,250))</f>
        <v>20</v>
      </c>
      <c r="Z12" s="83">
        <f>ROUND(M12*0.05,2)</f>
        <v>0</v>
      </c>
      <c r="AA12" s="83">
        <f>IF(N12=0,0,IF(ROUND(E12*N12,2)&gt;5,ROUND(E12*N12,2),5))</f>
        <v>0</v>
      </c>
      <c r="AB12" s="83">
        <f>IF(O12="Да",ROUND(E12*0.1111,2),0)</f>
        <v>0</v>
      </c>
      <c r="AC12" s="53">
        <f>V12+W12+T12+X12+Y12+Z12+AA12+AB12</f>
        <v>20</v>
      </c>
      <c r="AD12" s="8">
        <v>0</v>
      </c>
      <c r="AE12" s="36">
        <f>ROUND(E12*AD12,2)</f>
        <v>0</v>
      </c>
      <c r="AF12" s="6">
        <v>15</v>
      </c>
      <c r="AG12" s="6">
        <v>15</v>
      </c>
      <c r="AH12" s="5"/>
      <c r="AI12" s="57">
        <f>E12-AC12-AE12-AH12</f>
        <v>-20</v>
      </c>
      <c r="AJ12" s="17">
        <f>E12-AC12</f>
        <v>-20</v>
      </c>
      <c r="AK12" s="20" t="e">
        <f>ROUND(AI12/E12,2)</f>
        <v>#DIV/0!</v>
      </c>
      <c r="AL12" s="21" t="e">
        <f t="shared" si="2"/>
        <v>#DIV/0!</v>
      </c>
    </row>
    <row r="13" spans="1:38" x14ac:dyDescent="0.25">
      <c r="A13" s="27"/>
      <c r="B13" s="46"/>
      <c r="C13" s="31"/>
      <c r="D13" s="38">
        <v>0</v>
      </c>
      <c r="E13" s="50">
        <f t="shared" si="5"/>
        <v>0</v>
      </c>
      <c r="F13" s="24"/>
      <c r="G13" s="7">
        <v>0</v>
      </c>
      <c r="H13" s="7">
        <v>0</v>
      </c>
      <c r="I13" s="7">
        <v>0</v>
      </c>
      <c r="J13" s="78">
        <f t="shared" si="1"/>
        <v>0</v>
      </c>
      <c r="K13" s="2">
        <f t="shared" si="3"/>
        <v>0</v>
      </c>
      <c r="L13" s="8">
        <v>0</v>
      </c>
      <c r="M13" s="1">
        <f t="shared" si="0"/>
        <v>0</v>
      </c>
      <c r="N13" s="41">
        <v>0</v>
      </c>
      <c r="O13" s="84" t="s">
        <v>275</v>
      </c>
      <c r="P13" s="24" t="s">
        <v>562</v>
      </c>
      <c r="Q13" s="7" t="s">
        <v>557</v>
      </c>
      <c r="R13" s="7"/>
      <c r="S13" s="81"/>
      <c r="T13" s="7"/>
      <c r="U13" s="82"/>
      <c r="V13" s="83">
        <f>ROUNDUP(E13*S13,2)</f>
        <v>0</v>
      </c>
      <c r="W13" s="83">
        <f>ROUNDUP(E13*0.015,2)</f>
        <v>0</v>
      </c>
      <c r="X13" s="82">
        <f>MAX(MIN(SUMIFS(Логистика!$C$2:$C$38,Логистика!$A$2:$A$38,"&lt;="&amp;K13,Логистика!$B$2:$B$38,"&gt;="&amp;K13)*E13,SUMIFS(Логистика!$E$2:$E$38,Логистика!$A$2:$A$38,"&lt;="&amp;K13,Логистика!$B$2:$B$38,"&gt;="&amp;K13)),SUMIFS(Логистика!$D$2:$D$38,Логистика!$A$2:$A$38,"&lt;="&amp;K13,Логистика!$B$2:$B$38,"&gt;="&amp;K13))</f>
        <v>0</v>
      </c>
      <c r="Y13" s="83">
        <f>IF(AND(E13*0.055&gt;20,E13*0.055&lt;250),ROUNDUP(E13*0.055,2),IF(E13*0.055&lt;=20,20,250))</f>
        <v>20</v>
      </c>
      <c r="Z13" s="83">
        <f>ROUND(M13*0.05,2)</f>
        <v>0</v>
      </c>
      <c r="AA13" s="83">
        <f>IF(N13=0,0,IF(ROUND(E13*N13,2)&gt;5,ROUND(E13*N13,2),5))</f>
        <v>0</v>
      </c>
      <c r="AB13" s="83">
        <f>IF(O13="Да",ROUND(E13*0.1111,2),0)</f>
        <v>0</v>
      </c>
      <c r="AC13" s="53">
        <f>V13+W13+T13+X13+Y13+Z13+AA13+AB13</f>
        <v>20</v>
      </c>
      <c r="AD13" s="8">
        <v>0</v>
      </c>
      <c r="AE13" s="36">
        <f>ROUND(E13*AD13,2)</f>
        <v>0</v>
      </c>
      <c r="AF13" s="6">
        <v>15</v>
      </c>
      <c r="AG13" s="6">
        <v>15</v>
      </c>
      <c r="AH13" s="5"/>
      <c r="AI13" s="57">
        <f>E13-AC13-AE13-AH13</f>
        <v>-20</v>
      </c>
      <c r="AJ13" s="17">
        <f>E13-AC13</f>
        <v>-20</v>
      </c>
      <c r="AK13" s="20" t="e">
        <f>ROUND(AI13/E13,2)</f>
        <v>#DIV/0!</v>
      </c>
      <c r="AL13" s="21" t="e">
        <f t="shared" si="2"/>
        <v>#DIV/0!</v>
      </c>
    </row>
    <row r="14" spans="1:38" x14ac:dyDescent="0.25">
      <c r="A14" s="27" t="s">
        <v>140</v>
      </c>
      <c r="B14" s="45" t="s">
        <v>15</v>
      </c>
      <c r="C14" s="31">
        <v>265</v>
      </c>
      <c r="D14" s="38">
        <v>0</v>
      </c>
      <c r="E14" s="50">
        <f t="shared" si="5"/>
        <v>265</v>
      </c>
      <c r="F14" s="23">
        <v>0.05</v>
      </c>
      <c r="G14" s="6">
        <v>25</v>
      </c>
      <c r="H14" s="6">
        <v>13</v>
      </c>
      <c r="I14" s="6">
        <v>11</v>
      </c>
      <c r="J14" s="78">
        <f t="shared" si="1"/>
        <v>3.5750000000000002</v>
      </c>
      <c r="K14" s="2">
        <f t="shared" si="3"/>
        <v>0.7</v>
      </c>
      <c r="L14" s="8">
        <v>0</v>
      </c>
      <c r="M14" s="1">
        <f t="shared" si="0"/>
        <v>0</v>
      </c>
      <c r="N14" s="41">
        <v>0</v>
      </c>
      <c r="O14" s="84" t="s">
        <v>275</v>
      </c>
      <c r="P14" s="24" t="s">
        <v>562</v>
      </c>
      <c r="Q14" s="7" t="s">
        <v>557</v>
      </c>
      <c r="R14" s="7"/>
      <c r="S14" s="81">
        <v>0.09</v>
      </c>
      <c r="T14" s="7">
        <v>25</v>
      </c>
      <c r="U14" s="82"/>
      <c r="V14" s="83">
        <f>ROUNDUP(E14*S14,2)</f>
        <v>23.85</v>
      </c>
      <c r="W14" s="83">
        <f>ROUNDUP(E14*0.015,2)</f>
        <v>3.98</v>
      </c>
      <c r="X14" s="82">
        <f>MAX(MIN(SUMIFS(Логистика!$C$2:$C$38,Логистика!$A$2:$A$38,"&lt;="&amp;K14,Логистика!$B$2:$B$38,"&gt;="&amp;K14)*E14,SUMIFS(Логистика!$E$2:$E$38,Логистика!$A$2:$A$38,"&lt;="&amp;K14,Логистика!$B$2:$B$38,"&gt;="&amp;K14)),SUMIFS(Логистика!$D$2:$D$38,Логистика!$A$2:$A$38,"&lt;="&amp;K14,Логистика!$B$2:$B$38,"&gt;="&amp;K14))</f>
        <v>45</v>
      </c>
      <c r="Y14" s="83">
        <f>IF(AND(E14*0.055&gt;20,E14*0.055&lt;250),ROUNDUP(E14*0.055,2),IF(E14*0.055&lt;=20,20,250))</f>
        <v>20</v>
      </c>
      <c r="Z14" s="83">
        <f>ROUND(M14*0.05,2)</f>
        <v>0</v>
      </c>
      <c r="AA14" s="83">
        <f>IF(N14=0,0,IF(ROUND(E14*N14,2)&gt;5,ROUND(E14*N14,2),5))</f>
        <v>0</v>
      </c>
      <c r="AB14" s="83">
        <f>IF(O14="Да",ROUND(E14*0.1111,2),0)</f>
        <v>0</v>
      </c>
      <c r="AC14" s="53">
        <f>V14+W14+T14+X14+Y14+Z14+AA14+AB14</f>
        <v>117.83</v>
      </c>
      <c r="AD14" s="8">
        <v>0</v>
      </c>
      <c r="AE14" s="36">
        <f>ROUND(E14*AD14,2)</f>
        <v>0</v>
      </c>
      <c r="AF14" s="6">
        <v>15</v>
      </c>
      <c r="AG14" s="6">
        <v>15</v>
      </c>
      <c r="AH14" s="5">
        <v>80.19</v>
      </c>
      <c r="AI14" s="57">
        <f>E14-AC14-AE14-AH14</f>
        <v>66.980000000000018</v>
      </c>
      <c r="AJ14" s="17">
        <f>E14-AC14</f>
        <v>147.17000000000002</v>
      </c>
      <c r="AK14" s="20">
        <f>ROUND(AI14/E14,2)</f>
        <v>0.25</v>
      </c>
      <c r="AL14" s="21">
        <f>ROUND(AI14/AH14,2)</f>
        <v>0.84</v>
      </c>
    </row>
    <row r="15" spans="1:38" x14ac:dyDescent="0.25">
      <c r="A15" s="27" t="s">
        <v>141</v>
      </c>
      <c r="B15" s="45" t="s">
        <v>22</v>
      </c>
      <c r="C15" s="31">
        <v>410</v>
      </c>
      <c r="D15" s="38">
        <v>0</v>
      </c>
      <c r="E15" s="50">
        <f t="shared" si="5"/>
        <v>410</v>
      </c>
      <c r="F15" s="23">
        <v>0.1</v>
      </c>
      <c r="G15" s="6">
        <v>25</v>
      </c>
      <c r="H15" s="6">
        <v>13</v>
      </c>
      <c r="I15" s="6">
        <v>18</v>
      </c>
      <c r="J15" s="78">
        <f t="shared" si="1"/>
        <v>5.85</v>
      </c>
      <c r="K15" s="2">
        <f t="shared" si="3"/>
        <v>1.2</v>
      </c>
      <c r="L15" s="8">
        <v>0</v>
      </c>
      <c r="M15" s="1">
        <f t="shared" si="0"/>
        <v>0</v>
      </c>
      <c r="N15" s="41">
        <v>0</v>
      </c>
      <c r="O15" s="84" t="s">
        <v>275</v>
      </c>
      <c r="P15" s="24" t="s">
        <v>562</v>
      </c>
      <c r="Q15" s="7" t="s">
        <v>557</v>
      </c>
      <c r="R15" s="7"/>
      <c r="S15" s="81">
        <v>0.09</v>
      </c>
      <c r="T15" s="7">
        <v>25</v>
      </c>
      <c r="U15" s="82"/>
      <c r="V15" s="83">
        <f>ROUNDUP(E15*S15,2)</f>
        <v>36.9</v>
      </c>
      <c r="W15" s="83">
        <f>ROUNDUP(E15*0.015,2)</f>
        <v>6.15</v>
      </c>
      <c r="X15" s="82">
        <f>MAX(MIN(SUMIFS(Логистика!$C$2:$C$38,Логистика!$A$2:$A$38,"&lt;="&amp;K15,Логистика!$B$2:$B$38,"&gt;="&amp;K15)*E15,SUMIFS(Логистика!$E$2:$E$38,Логистика!$A$2:$A$38,"&lt;="&amp;K15,Логистика!$B$2:$B$38,"&gt;="&amp;K15)),SUMIFS(Логистика!$D$2:$D$38,Логистика!$A$2:$A$38,"&lt;="&amp;K15,Логистика!$B$2:$B$38,"&gt;="&amp;K15))</f>
        <v>57</v>
      </c>
      <c r="Y15" s="83">
        <f>IF(AND(E15*0.055&gt;20,E15*0.055&lt;250),ROUNDUP(E15*0.055,2),IF(E15*0.055&lt;=20,20,250))</f>
        <v>22.55</v>
      </c>
      <c r="Z15" s="83">
        <f>ROUND(M15*0.05,2)</f>
        <v>0</v>
      </c>
      <c r="AA15" s="83">
        <f>IF(N15=0,0,IF(ROUND(E15*N15,2)&gt;5,ROUND(E15*N15,2),5))</f>
        <v>0</v>
      </c>
      <c r="AB15" s="83">
        <f>IF(O15="Да",ROUND(E15*0.1111,2),0)</f>
        <v>0</v>
      </c>
      <c r="AC15" s="53">
        <f>V15+W15+T15+X15+Y15+Z15+AA15+AB15</f>
        <v>147.6</v>
      </c>
      <c r="AD15" s="8">
        <v>0</v>
      </c>
      <c r="AE15" s="36">
        <f>ROUND(E15*AD15,2)</f>
        <v>0</v>
      </c>
      <c r="AF15" s="6">
        <v>15</v>
      </c>
      <c r="AG15" s="6">
        <v>15</v>
      </c>
      <c r="AH15" s="58">
        <f>AH14*2</f>
        <v>160.38</v>
      </c>
      <c r="AI15" s="57">
        <f>E15-AC15-AE15-AH15</f>
        <v>102.01999999999998</v>
      </c>
      <c r="AJ15" s="17">
        <f>E15-AC15</f>
        <v>262.39999999999998</v>
      </c>
      <c r="AK15" s="20">
        <f>ROUND(AI15/E15,2)</f>
        <v>0.25</v>
      </c>
      <c r="AL15" s="21">
        <f t="shared" ref="AL15:AL23" si="8">ROUND(AI15/AH15,2)</f>
        <v>0.64</v>
      </c>
    </row>
    <row r="16" spans="1:38" x14ac:dyDescent="0.25">
      <c r="A16" s="27" t="s">
        <v>142</v>
      </c>
      <c r="B16" s="45" t="s">
        <v>23</v>
      </c>
      <c r="C16" s="31">
        <v>560</v>
      </c>
      <c r="D16" s="38">
        <v>0</v>
      </c>
      <c r="E16" s="50">
        <f t="shared" si="5"/>
        <v>560</v>
      </c>
      <c r="F16" s="24">
        <v>0.15</v>
      </c>
      <c r="G16" s="6">
        <v>25</v>
      </c>
      <c r="H16" s="6">
        <v>13</v>
      </c>
      <c r="I16" s="6">
        <v>26</v>
      </c>
      <c r="J16" s="78">
        <f t="shared" si="1"/>
        <v>8.4499999999999993</v>
      </c>
      <c r="K16" s="2">
        <f t="shared" si="3"/>
        <v>1.7</v>
      </c>
      <c r="L16" s="8">
        <v>0</v>
      </c>
      <c r="M16" s="1">
        <f t="shared" si="0"/>
        <v>0</v>
      </c>
      <c r="N16" s="41">
        <v>0</v>
      </c>
      <c r="O16" s="84" t="s">
        <v>275</v>
      </c>
      <c r="P16" s="24" t="s">
        <v>562</v>
      </c>
      <c r="Q16" s="7" t="s">
        <v>557</v>
      </c>
      <c r="R16" s="7"/>
      <c r="S16" s="81">
        <v>0.09</v>
      </c>
      <c r="T16" s="7">
        <v>25</v>
      </c>
      <c r="U16" s="82"/>
      <c r="V16" s="83">
        <f>ROUNDUP(E16*S16,2)</f>
        <v>50.4</v>
      </c>
      <c r="W16" s="83">
        <f>ROUNDUP(E16*0.015,2)</f>
        <v>8.4</v>
      </c>
      <c r="X16" s="82">
        <f>MAX(MIN(SUMIFS(Логистика!$C$2:$C$38,Логистика!$A$2:$A$38,"&lt;="&amp;K16,Логистика!$B$2:$B$38,"&gt;="&amp;K16)*E16,SUMIFS(Логистика!$E$2:$E$38,Логистика!$A$2:$A$38,"&lt;="&amp;K16,Логистика!$B$2:$B$38,"&gt;="&amp;K16)),SUMIFS(Логистика!$D$2:$D$38,Логистика!$A$2:$A$38,"&lt;="&amp;K16,Логистика!$B$2:$B$38,"&gt;="&amp;K16))</f>
        <v>69</v>
      </c>
      <c r="Y16" s="83">
        <f>IF(AND(E16*0.055&gt;20,E16*0.055&lt;250),ROUNDUP(E16*0.055,2),IF(E16*0.055&lt;=20,20,250))</f>
        <v>30.8</v>
      </c>
      <c r="Z16" s="83">
        <f>ROUND(M16*0.05,2)</f>
        <v>0</v>
      </c>
      <c r="AA16" s="83">
        <f>IF(N16=0,0,IF(ROUND(E16*N16,2)&gt;5,ROUND(E16*N16,2),5))</f>
        <v>0</v>
      </c>
      <c r="AB16" s="83">
        <f>IF(O16="Да",ROUND(E16*0.1111,2),0)</f>
        <v>0</v>
      </c>
      <c r="AC16" s="53">
        <f>V16+W16+T16+X16+Y16+Z16+AA16+AB16</f>
        <v>183.60000000000002</v>
      </c>
      <c r="AD16" s="8">
        <v>0</v>
      </c>
      <c r="AE16" s="36">
        <f>ROUND(E16*AD16,2)</f>
        <v>0</v>
      </c>
      <c r="AF16" s="6">
        <v>15</v>
      </c>
      <c r="AG16" s="6">
        <v>15</v>
      </c>
      <c r="AH16" s="58">
        <f>AH14*3</f>
        <v>240.57</v>
      </c>
      <c r="AI16" s="57">
        <f>E16-AC16-AE16-AH16</f>
        <v>135.82999999999998</v>
      </c>
      <c r="AJ16" s="17">
        <f>E16-AC16</f>
        <v>376.4</v>
      </c>
      <c r="AK16" s="20">
        <f>ROUND(AI16/E16,2)</f>
        <v>0.24</v>
      </c>
      <c r="AL16" s="21">
        <f t="shared" si="8"/>
        <v>0.56000000000000005</v>
      </c>
    </row>
    <row r="17" spans="1:38" x14ac:dyDescent="0.25">
      <c r="A17" s="27" t="s">
        <v>143</v>
      </c>
      <c r="B17" s="45" t="s">
        <v>149</v>
      </c>
      <c r="C17" s="31">
        <v>720</v>
      </c>
      <c r="D17" s="38">
        <v>0</v>
      </c>
      <c r="E17" s="50">
        <f t="shared" si="5"/>
        <v>720</v>
      </c>
      <c r="F17" s="24">
        <v>0.2</v>
      </c>
      <c r="G17" s="6">
        <v>25</v>
      </c>
      <c r="H17" s="6">
        <v>13</v>
      </c>
      <c r="I17" s="6">
        <v>34</v>
      </c>
      <c r="J17" s="78">
        <f t="shared" si="1"/>
        <v>11.05</v>
      </c>
      <c r="K17" s="2">
        <f t="shared" si="3"/>
        <v>2.2000000000000002</v>
      </c>
      <c r="L17" s="8">
        <v>0</v>
      </c>
      <c r="M17" s="1">
        <f t="shared" si="0"/>
        <v>0</v>
      </c>
      <c r="N17" s="41">
        <v>0</v>
      </c>
      <c r="O17" s="84" t="s">
        <v>275</v>
      </c>
      <c r="P17" s="24" t="s">
        <v>562</v>
      </c>
      <c r="Q17" s="7" t="s">
        <v>557</v>
      </c>
      <c r="R17" s="7"/>
      <c r="S17" s="81">
        <v>0.09</v>
      </c>
      <c r="T17" s="7">
        <v>25</v>
      </c>
      <c r="U17" s="82"/>
      <c r="V17" s="83">
        <f>ROUNDUP(E17*S17,2)</f>
        <v>64.8</v>
      </c>
      <c r="W17" s="83">
        <f>ROUNDUP(E17*0.015,2)</f>
        <v>10.8</v>
      </c>
      <c r="X17" s="82">
        <f>MAX(MIN(SUMIFS(Логистика!$C$2:$C$38,Логистика!$A$2:$A$38,"&lt;="&amp;K17,Логистика!$B$2:$B$38,"&gt;="&amp;K17)*E17,SUMIFS(Логистика!$E$2:$E$38,Логистика!$A$2:$A$38,"&lt;="&amp;K17,Логистика!$B$2:$B$38,"&gt;="&amp;K17)),SUMIFS(Логистика!$D$2:$D$38,Логистика!$A$2:$A$38,"&lt;="&amp;K17,Логистика!$B$2:$B$38,"&gt;="&amp;K17))</f>
        <v>79</v>
      </c>
      <c r="Y17" s="83">
        <f>IF(AND(E17*0.055&gt;20,E17*0.055&lt;250),ROUNDUP(E17*0.055,2),IF(E17*0.055&lt;=20,20,250))</f>
        <v>39.6</v>
      </c>
      <c r="Z17" s="83">
        <f>ROUND(M17*0.05,2)</f>
        <v>0</v>
      </c>
      <c r="AA17" s="83">
        <f>IF(N17=0,0,IF(ROUND(E17*N17,2)&gt;5,ROUND(E17*N17,2),5))</f>
        <v>0</v>
      </c>
      <c r="AB17" s="83">
        <f>IF(O17="Да",ROUND(E17*0.1111,2),0)</f>
        <v>0</v>
      </c>
      <c r="AC17" s="53">
        <f>V17+W17+T17+X17+Y17+Z17+AA17+AB17</f>
        <v>219.2</v>
      </c>
      <c r="AD17" s="8">
        <v>0</v>
      </c>
      <c r="AE17" s="36">
        <f>ROUND(E17*AD17,2)</f>
        <v>0</v>
      </c>
      <c r="AF17" s="6">
        <v>15</v>
      </c>
      <c r="AG17" s="6">
        <v>15</v>
      </c>
      <c r="AH17" s="58">
        <f>AH14*4</f>
        <v>320.76</v>
      </c>
      <c r="AI17" s="57">
        <f>E17-AC17-AE17-AH17</f>
        <v>180.04000000000002</v>
      </c>
      <c r="AJ17" s="17">
        <f>E17-AC17</f>
        <v>500.8</v>
      </c>
      <c r="AK17" s="20">
        <f>ROUND(AI17/E17,2)</f>
        <v>0.25</v>
      </c>
      <c r="AL17" s="21">
        <f t="shared" ref="AL17:AL21" si="9">ROUND(AI17/AH17,2)</f>
        <v>0.56000000000000005</v>
      </c>
    </row>
    <row r="18" spans="1:38" x14ac:dyDescent="0.25">
      <c r="A18" s="27" t="s">
        <v>144</v>
      </c>
      <c r="B18" s="45" t="s">
        <v>24</v>
      </c>
      <c r="C18" s="31">
        <v>860</v>
      </c>
      <c r="D18" s="38">
        <v>0</v>
      </c>
      <c r="E18" s="50">
        <f t="shared" si="5"/>
        <v>860</v>
      </c>
      <c r="F18" s="24">
        <v>0.25</v>
      </c>
      <c r="G18" s="6">
        <v>25</v>
      </c>
      <c r="H18" s="6">
        <v>13</v>
      </c>
      <c r="I18" s="7">
        <v>42</v>
      </c>
      <c r="J18" s="78">
        <f t="shared" si="1"/>
        <v>13.65</v>
      </c>
      <c r="K18" s="2">
        <f t="shared" si="3"/>
        <v>2.7</v>
      </c>
      <c r="L18" s="8">
        <v>0</v>
      </c>
      <c r="M18" s="1">
        <f t="shared" si="0"/>
        <v>0</v>
      </c>
      <c r="N18" s="41">
        <v>0</v>
      </c>
      <c r="O18" s="84" t="s">
        <v>275</v>
      </c>
      <c r="P18" s="24" t="s">
        <v>562</v>
      </c>
      <c r="Q18" s="7" t="s">
        <v>557</v>
      </c>
      <c r="R18" s="7"/>
      <c r="S18" s="81">
        <v>0.09</v>
      </c>
      <c r="T18" s="7">
        <v>25</v>
      </c>
      <c r="U18" s="82"/>
      <c r="V18" s="83">
        <f>ROUNDUP(E18*S18,2)</f>
        <v>77.400000000000006</v>
      </c>
      <c r="W18" s="83">
        <f>ROUNDUP(E18*0.015,2)</f>
        <v>12.9</v>
      </c>
      <c r="X18" s="82">
        <f>MAX(MIN(SUMIFS(Логистика!$C$2:$C$38,Логистика!$A$2:$A$38,"&lt;="&amp;K18,Логистика!$B$2:$B$38,"&gt;="&amp;K18)*E18,SUMIFS(Логистика!$E$2:$E$38,Логистика!$A$2:$A$38,"&lt;="&amp;K18,Логистика!$B$2:$B$38,"&gt;="&amp;K18)),SUMIFS(Логистика!$D$2:$D$38,Логистика!$A$2:$A$38,"&lt;="&amp;K18,Логистика!$B$2:$B$38,"&gt;="&amp;K18))</f>
        <v>79</v>
      </c>
      <c r="Y18" s="83">
        <f>IF(AND(E18*0.055&gt;20,E18*0.055&lt;250),ROUNDUP(E18*0.055,2),IF(E18*0.055&lt;=20,20,250))</f>
        <v>47.3</v>
      </c>
      <c r="Z18" s="83">
        <f>ROUND(M18*0.05,2)</f>
        <v>0</v>
      </c>
      <c r="AA18" s="83">
        <f>IF(N18=0,0,IF(ROUND(E18*N18,2)&gt;5,ROUND(E18*N18,2),5))</f>
        <v>0</v>
      </c>
      <c r="AB18" s="83">
        <f>IF(O18="Да",ROUND(E18*0.1111,2),0)</f>
        <v>0</v>
      </c>
      <c r="AC18" s="53">
        <f>V18+W18+T18+X18+Y18+Z18+AA18+AB18</f>
        <v>241.60000000000002</v>
      </c>
      <c r="AD18" s="8">
        <v>0</v>
      </c>
      <c r="AE18" s="36">
        <f>ROUND(E18*AD18,2)</f>
        <v>0</v>
      </c>
      <c r="AF18" s="6">
        <v>15</v>
      </c>
      <c r="AG18" s="6">
        <v>15</v>
      </c>
      <c r="AH18" s="58">
        <f>AH14*5</f>
        <v>400.95</v>
      </c>
      <c r="AI18" s="57">
        <f>E18-AC18-AE18-AH18</f>
        <v>217.45</v>
      </c>
      <c r="AJ18" s="17">
        <f>E18-AC18</f>
        <v>618.4</v>
      </c>
      <c r="AK18" s="20">
        <f>ROUND(AI18/E18,2)</f>
        <v>0.25</v>
      </c>
      <c r="AL18" s="21">
        <f t="shared" si="9"/>
        <v>0.54</v>
      </c>
    </row>
    <row r="19" spans="1:38" x14ac:dyDescent="0.25">
      <c r="A19" s="27" t="s">
        <v>145</v>
      </c>
      <c r="B19" s="45" t="s">
        <v>138</v>
      </c>
      <c r="C19" s="31">
        <v>1020</v>
      </c>
      <c r="D19" s="38">
        <v>0</v>
      </c>
      <c r="E19" s="50">
        <f t="shared" si="5"/>
        <v>1020</v>
      </c>
      <c r="F19" s="24">
        <v>0.3</v>
      </c>
      <c r="G19" s="6">
        <v>25</v>
      </c>
      <c r="H19" s="7">
        <v>24</v>
      </c>
      <c r="I19" s="7">
        <v>26</v>
      </c>
      <c r="J19" s="78">
        <f t="shared" si="1"/>
        <v>15.6</v>
      </c>
      <c r="K19" s="2">
        <f t="shared" si="3"/>
        <v>3.1</v>
      </c>
      <c r="L19" s="8">
        <v>0</v>
      </c>
      <c r="M19" s="1">
        <f t="shared" si="0"/>
        <v>0</v>
      </c>
      <c r="N19" s="41">
        <v>0</v>
      </c>
      <c r="O19" s="84" t="s">
        <v>275</v>
      </c>
      <c r="P19" s="24" t="s">
        <v>562</v>
      </c>
      <c r="Q19" s="7" t="s">
        <v>557</v>
      </c>
      <c r="R19" s="7"/>
      <c r="S19" s="81">
        <v>0.09</v>
      </c>
      <c r="T19" s="7">
        <v>25</v>
      </c>
      <c r="U19" s="82"/>
      <c r="V19" s="83">
        <f>ROUNDUP(E19*S19,2)</f>
        <v>91.8</v>
      </c>
      <c r="W19" s="83">
        <f>ROUNDUP(E19*0.015,2)</f>
        <v>15.3</v>
      </c>
      <c r="X19" s="82">
        <f>MAX(MIN(SUMIFS(Логистика!$C$2:$C$38,Логистика!$A$2:$A$38,"&lt;="&amp;K19,Логистика!$B$2:$B$38,"&gt;="&amp;K19)*E19,SUMIFS(Логистика!$E$2:$E$38,Логистика!$A$2:$A$38,"&lt;="&amp;K19,Логистика!$B$2:$B$38,"&gt;="&amp;K19)),SUMIFS(Логистика!$D$2:$D$38,Логистика!$A$2:$A$38,"&lt;="&amp;K19,Логистика!$B$2:$B$38,"&gt;="&amp;K19))</f>
        <v>100</v>
      </c>
      <c r="Y19" s="83">
        <f>IF(AND(E19*0.055&gt;20,E19*0.055&lt;250),ROUNDUP(E19*0.055,2),IF(E19*0.055&lt;=20,20,250))</f>
        <v>56.1</v>
      </c>
      <c r="Z19" s="83">
        <f>ROUND(M19*0.05,2)</f>
        <v>0</v>
      </c>
      <c r="AA19" s="83">
        <f>IF(N19=0,0,IF(ROUND(E19*N19,2)&gt;5,ROUND(E19*N19,2),5))</f>
        <v>0</v>
      </c>
      <c r="AB19" s="83">
        <f>IF(O19="Да",ROUND(E19*0.1111,2),0)</f>
        <v>0</v>
      </c>
      <c r="AC19" s="53">
        <f>V19+W19+T19+X19+Y19+Z19+AA19+AB19</f>
        <v>288.2</v>
      </c>
      <c r="AD19" s="8">
        <v>0</v>
      </c>
      <c r="AE19" s="36">
        <f>ROUND(E19*AD19,2)</f>
        <v>0</v>
      </c>
      <c r="AF19" s="6">
        <v>15</v>
      </c>
      <c r="AG19" s="6">
        <v>15</v>
      </c>
      <c r="AH19" s="58">
        <f>AH14*6</f>
        <v>481.14</v>
      </c>
      <c r="AI19" s="57">
        <f>E19-AC19-AE19-AH19</f>
        <v>250.65999999999997</v>
      </c>
      <c r="AJ19" s="17">
        <f>E19-AC19</f>
        <v>731.8</v>
      </c>
      <c r="AK19" s="20">
        <f>ROUND(AI19/E19,2)</f>
        <v>0.25</v>
      </c>
      <c r="AL19" s="21">
        <f t="shared" si="9"/>
        <v>0.52</v>
      </c>
    </row>
    <row r="20" spans="1:38" x14ac:dyDescent="0.25">
      <c r="A20" s="27" t="s">
        <v>146</v>
      </c>
      <c r="B20" s="45" t="s">
        <v>139</v>
      </c>
      <c r="C20" s="31">
        <v>1320</v>
      </c>
      <c r="D20" s="38">
        <v>0</v>
      </c>
      <c r="E20" s="50">
        <f t="shared" si="5"/>
        <v>1320</v>
      </c>
      <c r="F20" s="24">
        <v>0.4</v>
      </c>
      <c r="G20" s="6">
        <v>25</v>
      </c>
      <c r="H20" s="7">
        <v>24</v>
      </c>
      <c r="I20" s="7">
        <v>34</v>
      </c>
      <c r="J20" s="78">
        <f t="shared" si="1"/>
        <v>20.399999999999999</v>
      </c>
      <c r="K20" s="2">
        <f t="shared" si="3"/>
        <v>4.0999999999999996</v>
      </c>
      <c r="L20" s="8">
        <v>0</v>
      </c>
      <c r="M20" s="1">
        <f t="shared" si="0"/>
        <v>0</v>
      </c>
      <c r="N20" s="41">
        <v>0</v>
      </c>
      <c r="O20" s="84" t="s">
        <v>275</v>
      </c>
      <c r="P20" s="24" t="s">
        <v>562</v>
      </c>
      <c r="Q20" s="7" t="s">
        <v>557</v>
      </c>
      <c r="R20" s="7"/>
      <c r="S20" s="81">
        <v>0.09</v>
      </c>
      <c r="T20" s="7">
        <v>25</v>
      </c>
      <c r="U20" s="82"/>
      <c r="V20" s="83">
        <f>ROUNDUP(E20*S20,2)</f>
        <v>118.8</v>
      </c>
      <c r="W20" s="83">
        <f>ROUNDUP(E20*0.015,2)</f>
        <v>19.8</v>
      </c>
      <c r="X20" s="82">
        <f>MAX(MIN(SUMIFS(Логистика!$C$2:$C$38,Логистика!$A$2:$A$38,"&lt;="&amp;K20,Логистика!$B$2:$B$38,"&gt;="&amp;K20)*E20,SUMIFS(Логистика!$E$2:$E$38,Логистика!$A$2:$A$38,"&lt;="&amp;K20,Логистика!$B$2:$B$38,"&gt;="&amp;K20)),SUMIFS(Логистика!$D$2:$D$38,Логистика!$A$2:$A$38,"&lt;="&amp;K20,Логистика!$B$2:$B$38,"&gt;="&amp;K20))</f>
        <v>120</v>
      </c>
      <c r="Y20" s="83">
        <f>IF(AND(E20*0.055&gt;20,E20*0.055&lt;250),ROUNDUP(E20*0.055,2),IF(E20*0.055&lt;=20,20,250))</f>
        <v>72.599999999999994</v>
      </c>
      <c r="Z20" s="83">
        <f>ROUND(M20*0.05,2)</f>
        <v>0</v>
      </c>
      <c r="AA20" s="83">
        <f>IF(N20=0,0,IF(ROUND(E20*N20,2)&gt;5,ROUND(E20*N20,2),5))</f>
        <v>0</v>
      </c>
      <c r="AB20" s="83">
        <f>IF(O20="Да",ROUND(E20*0.1111,2),0)</f>
        <v>0</v>
      </c>
      <c r="AC20" s="53">
        <f>V20+W20+T20+X20+Y20+Z20+AA20+AB20</f>
        <v>356.20000000000005</v>
      </c>
      <c r="AD20" s="8">
        <v>0</v>
      </c>
      <c r="AE20" s="36">
        <f>ROUND(E20*AD20,2)</f>
        <v>0</v>
      </c>
      <c r="AF20" s="6">
        <v>15</v>
      </c>
      <c r="AG20" s="6">
        <v>15</v>
      </c>
      <c r="AH20" s="58">
        <f>AH14*8</f>
        <v>641.52</v>
      </c>
      <c r="AI20" s="57">
        <f>E20-AC20-AE20-AH20</f>
        <v>322.27999999999997</v>
      </c>
      <c r="AJ20" s="17">
        <f>E20-AC20</f>
        <v>963.8</v>
      </c>
      <c r="AK20" s="20">
        <f>ROUND(AI20/E20,2)</f>
        <v>0.24</v>
      </c>
      <c r="AL20" s="21">
        <f t="shared" si="9"/>
        <v>0.5</v>
      </c>
    </row>
    <row r="21" spans="1:38" x14ac:dyDescent="0.25">
      <c r="A21" s="27" t="s">
        <v>147</v>
      </c>
      <c r="B21" s="45" t="s">
        <v>25</v>
      </c>
      <c r="C21" s="31">
        <v>1590</v>
      </c>
      <c r="D21" s="38">
        <v>0</v>
      </c>
      <c r="E21" s="50">
        <f t="shared" si="5"/>
        <v>1590</v>
      </c>
      <c r="F21" s="24">
        <v>0.5</v>
      </c>
      <c r="G21" s="6">
        <v>25</v>
      </c>
      <c r="H21" s="7">
        <v>24</v>
      </c>
      <c r="I21" s="7">
        <v>42</v>
      </c>
      <c r="J21" s="78">
        <f t="shared" si="1"/>
        <v>25.2</v>
      </c>
      <c r="K21" s="2">
        <f t="shared" si="3"/>
        <v>5</v>
      </c>
      <c r="L21" s="8">
        <v>0</v>
      </c>
      <c r="M21" s="1">
        <f t="shared" si="0"/>
        <v>0</v>
      </c>
      <c r="N21" s="41">
        <v>0</v>
      </c>
      <c r="O21" s="84" t="s">
        <v>275</v>
      </c>
      <c r="P21" s="24" t="s">
        <v>562</v>
      </c>
      <c r="Q21" s="7" t="s">
        <v>557</v>
      </c>
      <c r="R21" s="7"/>
      <c r="S21" s="81">
        <v>0.09</v>
      </c>
      <c r="T21" s="7">
        <v>25</v>
      </c>
      <c r="U21" s="82"/>
      <c r="V21" s="83">
        <f>ROUNDUP(E21*S21,2)</f>
        <v>143.1</v>
      </c>
      <c r="W21" s="83">
        <f>ROUNDUP(E21*0.015,2)</f>
        <v>23.85</v>
      </c>
      <c r="X21" s="82">
        <f>MAX(MIN(SUMIFS(Логистика!$C$2:$C$38,Логистика!$A$2:$A$38,"&lt;="&amp;K21,Логистика!$B$2:$B$38,"&gt;="&amp;K21)*E21,SUMIFS(Логистика!$E$2:$E$38,Логистика!$A$2:$A$38,"&lt;="&amp;K21,Логистика!$B$2:$B$38,"&gt;="&amp;K21)),SUMIFS(Логистика!$D$2:$D$38,Логистика!$A$2:$A$38,"&lt;="&amp;K21,Логистика!$B$2:$B$38,"&gt;="&amp;K21))</f>
        <v>135</v>
      </c>
      <c r="Y21" s="83">
        <f>IF(AND(E21*0.055&gt;20,E21*0.055&lt;250),ROUNDUP(E21*0.055,2),IF(E21*0.055&lt;=20,20,250))</f>
        <v>87.45</v>
      </c>
      <c r="Z21" s="83">
        <f>ROUND(M21*0.05,2)</f>
        <v>0</v>
      </c>
      <c r="AA21" s="83">
        <f>IF(N21=0,0,IF(ROUND(E21*N21,2)&gt;5,ROUND(E21*N21,2),5))</f>
        <v>0</v>
      </c>
      <c r="AB21" s="83">
        <f>IF(O21="Да",ROUND(E21*0.1111,2),0)</f>
        <v>0</v>
      </c>
      <c r="AC21" s="53">
        <f>V21+W21+T21+X21+Y21+Z21+AA21+AB21</f>
        <v>414.4</v>
      </c>
      <c r="AD21" s="8">
        <v>0</v>
      </c>
      <c r="AE21" s="36">
        <f>ROUND(E21*AD21,2)</f>
        <v>0</v>
      </c>
      <c r="AF21" s="6">
        <v>15</v>
      </c>
      <c r="AG21" s="6">
        <v>15</v>
      </c>
      <c r="AH21" s="58">
        <f>AH14*10</f>
        <v>801.9</v>
      </c>
      <c r="AI21" s="57">
        <f>E21-AC21-AE21-AH21</f>
        <v>373.69999999999993</v>
      </c>
      <c r="AJ21" s="17">
        <f>E21-AC21</f>
        <v>1175.5999999999999</v>
      </c>
      <c r="AK21" s="20">
        <f>ROUND(AI21/E21,2)</f>
        <v>0.24</v>
      </c>
      <c r="AL21" s="21">
        <f t="shared" si="9"/>
        <v>0.47</v>
      </c>
    </row>
    <row r="22" spans="1:38" x14ac:dyDescent="0.25">
      <c r="A22" s="27" t="s">
        <v>148</v>
      </c>
      <c r="B22" s="45" t="s">
        <v>26</v>
      </c>
      <c r="C22" s="31">
        <v>4950</v>
      </c>
      <c r="D22" s="38">
        <v>0</v>
      </c>
      <c r="E22" s="50">
        <f t="shared" si="5"/>
        <v>4950</v>
      </c>
      <c r="F22" s="24">
        <v>1.97</v>
      </c>
      <c r="G22" s="7">
        <v>79</v>
      </c>
      <c r="H22" s="7">
        <v>40</v>
      </c>
      <c r="I22" s="7">
        <v>25</v>
      </c>
      <c r="J22" s="78">
        <f t="shared" si="1"/>
        <v>79</v>
      </c>
      <c r="K22" s="2">
        <f t="shared" si="3"/>
        <v>15.8</v>
      </c>
      <c r="L22" s="8">
        <v>0</v>
      </c>
      <c r="M22" s="1">
        <f t="shared" si="0"/>
        <v>0</v>
      </c>
      <c r="N22" s="41">
        <v>0</v>
      </c>
      <c r="O22" s="84" t="s">
        <v>275</v>
      </c>
      <c r="P22" s="24" t="s">
        <v>562</v>
      </c>
      <c r="Q22" s="7" t="s">
        <v>557</v>
      </c>
      <c r="R22" s="7"/>
      <c r="S22" s="81">
        <v>0.09</v>
      </c>
      <c r="T22" s="7">
        <v>25</v>
      </c>
      <c r="U22" s="82"/>
      <c r="V22" s="83">
        <f>ROUNDUP(E22*S22,2)</f>
        <v>445.5</v>
      </c>
      <c r="W22" s="83">
        <f>ROUNDUP(E22*0.015,2)</f>
        <v>74.25</v>
      </c>
      <c r="X22" s="82">
        <f>MAX(MIN(SUMIFS(Логистика!$C$2:$C$38,Логистика!$A$2:$A$38,"&lt;="&amp;K22,Логистика!$B$2:$B$38,"&gt;="&amp;K22)*E22,SUMIFS(Логистика!$E$2:$E$38,Логистика!$A$2:$A$38,"&lt;="&amp;K22,Логистика!$B$2:$B$38,"&gt;="&amp;K22)),SUMIFS(Логистика!$D$2:$D$38,Логистика!$A$2:$A$38,"&lt;="&amp;K22,Логистика!$B$2:$B$38,"&gt;="&amp;K22))</f>
        <v>400</v>
      </c>
      <c r="Y22" s="83">
        <f>IF(AND(E22*0.055&gt;20,E22*0.055&lt;250),ROUNDUP(E22*0.055,2),IF(E22*0.055&lt;=20,20,250))</f>
        <v>250</v>
      </c>
      <c r="Z22" s="83">
        <f>ROUND(M22*0.05,2)</f>
        <v>0</v>
      </c>
      <c r="AA22" s="83">
        <f>IF(N22=0,0,IF(ROUND(E22*N22,2)&gt;5,ROUND(E22*N22,2),5))</f>
        <v>0</v>
      </c>
      <c r="AB22" s="83">
        <f>IF(O22="Да",ROUND(E22*0.1111,2),0)</f>
        <v>0</v>
      </c>
      <c r="AC22" s="53">
        <f>V22+W22+T22+X22+Y22+Z22+AA22+AB22</f>
        <v>1194.75</v>
      </c>
      <c r="AD22" s="8">
        <v>0</v>
      </c>
      <c r="AE22" s="36">
        <f>ROUND(E22*AD22,2)</f>
        <v>0</v>
      </c>
      <c r="AF22" s="6">
        <v>15</v>
      </c>
      <c r="AG22" s="6">
        <v>15</v>
      </c>
      <c r="AH22" s="58">
        <f>AH14*35</f>
        <v>2806.65</v>
      </c>
      <c r="AI22" s="57">
        <f>E22-AC22-AE22-AH22</f>
        <v>948.59999999999991</v>
      </c>
      <c r="AJ22" s="17">
        <f>E22-AC22</f>
        <v>3755.25</v>
      </c>
      <c r="AK22" s="20">
        <f>ROUND(AI22/E22,2)</f>
        <v>0.19</v>
      </c>
      <c r="AL22" s="21">
        <f t="shared" si="8"/>
        <v>0.34</v>
      </c>
    </row>
    <row r="23" spans="1:38" x14ac:dyDescent="0.25">
      <c r="A23" s="27"/>
      <c r="B23" s="45"/>
      <c r="C23" s="31"/>
      <c r="D23" s="38">
        <v>0</v>
      </c>
      <c r="E23" s="50">
        <f t="shared" si="5"/>
        <v>0</v>
      </c>
      <c r="F23" s="24"/>
      <c r="G23" s="7">
        <v>0</v>
      </c>
      <c r="H23" s="7">
        <v>0</v>
      </c>
      <c r="I23" s="7">
        <v>0</v>
      </c>
      <c r="J23" s="78">
        <f t="shared" si="1"/>
        <v>0</v>
      </c>
      <c r="K23" s="2">
        <f t="shared" si="3"/>
        <v>0</v>
      </c>
      <c r="L23" s="8">
        <v>0</v>
      </c>
      <c r="M23" s="1">
        <f t="shared" si="0"/>
        <v>0</v>
      </c>
      <c r="N23" s="41">
        <v>0</v>
      </c>
      <c r="O23" s="84" t="s">
        <v>275</v>
      </c>
      <c r="P23" s="24" t="s">
        <v>562</v>
      </c>
      <c r="Q23" s="7" t="s">
        <v>557</v>
      </c>
      <c r="R23" s="7"/>
      <c r="S23" s="81"/>
      <c r="T23" s="7">
        <v>25</v>
      </c>
      <c r="U23" s="82"/>
      <c r="V23" s="83">
        <f>ROUNDUP(E23*S23,2)</f>
        <v>0</v>
      </c>
      <c r="W23" s="83">
        <f>ROUNDUP(E23*0.015,2)</f>
        <v>0</v>
      </c>
      <c r="X23" s="82">
        <f>MAX(MIN(SUMIFS(Логистика!$C$2:$C$38,Логистика!$A$2:$A$38,"&lt;="&amp;K23,Логистика!$B$2:$B$38,"&gt;="&amp;K23)*E23,SUMIFS(Логистика!$E$2:$E$38,Логистика!$A$2:$A$38,"&lt;="&amp;K23,Логистика!$B$2:$B$38,"&gt;="&amp;K23)),SUMIFS(Логистика!$D$2:$D$38,Логистика!$A$2:$A$38,"&lt;="&amp;K23,Логистика!$B$2:$B$38,"&gt;="&amp;K23))</f>
        <v>0</v>
      </c>
      <c r="Y23" s="83">
        <f>IF(AND(E23*0.055&gt;20,E23*0.055&lt;250),ROUNDUP(E23*0.055,2),IF(E23*0.055&lt;=20,20,250))</f>
        <v>20</v>
      </c>
      <c r="Z23" s="83">
        <f>ROUND(M23*0.05,2)</f>
        <v>0</v>
      </c>
      <c r="AA23" s="83">
        <f>IF(N23=0,0,IF(ROUND(E23*N23,2)&gt;5,ROUND(E23*N23,2),5))</f>
        <v>0</v>
      </c>
      <c r="AB23" s="83">
        <f>IF(O23="Да",ROUND(E23*0.1111,2),0)</f>
        <v>0</v>
      </c>
      <c r="AC23" s="53">
        <f>V23+W23+T23+X23+Y23+Z23+AA23+AB23</f>
        <v>45</v>
      </c>
      <c r="AD23" s="8">
        <v>0</v>
      </c>
      <c r="AE23" s="36">
        <f>ROUND(E23*AD23,2)</f>
        <v>0</v>
      </c>
      <c r="AF23" s="6">
        <v>15</v>
      </c>
      <c r="AG23" s="6">
        <v>15</v>
      </c>
      <c r="AH23" s="5"/>
      <c r="AI23" s="57">
        <f>E23-AC23-AE23-AH23</f>
        <v>-45</v>
      </c>
      <c r="AJ23" s="17">
        <f>E23-AC23</f>
        <v>-45</v>
      </c>
      <c r="AK23" s="20" t="e">
        <f>ROUND(AI23/E23,2)</f>
        <v>#DIV/0!</v>
      </c>
      <c r="AL23" s="21" t="e">
        <f t="shared" si="8"/>
        <v>#DIV/0!</v>
      </c>
    </row>
    <row r="24" spans="1:38" x14ac:dyDescent="0.25">
      <c r="A24" s="27" t="s">
        <v>171</v>
      </c>
      <c r="B24" s="45" t="s">
        <v>162</v>
      </c>
      <c r="C24" s="31">
        <v>295</v>
      </c>
      <c r="D24" s="38">
        <v>0</v>
      </c>
      <c r="E24" s="50">
        <f t="shared" si="5"/>
        <v>295</v>
      </c>
      <c r="F24" s="23">
        <v>0.05</v>
      </c>
      <c r="G24" s="6">
        <v>25</v>
      </c>
      <c r="H24" s="6">
        <v>13</v>
      </c>
      <c r="I24" s="6">
        <v>11</v>
      </c>
      <c r="J24" s="78">
        <f t="shared" si="1"/>
        <v>3.5750000000000002</v>
      </c>
      <c r="K24" s="2">
        <f t="shared" si="3"/>
        <v>0.7</v>
      </c>
      <c r="L24" s="8">
        <v>0</v>
      </c>
      <c r="M24" s="1">
        <f t="shared" si="0"/>
        <v>0</v>
      </c>
      <c r="N24" s="41">
        <v>0</v>
      </c>
      <c r="O24" s="84" t="s">
        <v>275</v>
      </c>
      <c r="P24" s="24" t="s">
        <v>562</v>
      </c>
      <c r="Q24" s="7" t="s">
        <v>557</v>
      </c>
      <c r="R24" s="7"/>
      <c r="S24" s="81">
        <v>0.09</v>
      </c>
      <c r="T24" s="7">
        <v>25</v>
      </c>
      <c r="U24" s="82"/>
      <c r="V24" s="83">
        <f>ROUNDUP(E24*S24,2)</f>
        <v>26.55</v>
      </c>
      <c r="W24" s="83">
        <f>ROUNDUP(E24*0.015,2)</f>
        <v>4.43</v>
      </c>
      <c r="X24" s="82">
        <f>MAX(MIN(SUMIFS(Логистика!$C$2:$C$38,Логистика!$A$2:$A$38,"&lt;="&amp;K24,Логистика!$B$2:$B$38,"&gt;="&amp;K24)*E24,SUMIFS(Логистика!$E$2:$E$38,Логистика!$A$2:$A$38,"&lt;="&amp;K24,Логистика!$B$2:$B$38,"&gt;="&amp;K24)),SUMIFS(Логистика!$D$2:$D$38,Логистика!$A$2:$A$38,"&lt;="&amp;K24,Логистика!$B$2:$B$38,"&gt;="&amp;K24))</f>
        <v>45</v>
      </c>
      <c r="Y24" s="83">
        <f>IF(AND(E24*0.055&gt;20,E24*0.055&lt;250),ROUNDUP(E24*0.055,2),IF(E24*0.055&lt;=20,20,250))</f>
        <v>20</v>
      </c>
      <c r="Z24" s="83">
        <f>ROUND(M24*0.05,2)</f>
        <v>0</v>
      </c>
      <c r="AA24" s="83">
        <f>IF(N24=0,0,IF(ROUND(E24*N24,2)&gt;5,ROUND(E24*N24,2),5))</f>
        <v>0</v>
      </c>
      <c r="AB24" s="83">
        <f>IF(O24="Да",ROUND(E24*0.1111,2),0)</f>
        <v>0</v>
      </c>
      <c r="AC24" s="53">
        <f>V24+W24+T24+X24+Y24+Z24+AA24+AB24</f>
        <v>120.98</v>
      </c>
      <c r="AD24" s="8">
        <v>0</v>
      </c>
      <c r="AE24" s="36">
        <f>ROUND(E24*AD24,2)</f>
        <v>0</v>
      </c>
      <c r="AF24" s="6">
        <v>15</v>
      </c>
      <c r="AG24" s="6">
        <v>15</v>
      </c>
      <c r="AH24" s="5">
        <v>96.57</v>
      </c>
      <c r="AI24" s="57">
        <f>E24-AC24-AE24-AH24</f>
        <v>77.449999999999989</v>
      </c>
      <c r="AJ24" s="17">
        <f>E24-AC24</f>
        <v>174.01999999999998</v>
      </c>
      <c r="AK24" s="20">
        <f>ROUND(AI24/E24,2)</f>
        <v>0.26</v>
      </c>
      <c r="AL24" s="21">
        <f t="shared" ref="AL24:AL199" si="10">ROUND(AI24/AH24,2)</f>
        <v>0.8</v>
      </c>
    </row>
    <row r="25" spans="1:38" x14ac:dyDescent="0.25">
      <c r="A25" s="27" t="s">
        <v>172</v>
      </c>
      <c r="B25" s="45" t="s">
        <v>163</v>
      </c>
      <c r="C25" s="31">
        <v>470</v>
      </c>
      <c r="D25" s="38">
        <v>0</v>
      </c>
      <c r="E25" s="50">
        <f t="shared" si="5"/>
        <v>470</v>
      </c>
      <c r="F25" s="23">
        <v>0.1</v>
      </c>
      <c r="G25" s="6">
        <v>25</v>
      </c>
      <c r="H25" s="6">
        <v>13</v>
      </c>
      <c r="I25" s="6">
        <v>18</v>
      </c>
      <c r="J25" s="78">
        <f t="shared" si="1"/>
        <v>5.85</v>
      </c>
      <c r="K25" s="2">
        <f t="shared" si="3"/>
        <v>1.2</v>
      </c>
      <c r="L25" s="8">
        <v>0</v>
      </c>
      <c r="M25" s="1">
        <f t="shared" si="0"/>
        <v>0</v>
      </c>
      <c r="N25" s="41">
        <v>0</v>
      </c>
      <c r="O25" s="84" t="s">
        <v>275</v>
      </c>
      <c r="P25" s="24" t="s">
        <v>562</v>
      </c>
      <c r="Q25" s="7" t="s">
        <v>557</v>
      </c>
      <c r="R25" s="7"/>
      <c r="S25" s="81">
        <v>0.09</v>
      </c>
      <c r="T25" s="7">
        <v>25</v>
      </c>
      <c r="U25" s="82"/>
      <c r="V25" s="83">
        <f>ROUNDUP(E25*S25,2)</f>
        <v>42.3</v>
      </c>
      <c r="W25" s="83">
        <f>ROUNDUP(E25*0.015,2)</f>
        <v>7.05</v>
      </c>
      <c r="X25" s="82">
        <f>MAX(MIN(SUMIFS(Логистика!$C$2:$C$38,Логистика!$A$2:$A$38,"&lt;="&amp;K25,Логистика!$B$2:$B$38,"&gt;="&amp;K25)*E25,SUMIFS(Логистика!$E$2:$E$38,Логистика!$A$2:$A$38,"&lt;="&amp;K25,Логистика!$B$2:$B$38,"&gt;="&amp;K25)),SUMIFS(Логистика!$D$2:$D$38,Логистика!$A$2:$A$38,"&lt;="&amp;K25,Логистика!$B$2:$B$38,"&gt;="&amp;K25))</f>
        <v>57</v>
      </c>
      <c r="Y25" s="83">
        <f>IF(AND(E25*0.055&gt;20,E25*0.055&lt;250),ROUNDUP(E25*0.055,2),IF(E25*0.055&lt;=20,20,250))</f>
        <v>25.85</v>
      </c>
      <c r="Z25" s="83">
        <f>ROUND(M25*0.05,2)</f>
        <v>0</v>
      </c>
      <c r="AA25" s="83">
        <f>IF(N25=0,0,IF(ROUND(E25*N25,2)&gt;5,ROUND(E25*N25,2),5))</f>
        <v>0</v>
      </c>
      <c r="AB25" s="83">
        <f>IF(O25="Да",ROUND(E25*0.1111,2),0)</f>
        <v>0</v>
      </c>
      <c r="AC25" s="53">
        <f>V25+W25+T25+X25+Y25+Z25+AA25+AB25</f>
        <v>157.19999999999999</v>
      </c>
      <c r="AD25" s="8">
        <v>0</v>
      </c>
      <c r="AE25" s="36">
        <f>ROUND(E25*AD25,2)</f>
        <v>0</v>
      </c>
      <c r="AF25" s="6">
        <v>15</v>
      </c>
      <c r="AG25" s="6">
        <v>15</v>
      </c>
      <c r="AH25" s="58">
        <f>AH24*2</f>
        <v>193.14</v>
      </c>
      <c r="AI25" s="57">
        <f>E25-AC25-AE25-AH25</f>
        <v>119.66000000000003</v>
      </c>
      <c r="AJ25" s="17">
        <f>E25-AC25</f>
        <v>312.8</v>
      </c>
      <c r="AK25" s="20">
        <f>ROUND(AI25/E25,2)</f>
        <v>0.25</v>
      </c>
      <c r="AL25" s="21">
        <f t="shared" si="10"/>
        <v>0.62</v>
      </c>
    </row>
    <row r="26" spans="1:38" x14ac:dyDescent="0.25">
      <c r="A26" s="27" t="s">
        <v>173</v>
      </c>
      <c r="B26" s="45" t="s">
        <v>164</v>
      </c>
      <c r="C26" s="31">
        <v>650</v>
      </c>
      <c r="D26" s="38">
        <v>0</v>
      </c>
      <c r="E26" s="50">
        <f t="shared" si="5"/>
        <v>650</v>
      </c>
      <c r="F26" s="24">
        <v>0.15</v>
      </c>
      <c r="G26" s="6">
        <v>25</v>
      </c>
      <c r="H26" s="6">
        <v>13</v>
      </c>
      <c r="I26" s="6">
        <v>26</v>
      </c>
      <c r="J26" s="78">
        <f t="shared" si="1"/>
        <v>8.4499999999999993</v>
      </c>
      <c r="K26" s="2">
        <f t="shared" si="3"/>
        <v>1.7</v>
      </c>
      <c r="L26" s="8">
        <v>0</v>
      </c>
      <c r="M26" s="1">
        <f t="shared" si="0"/>
        <v>0</v>
      </c>
      <c r="N26" s="41">
        <v>0</v>
      </c>
      <c r="O26" s="84" t="s">
        <v>275</v>
      </c>
      <c r="P26" s="24" t="s">
        <v>562</v>
      </c>
      <c r="Q26" s="7" t="s">
        <v>557</v>
      </c>
      <c r="R26" s="7"/>
      <c r="S26" s="81">
        <v>0.09</v>
      </c>
      <c r="T26" s="7">
        <v>25</v>
      </c>
      <c r="U26" s="82"/>
      <c r="V26" s="83">
        <f>ROUNDUP(E26*S26,2)</f>
        <v>58.5</v>
      </c>
      <c r="W26" s="83">
        <f>ROUNDUP(E26*0.015,2)</f>
        <v>9.75</v>
      </c>
      <c r="X26" s="82">
        <f>MAX(MIN(SUMIFS(Логистика!$C$2:$C$38,Логистика!$A$2:$A$38,"&lt;="&amp;K26,Логистика!$B$2:$B$38,"&gt;="&amp;K26)*E26,SUMIFS(Логистика!$E$2:$E$38,Логистика!$A$2:$A$38,"&lt;="&amp;K26,Логистика!$B$2:$B$38,"&gt;="&amp;K26)),SUMIFS(Логистика!$D$2:$D$38,Логистика!$A$2:$A$38,"&lt;="&amp;K26,Логистика!$B$2:$B$38,"&gt;="&amp;K26))</f>
        <v>69</v>
      </c>
      <c r="Y26" s="83">
        <f>IF(AND(E26*0.055&gt;20,E26*0.055&lt;250),ROUNDUP(E26*0.055,2),IF(E26*0.055&lt;=20,20,250))</f>
        <v>35.75</v>
      </c>
      <c r="Z26" s="83">
        <f>ROUND(M26*0.05,2)</f>
        <v>0</v>
      </c>
      <c r="AA26" s="83">
        <f>IF(N26=0,0,IF(ROUND(E26*N26,2)&gt;5,ROUND(E26*N26,2),5))</f>
        <v>0</v>
      </c>
      <c r="AB26" s="83">
        <f>IF(O26="Да",ROUND(E26*0.1111,2),0)</f>
        <v>0</v>
      </c>
      <c r="AC26" s="53">
        <f>V26+W26+T26+X26+Y26+Z26+AA26+AB26</f>
        <v>198</v>
      </c>
      <c r="AD26" s="8">
        <v>0</v>
      </c>
      <c r="AE26" s="36">
        <f>ROUND(E26*AD26,2)</f>
        <v>0</v>
      </c>
      <c r="AF26" s="6">
        <v>15</v>
      </c>
      <c r="AG26" s="6">
        <v>15</v>
      </c>
      <c r="AH26" s="58">
        <f>AH24*3</f>
        <v>289.70999999999998</v>
      </c>
      <c r="AI26" s="57">
        <f>E26-AC26-AE26-AH26</f>
        <v>162.29000000000002</v>
      </c>
      <c r="AJ26" s="17">
        <f>E26-AC26</f>
        <v>452</v>
      </c>
      <c r="AK26" s="20">
        <f>ROUND(AI26/E26,2)</f>
        <v>0.25</v>
      </c>
      <c r="AL26" s="21">
        <f t="shared" si="10"/>
        <v>0.56000000000000005</v>
      </c>
    </row>
    <row r="27" spans="1:38" x14ac:dyDescent="0.25">
      <c r="A27" s="27" t="s">
        <v>174</v>
      </c>
      <c r="B27" s="45" t="s">
        <v>165</v>
      </c>
      <c r="C27" s="31">
        <v>830</v>
      </c>
      <c r="D27" s="38">
        <v>0</v>
      </c>
      <c r="E27" s="50">
        <f t="shared" si="5"/>
        <v>830</v>
      </c>
      <c r="F27" s="24">
        <v>0.2</v>
      </c>
      <c r="G27" s="6">
        <v>25</v>
      </c>
      <c r="H27" s="6">
        <v>13</v>
      </c>
      <c r="I27" s="6">
        <v>34</v>
      </c>
      <c r="J27" s="78">
        <f t="shared" si="1"/>
        <v>11.05</v>
      </c>
      <c r="K27" s="2">
        <f t="shared" si="3"/>
        <v>2.2000000000000002</v>
      </c>
      <c r="L27" s="8">
        <v>0</v>
      </c>
      <c r="M27" s="1">
        <f t="shared" si="0"/>
        <v>0</v>
      </c>
      <c r="N27" s="41">
        <v>0</v>
      </c>
      <c r="O27" s="84" t="s">
        <v>275</v>
      </c>
      <c r="P27" s="24" t="s">
        <v>562</v>
      </c>
      <c r="Q27" s="7" t="s">
        <v>557</v>
      </c>
      <c r="R27" s="7"/>
      <c r="S27" s="81">
        <v>0.09</v>
      </c>
      <c r="T27" s="7">
        <v>25</v>
      </c>
      <c r="U27" s="82"/>
      <c r="V27" s="83">
        <f>ROUNDUP(E27*S27,2)</f>
        <v>74.7</v>
      </c>
      <c r="W27" s="83">
        <f>ROUNDUP(E27*0.015,2)</f>
        <v>12.45</v>
      </c>
      <c r="X27" s="82">
        <f>MAX(MIN(SUMIFS(Логистика!$C$2:$C$38,Логистика!$A$2:$A$38,"&lt;="&amp;K27,Логистика!$B$2:$B$38,"&gt;="&amp;K27)*E27,SUMIFS(Логистика!$E$2:$E$38,Логистика!$A$2:$A$38,"&lt;="&amp;K27,Логистика!$B$2:$B$38,"&gt;="&amp;K27)),SUMIFS(Логистика!$D$2:$D$38,Логистика!$A$2:$A$38,"&lt;="&amp;K27,Логистика!$B$2:$B$38,"&gt;="&amp;K27))</f>
        <v>79</v>
      </c>
      <c r="Y27" s="83">
        <f>IF(AND(E27*0.055&gt;20,E27*0.055&lt;250),ROUNDUP(E27*0.055,2),IF(E27*0.055&lt;=20,20,250))</f>
        <v>45.65</v>
      </c>
      <c r="Z27" s="83">
        <f>ROUND(M27*0.05,2)</f>
        <v>0</v>
      </c>
      <c r="AA27" s="83">
        <f>IF(N27=0,0,IF(ROUND(E27*N27,2)&gt;5,ROUND(E27*N27,2),5))</f>
        <v>0</v>
      </c>
      <c r="AB27" s="83">
        <f>IF(O27="Да",ROUND(E27*0.1111,2),0)</f>
        <v>0</v>
      </c>
      <c r="AC27" s="53">
        <f>V27+W27+T27+X27+Y27+Z27+AA27+AB27</f>
        <v>236.8</v>
      </c>
      <c r="AD27" s="8">
        <v>0</v>
      </c>
      <c r="AE27" s="36">
        <f>ROUND(E27*AD27,2)</f>
        <v>0</v>
      </c>
      <c r="AF27" s="6">
        <v>15</v>
      </c>
      <c r="AG27" s="6">
        <v>15</v>
      </c>
      <c r="AH27" s="58">
        <f>AH24*4</f>
        <v>386.28</v>
      </c>
      <c r="AI27" s="57">
        <f>E27-AC27-AE27-AH27</f>
        <v>206.92000000000007</v>
      </c>
      <c r="AJ27" s="17">
        <f>E27-AC27</f>
        <v>593.20000000000005</v>
      </c>
      <c r="AK27" s="20">
        <f>ROUND(AI27/E27,2)</f>
        <v>0.25</v>
      </c>
      <c r="AL27" s="21">
        <f t="shared" si="10"/>
        <v>0.54</v>
      </c>
    </row>
    <row r="28" spans="1:38" x14ac:dyDescent="0.25">
      <c r="A28" s="27" t="s">
        <v>175</v>
      </c>
      <c r="B28" s="45" t="s">
        <v>166</v>
      </c>
      <c r="C28" s="31">
        <v>990</v>
      </c>
      <c r="D28" s="38">
        <v>0</v>
      </c>
      <c r="E28" s="50">
        <f t="shared" si="5"/>
        <v>990</v>
      </c>
      <c r="F28" s="24">
        <v>0.25</v>
      </c>
      <c r="G28" s="6">
        <v>25</v>
      </c>
      <c r="H28" s="6">
        <v>13</v>
      </c>
      <c r="I28" s="7">
        <v>42</v>
      </c>
      <c r="J28" s="78">
        <f t="shared" si="1"/>
        <v>13.65</v>
      </c>
      <c r="K28" s="2">
        <f t="shared" si="3"/>
        <v>2.7</v>
      </c>
      <c r="L28" s="8">
        <v>0</v>
      </c>
      <c r="M28" s="1">
        <f t="shared" si="0"/>
        <v>0</v>
      </c>
      <c r="N28" s="41">
        <v>0</v>
      </c>
      <c r="O28" s="84" t="s">
        <v>275</v>
      </c>
      <c r="P28" s="24" t="s">
        <v>562</v>
      </c>
      <c r="Q28" s="7" t="s">
        <v>557</v>
      </c>
      <c r="R28" s="7"/>
      <c r="S28" s="81">
        <v>0.09</v>
      </c>
      <c r="T28" s="7">
        <v>25</v>
      </c>
      <c r="U28" s="82"/>
      <c r="V28" s="83">
        <f>ROUNDUP(E28*S28,2)</f>
        <v>89.1</v>
      </c>
      <c r="W28" s="83">
        <f>ROUNDUP(E28*0.015,2)</f>
        <v>14.85</v>
      </c>
      <c r="X28" s="82">
        <f>MAX(MIN(SUMIFS(Логистика!$C$2:$C$38,Логистика!$A$2:$A$38,"&lt;="&amp;K28,Логистика!$B$2:$B$38,"&gt;="&amp;K28)*E28,SUMIFS(Логистика!$E$2:$E$38,Логистика!$A$2:$A$38,"&lt;="&amp;K28,Логистика!$B$2:$B$38,"&gt;="&amp;K28)),SUMIFS(Логистика!$D$2:$D$38,Логистика!$A$2:$A$38,"&lt;="&amp;K28,Логистика!$B$2:$B$38,"&gt;="&amp;K28))</f>
        <v>79</v>
      </c>
      <c r="Y28" s="83">
        <f>IF(AND(E28*0.055&gt;20,E28*0.055&lt;250),ROUNDUP(E28*0.055,2),IF(E28*0.055&lt;=20,20,250))</f>
        <v>54.45</v>
      </c>
      <c r="Z28" s="83">
        <f>ROUND(M28*0.05,2)</f>
        <v>0</v>
      </c>
      <c r="AA28" s="83">
        <f>IF(N28=0,0,IF(ROUND(E28*N28,2)&gt;5,ROUND(E28*N28,2),5))</f>
        <v>0</v>
      </c>
      <c r="AB28" s="83">
        <f>IF(O28="Да",ROUND(E28*0.1111,2),0)</f>
        <v>0</v>
      </c>
      <c r="AC28" s="53">
        <f>V28+W28+T28+X28+Y28+Z28+AA28+AB28</f>
        <v>262.39999999999998</v>
      </c>
      <c r="AD28" s="8">
        <v>0</v>
      </c>
      <c r="AE28" s="36">
        <f>ROUND(E28*AD28,2)</f>
        <v>0</v>
      </c>
      <c r="AF28" s="6">
        <v>15</v>
      </c>
      <c r="AG28" s="6">
        <v>15</v>
      </c>
      <c r="AH28" s="58">
        <f>AH24*5</f>
        <v>482.84999999999997</v>
      </c>
      <c r="AI28" s="57">
        <f>E28-AC28-AE28-AH28</f>
        <v>244.75000000000006</v>
      </c>
      <c r="AJ28" s="17">
        <f>E28-AC28</f>
        <v>727.6</v>
      </c>
      <c r="AK28" s="20">
        <f>ROUND(AI28/E28,2)</f>
        <v>0.25</v>
      </c>
      <c r="AL28" s="21">
        <f t="shared" si="10"/>
        <v>0.51</v>
      </c>
    </row>
    <row r="29" spans="1:38" x14ac:dyDescent="0.25">
      <c r="A29" s="27" t="s">
        <v>176</v>
      </c>
      <c r="B29" s="45" t="s">
        <v>167</v>
      </c>
      <c r="C29" s="31">
        <v>1190</v>
      </c>
      <c r="D29" s="38">
        <v>0</v>
      </c>
      <c r="E29" s="50">
        <f t="shared" si="5"/>
        <v>1190</v>
      </c>
      <c r="F29" s="24">
        <v>0.3</v>
      </c>
      <c r="G29" s="6">
        <v>25</v>
      </c>
      <c r="H29" s="7">
        <v>24</v>
      </c>
      <c r="I29" s="7">
        <v>26</v>
      </c>
      <c r="J29" s="78">
        <f t="shared" si="1"/>
        <v>15.6</v>
      </c>
      <c r="K29" s="2">
        <f t="shared" si="3"/>
        <v>3.1</v>
      </c>
      <c r="L29" s="8">
        <v>0</v>
      </c>
      <c r="M29" s="1">
        <f t="shared" si="0"/>
        <v>0</v>
      </c>
      <c r="N29" s="41">
        <v>0</v>
      </c>
      <c r="O29" s="84" t="s">
        <v>275</v>
      </c>
      <c r="P29" s="24" t="s">
        <v>562</v>
      </c>
      <c r="Q29" s="7" t="s">
        <v>557</v>
      </c>
      <c r="R29" s="7"/>
      <c r="S29" s="81">
        <v>0.09</v>
      </c>
      <c r="T29" s="7">
        <v>25</v>
      </c>
      <c r="U29" s="82"/>
      <c r="V29" s="83">
        <f>ROUNDUP(E29*S29,2)</f>
        <v>107.1</v>
      </c>
      <c r="W29" s="83">
        <f>ROUNDUP(E29*0.015,2)</f>
        <v>17.850000000000001</v>
      </c>
      <c r="X29" s="82">
        <f>MAX(MIN(SUMIFS(Логистика!$C$2:$C$38,Логистика!$A$2:$A$38,"&lt;="&amp;K29,Логистика!$B$2:$B$38,"&gt;="&amp;K29)*E29,SUMIFS(Логистика!$E$2:$E$38,Логистика!$A$2:$A$38,"&lt;="&amp;K29,Логистика!$B$2:$B$38,"&gt;="&amp;K29)),SUMIFS(Логистика!$D$2:$D$38,Логистика!$A$2:$A$38,"&lt;="&amp;K29,Логистика!$B$2:$B$38,"&gt;="&amp;K29))</f>
        <v>100</v>
      </c>
      <c r="Y29" s="83">
        <f>IF(AND(E29*0.055&gt;20,E29*0.055&lt;250),ROUNDUP(E29*0.055,2),IF(E29*0.055&lt;=20,20,250))</f>
        <v>65.45</v>
      </c>
      <c r="Z29" s="83">
        <f>ROUND(M29*0.05,2)</f>
        <v>0</v>
      </c>
      <c r="AA29" s="83">
        <f>IF(N29=0,0,IF(ROUND(E29*N29,2)&gt;5,ROUND(E29*N29,2),5))</f>
        <v>0</v>
      </c>
      <c r="AB29" s="83">
        <f>IF(O29="Да",ROUND(E29*0.1111,2),0)</f>
        <v>0</v>
      </c>
      <c r="AC29" s="53">
        <f>V29+W29+T29+X29+Y29+Z29+AA29+AB29</f>
        <v>315.39999999999998</v>
      </c>
      <c r="AD29" s="8">
        <v>0</v>
      </c>
      <c r="AE29" s="36">
        <f>ROUND(E29*AD29,2)</f>
        <v>0</v>
      </c>
      <c r="AF29" s="6">
        <v>15</v>
      </c>
      <c r="AG29" s="6">
        <v>15</v>
      </c>
      <c r="AH29" s="58">
        <f>AH24*6</f>
        <v>579.41999999999996</v>
      </c>
      <c r="AI29" s="57">
        <f>E29-AC29-AE29-AH29</f>
        <v>295.18000000000006</v>
      </c>
      <c r="AJ29" s="17">
        <f>E29-AC29</f>
        <v>874.6</v>
      </c>
      <c r="AK29" s="20">
        <f>ROUND(AI29/E29,2)</f>
        <v>0.25</v>
      </c>
      <c r="AL29" s="21">
        <f t="shared" si="10"/>
        <v>0.51</v>
      </c>
    </row>
    <row r="30" spans="1:38" x14ac:dyDescent="0.25">
      <c r="A30" s="27" t="s">
        <v>177</v>
      </c>
      <c r="B30" s="45" t="s">
        <v>168</v>
      </c>
      <c r="C30" s="31">
        <v>1550</v>
      </c>
      <c r="D30" s="38">
        <v>0</v>
      </c>
      <c r="E30" s="50">
        <f t="shared" si="5"/>
        <v>1550</v>
      </c>
      <c r="F30" s="24">
        <v>0.4</v>
      </c>
      <c r="G30" s="6">
        <v>25</v>
      </c>
      <c r="H30" s="7">
        <v>24</v>
      </c>
      <c r="I30" s="7">
        <v>34</v>
      </c>
      <c r="J30" s="78">
        <f t="shared" si="1"/>
        <v>20.399999999999999</v>
      </c>
      <c r="K30" s="2">
        <f t="shared" si="3"/>
        <v>4.0999999999999996</v>
      </c>
      <c r="L30" s="8">
        <v>0</v>
      </c>
      <c r="M30" s="1">
        <f t="shared" si="0"/>
        <v>0</v>
      </c>
      <c r="N30" s="41">
        <v>0</v>
      </c>
      <c r="O30" s="84" t="s">
        <v>275</v>
      </c>
      <c r="P30" s="24" t="s">
        <v>562</v>
      </c>
      <c r="Q30" s="7" t="s">
        <v>557</v>
      </c>
      <c r="R30" s="7"/>
      <c r="S30" s="81">
        <v>0.09</v>
      </c>
      <c r="T30" s="7">
        <v>25</v>
      </c>
      <c r="U30" s="82"/>
      <c r="V30" s="83">
        <f>ROUNDUP(E30*S30,2)</f>
        <v>139.5</v>
      </c>
      <c r="W30" s="83">
        <f>ROUNDUP(E30*0.015,2)</f>
        <v>23.25</v>
      </c>
      <c r="X30" s="82">
        <f>MAX(MIN(SUMIFS(Логистика!$C$2:$C$38,Логистика!$A$2:$A$38,"&lt;="&amp;K30,Логистика!$B$2:$B$38,"&gt;="&amp;K30)*E30,SUMIFS(Логистика!$E$2:$E$38,Логистика!$A$2:$A$38,"&lt;="&amp;K30,Логистика!$B$2:$B$38,"&gt;="&amp;K30)),SUMIFS(Логистика!$D$2:$D$38,Логистика!$A$2:$A$38,"&lt;="&amp;K30,Логистика!$B$2:$B$38,"&gt;="&amp;K30))</f>
        <v>120</v>
      </c>
      <c r="Y30" s="83">
        <f>IF(AND(E30*0.055&gt;20,E30*0.055&lt;250),ROUNDUP(E30*0.055,2),IF(E30*0.055&lt;=20,20,250))</f>
        <v>85.25</v>
      </c>
      <c r="Z30" s="83">
        <f>ROUND(M30*0.05,2)</f>
        <v>0</v>
      </c>
      <c r="AA30" s="83">
        <f>IF(N30=0,0,IF(ROUND(E30*N30,2)&gt;5,ROUND(E30*N30,2),5))</f>
        <v>0</v>
      </c>
      <c r="AB30" s="83">
        <f>IF(O30="Да",ROUND(E30*0.1111,2),0)</f>
        <v>0</v>
      </c>
      <c r="AC30" s="53">
        <f>V30+W30+T30+X30+Y30+Z30+AA30+AB30</f>
        <v>393</v>
      </c>
      <c r="AD30" s="8">
        <v>0</v>
      </c>
      <c r="AE30" s="36">
        <f>ROUND(E30*AD30,2)</f>
        <v>0</v>
      </c>
      <c r="AF30" s="6">
        <v>15</v>
      </c>
      <c r="AG30" s="6">
        <v>15</v>
      </c>
      <c r="AH30" s="58">
        <f>AH24*8</f>
        <v>772.56</v>
      </c>
      <c r="AI30" s="57">
        <f>E30-AC30-AE30-AH30</f>
        <v>384.44000000000005</v>
      </c>
      <c r="AJ30" s="17">
        <f>E30-AC30</f>
        <v>1157</v>
      </c>
      <c r="AK30" s="20">
        <f>ROUND(AI30/E30,2)</f>
        <v>0.25</v>
      </c>
      <c r="AL30" s="21">
        <f t="shared" si="10"/>
        <v>0.5</v>
      </c>
    </row>
    <row r="31" spans="1:38" x14ac:dyDescent="0.25">
      <c r="A31" s="27" t="s">
        <v>178</v>
      </c>
      <c r="B31" s="45" t="s">
        <v>169</v>
      </c>
      <c r="C31" s="31">
        <v>1950</v>
      </c>
      <c r="D31" s="38">
        <v>0</v>
      </c>
      <c r="E31" s="50">
        <f t="shared" si="5"/>
        <v>1950</v>
      </c>
      <c r="F31" s="24">
        <v>0.5</v>
      </c>
      <c r="G31" s="6">
        <v>25</v>
      </c>
      <c r="H31" s="7">
        <v>24</v>
      </c>
      <c r="I31" s="7">
        <v>42</v>
      </c>
      <c r="J31" s="78">
        <f t="shared" si="1"/>
        <v>25.2</v>
      </c>
      <c r="K31" s="2">
        <f t="shared" si="3"/>
        <v>5</v>
      </c>
      <c r="L31" s="8">
        <v>0</v>
      </c>
      <c r="M31" s="1">
        <f t="shared" si="0"/>
        <v>0</v>
      </c>
      <c r="N31" s="41">
        <v>0</v>
      </c>
      <c r="O31" s="84" t="s">
        <v>275</v>
      </c>
      <c r="P31" s="24" t="s">
        <v>562</v>
      </c>
      <c r="Q31" s="7" t="s">
        <v>557</v>
      </c>
      <c r="R31" s="7"/>
      <c r="S31" s="81">
        <v>0.09</v>
      </c>
      <c r="T31" s="7">
        <v>25</v>
      </c>
      <c r="U31" s="82"/>
      <c r="V31" s="83">
        <f>ROUNDUP(E31*S31,2)</f>
        <v>175.5</v>
      </c>
      <c r="W31" s="83">
        <f>ROUNDUP(E31*0.015,2)</f>
        <v>29.25</v>
      </c>
      <c r="X31" s="82">
        <f>MAX(MIN(SUMIFS(Логистика!$C$2:$C$38,Логистика!$A$2:$A$38,"&lt;="&amp;K31,Логистика!$B$2:$B$38,"&gt;="&amp;K31)*E31,SUMIFS(Логистика!$E$2:$E$38,Логистика!$A$2:$A$38,"&lt;="&amp;K31,Логистика!$B$2:$B$38,"&gt;="&amp;K31)),SUMIFS(Логистика!$D$2:$D$38,Логистика!$A$2:$A$38,"&lt;="&amp;K31,Логистика!$B$2:$B$38,"&gt;="&amp;K31))</f>
        <v>135</v>
      </c>
      <c r="Y31" s="83">
        <f>IF(AND(E31*0.055&gt;20,E31*0.055&lt;250),ROUNDUP(E31*0.055,2),IF(E31*0.055&lt;=20,20,250))</f>
        <v>107.25</v>
      </c>
      <c r="Z31" s="83">
        <f>ROUND(M31*0.05,2)</f>
        <v>0</v>
      </c>
      <c r="AA31" s="83">
        <f>IF(N31=0,0,IF(ROUND(E31*N31,2)&gt;5,ROUND(E31*N31,2),5))</f>
        <v>0</v>
      </c>
      <c r="AB31" s="83">
        <f>IF(O31="Да",ROUND(E31*0.1111,2),0)</f>
        <v>0</v>
      </c>
      <c r="AC31" s="53">
        <f>V31+W31+T31+X31+Y31+Z31+AA31+AB31</f>
        <v>472</v>
      </c>
      <c r="AD31" s="8">
        <v>0</v>
      </c>
      <c r="AE31" s="36">
        <f>ROUND(E31*AD31,2)</f>
        <v>0</v>
      </c>
      <c r="AF31" s="6">
        <v>15</v>
      </c>
      <c r="AG31" s="6">
        <v>15</v>
      </c>
      <c r="AH31" s="58">
        <f>AH24*10</f>
        <v>965.69999999999993</v>
      </c>
      <c r="AI31" s="57">
        <f>E31-AC31-AE31-AH31</f>
        <v>512.30000000000007</v>
      </c>
      <c r="AJ31" s="17">
        <f>E31-AC31</f>
        <v>1478</v>
      </c>
      <c r="AK31" s="20">
        <f>ROUND(AI31/E31,2)</f>
        <v>0.26</v>
      </c>
      <c r="AL31" s="21">
        <f t="shared" si="10"/>
        <v>0.53</v>
      </c>
    </row>
    <row r="32" spans="1:38" x14ac:dyDescent="0.25">
      <c r="A32" s="27" t="s">
        <v>179</v>
      </c>
      <c r="B32" s="45" t="s">
        <v>170</v>
      </c>
      <c r="C32" s="31">
        <v>5850</v>
      </c>
      <c r="D32" s="38">
        <v>0</v>
      </c>
      <c r="E32" s="50">
        <f t="shared" si="5"/>
        <v>5850</v>
      </c>
      <c r="F32" s="24">
        <v>1.97</v>
      </c>
      <c r="G32" s="7">
        <v>79</v>
      </c>
      <c r="H32" s="7">
        <v>40</v>
      </c>
      <c r="I32" s="7">
        <v>25</v>
      </c>
      <c r="J32" s="78">
        <f t="shared" si="1"/>
        <v>79</v>
      </c>
      <c r="K32" s="2">
        <f t="shared" si="3"/>
        <v>15.8</v>
      </c>
      <c r="L32" s="8">
        <v>0</v>
      </c>
      <c r="M32" s="1">
        <f t="shared" si="0"/>
        <v>0</v>
      </c>
      <c r="N32" s="41">
        <v>0</v>
      </c>
      <c r="O32" s="84" t="s">
        <v>275</v>
      </c>
      <c r="P32" s="24" t="s">
        <v>562</v>
      </c>
      <c r="Q32" s="7" t="s">
        <v>557</v>
      </c>
      <c r="R32" s="7"/>
      <c r="S32" s="81">
        <v>0.09</v>
      </c>
      <c r="T32" s="7">
        <v>25</v>
      </c>
      <c r="U32" s="82"/>
      <c r="V32" s="83">
        <f>ROUNDUP(E32*S32,2)</f>
        <v>526.5</v>
      </c>
      <c r="W32" s="83">
        <f>ROUNDUP(E32*0.015,2)</f>
        <v>87.75</v>
      </c>
      <c r="X32" s="82">
        <f>MAX(MIN(SUMIFS(Логистика!$C$2:$C$38,Логистика!$A$2:$A$38,"&lt;="&amp;K32,Логистика!$B$2:$B$38,"&gt;="&amp;K32)*E32,SUMIFS(Логистика!$E$2:$E$38,Логистика!$A$2:$A$38,"&lt;="&amp;K32,Логистика!$B$2:$B$38,"&gt;="&amp;K32)),SUMIFS(Логистика!$D$2:$D$38,Логистика!$A$2:$A$38,"&lt;="&amp;K32,Логистика!$B$2:$B$38,"&gt;="&amp;K32))</f>
        <v>409.50000000000006</v>
      </c>
      <c r="Y32" s="83">
        <f>IF(AND(E32*0.055&gt;20,E32*0.055&lt;250),ROUNDUP(E32*0.055,2),IF(E32*0.055&lt;=20,20,250))</f>
        <v>250</v>
      </c>
      <c r="Z32" s="83">
        <f>ROUND(M32*0.05,2)</f>
        <v>0</v>
      </c>
      <c r="AA32" s="83">
        <f>IF(N32=0,0,IF(ROUND(E32*N32,2)&gt;5,ROUND(E32*N32,2),5))</f>
        <v>0</v>
      </c>
      <c r="AB32" s="83">
        <f>IF(O32="Да",ROUND(E32*0.1111,2),0)</f>
        <v>0</v>
      </c>
      <c r="AC32" s="53">
        <f>V32+W32+T32+X32+Y32+Z32+AA32+AB32</f>
        <v>1298.75</v>
      </c>
      <c r="AD32" s="8">
        <v>0</v>
      </c>
      <c r="AE32" s="36">
        <f>ROUND(E32*AD32,2)</f>
        <v>0</v>
      </c>
      <c r="AF32" s="6">
        <v>15</v>
      </c>
      <c r="AG32" s="6">
        <v>15</v>
      </c>
      <c r="AH32" s="58">
        <f>AH24*35</f>
        <v>3379.95</v>
      </c>
      <c r="AI32" s="57">
        <f>E32-AC32-AE32-AH32</f>
        <v>1171.3000000000002</v>
      </c>
      <c r="AJ32" s="17">
        <f>E32-AC32</f>
        <v>4551.25</v>
      </c>
      <c r="AK32" s="20">
        <f>ROUND(AI32/E32,2)</f>
        <v>0.2</v>
      </c>
      <c r="AL32" s="21">
        <f t="shared" si="10"/>
        <v>0.35</v>
      </c>
    </row>
    <row r="33" spans="1:38" x14ac:dyDescent="0.25">
      <c r="A33" s="27"/>
      <c r="B33" s="45"/>
      <c r="C33" s="31"/>
      <c r="D33" s="38">
        <v>0</v>
      </c>
      <c r="E33" s="50">
        <f t="shared" si="5"/>
        <v>0</v>
      </c>
      <c r="F33" s="24"/>
      <c r="G33" s="7">
        <v>0</v>
      </c>
      <c r="H33" s="7">
        <v>0</v>
      </c>
      <c r="I33" s="7">
        <v>0</v>
      </c>
      <c r="J33" s="78">
        <f t="shared" si="1"/>
        <v>0</v>
      </c>
      <c r="K33" s="2">
        <f t="shared" si="3"/>
        <v>0</v>
      </c>
      <c r="L33" s="8">
        <v>0</v>
      </c>
      <c r="M33" s="1">
        <f t="shared" si="0"/>
        <v>0</v>
      </c>
      <c r="N33" s="41">
        <v>0</v>
      </c>
      <c r="O33" s="84" t="s">
        <v>275</v>
      </c>
      <c r="P33" s="24" t="s">
        <v>562</v>
      </c>
      <c r="Q33" s="7" t="s">
        <v>557</v>
      </c>
      <c r="R33" s="7"/>
      <c r="S33" s="81"/>
      <c r="T33" s="7">
        <v>25</v>
      </c>
      <c r="U33" s="82"/>
      <c r="V33" s="83">
        <f>ROUNDUP(E33*S33,2)</f>
        <v>0</v>
      </c>
      <c r="W33" s="83">
        <f>ROUNDUP(E33*0.015,2)</f>
        <v>0</v>
      </c>
      <c r="X33" s="82">
        <f>MAX(MIN(SUMIFS(Логистика!$C$2:$C$38,Логистика!$A$2:$A$38,"&lt;="&amp;K33,Логистика!$B$2:$B$38,"&gt;="&amp;K33)*E33,SUMIFS(Логистика!$E$2:$E$38,Логистика!$A$2:$A$38,"&lt;="&amp;K33,Логистика!$B$2:$B$38,"&gt;="&amp;K33)),SUMIFS(Логистика!$D$2:$D$38,Логистика!$A$2:$A$38,"&lt;="&amp;K33,Логистика!$B$2:$B$38,"&gt;="&amp;K33))</f>
        <v>0</v>
      </c>
      <c r="Y33" s="83">
        <f>IF(AND(E33*0.055&gt;20,E33*0.055&lt;250),ROUNDUP(E33*0.055,2),IF(E33*0.055&lt;=20,20,250))</f>
        <v>20</v>
      </c>
      <c r="Z33" s="83">
        <f>ROUND(M33*0.05,2)</f>
        <v>0</v>
      </c>
      <c r="AA33" s="83">
        <f>IF(N33=0,0,IF(ROUND(E33*N33,2)&gt;5,ROUND(E33*N33,2),5))</f>
        <v>0</v>
      </c>
      <c r="AB33" s="83">
        <f>IF(O33="Да",ROUND(E33*0.1111,2),0)</f>
        <v>0</v>
      </c>
      <c r="AC33" s="53">
        <f>V33+W33+T33+X33+Y33+Z33+AA33+AB33</f>
        <v>45</v>
      </c>
      <c r="AD33" s="8">
        <v>0</v>
      </c>
      <c r="AE33" s="36">
        <f>ROUND(E33*AD33,2)</f>
        <v>0</v>
      </c>
      <c r="AF33" s="6">
        <v>15</v>
      </c>
      <c r="AG33" s="6">
        <v>15</v>
      </c>
      <c r="AH33" s="5"/>
      <c r="AI33" s="57">
        <f>E33-AC33-AE33-AH33</f>
        <v>-45</v>
      </c>
      <c r="AJ33" s="17">
        <f>E33-AC33</f>
        <v>-45</v>
      </c>
      <c r="AK33" s="20" t="e">
        <f>ROUND(AI33/E33,2)</f>
        <v>#DIV/0!</v>
      </c>
      <c r="AL33" s="21" t="e">
        <f t="shared" si="10"/>
        <v>#DIV/0!</v>
      </c>
    </row>
    <row r="34" spans="1:38" x14ac:dyDescent="0.25">
      <c r="A34" s="27"/>
      <c r="B34" s="45" t="s">
        <v>180</v>
      </c>
      <c r="C34" s="31">
        <v>230</v>
      </c>
      <c r="D34" s="38">
        <v>0</v>
      </c>
      <c r="E34" s="50">
        <f t="shared" si="5"/>
        <v>230</v>
      </c>
      <c r="F34" s="23">
        <v>0.05</v>
      </c>
      <c r="G34" s="6">
        <v>25</v>
      </c>
      <c r="H34" s="6">
        <v>13</v>
      </c>
      <c r="I34" s="6">
        <v>11</v>
      </c>
      <c r="J34" s="78">
        <f t="shared" si="1"/>
        <v>3.5750000000000002</v>
      </c>
      <c r="K34" s="2">
        <f t="shared" si="3"/>
        <v>0.7</v>
      </c>
      <c r="L34" s="8">
        <v>0</v>
      </c>
      <c r="M34" s="1">
        <f t="shared" si="0"/>
        <v>0</v>
      </c>
      <c r="N34" s="41">
        <v>0</v>
      </c>
      <c r="O34" s="84" t="s">
        <v>275</v>
      </c>
      <c r="P34" s="24" t="s">
        <v>562</v>
      </c>
      <c r="Q34" s="7" t="s">
        <v>557</v>
      </c>
      <c r="R34" s="7"/>
      <c r="S34" s="81">
        <v>0.09</v>
      </c>
      <c r="T34" s="7">
        <v>25</v>
      </c>
      <c r="U34" s="82"/>
      <c r="V34" s="83">
        <f>ROUNDUP(E34*S34,2)</f>
        <v>20.7</v>
      </c>
      <c r="W34" s="83">
        <f>ROUNDUP(E34*0.015,2)</f>
        <v>3.45</v>
      </c>
      <c r="X34" s="82">
        <f>MAX(MIN(SUMIFS(Логистика!$C$2:$C$38,Логистика!$A$2:$A$38,"&lt;="&amp;K34,Логистика!$B$2:$B$38,"&gt;="&amp;K34)*E34,SUMIFS(Логистика!$E$2:$E$38,Логистика!$A$2:$A$38,"&lt;="&amp;K34,Логистика!$B$2:$B$38,"&gt;="&amp;K34)),SUMIFS(Логистика!$D$2:$D$38,Логистика!$A$2:$A$38,"&lt;="&amp;K34,Логистика!$B$2:$B$38,"&gt;="&amp;K34))</f>
        <v>45</v>
      </c>
      <c r="Y34" s="83">
        <f>IF(AND(E34*0.055&gt;20,E34*0.055&lt;250),ROUNDUP(E34*0.055,2),IF(E34*0.055&lt;=20,20,250))</f>
        <v>20</v>
      </c>
      <c r="Z34" s="83">
        <f>ROUND(M34*0.05,2)</f>
        <v>0</v>
      </c>
      <c r="AA34" s="83">
        <f>IF(N34=0,0,IF(ROUND(E34*N34,2)&gt;5,ROUND(E34*N34,2),5))</f>
        <v>0</v>
      </c>
      <c r="AB34" s="83">
        <f>IF(O34="Да",ROUND(E34*0.1111,2),0)</f>
        <v>0</v>
      </c>
      <c r="AC34" s="53">
        <f>V34+W34+T34+X34+Y34+Z34+AA34+AB34</f>
        <v>114.15</v>
      </c>
      <c r="AD34" s="8">
        <v>0</v>
      </c>
      <c r="AE34" s="36">
        <f>ROUND(E34*AD34,2)</f>
        <v>0</v>
      </c>
      <c r="AF34" s="6">
        <v>15</v>
      </c>
      <c r="AG34" s="6">
        <v>15</v>
      </c>
      <c r="AH34" s="5">
        <v>63.99</v>
      </c>
      <c r="AI34" s="57">
        <f>E34-AC34-AE34-AH34</f>
        <v>51.859999999999992</v>
      </c>
      <c r="AJ34" s="17">
        <f>E34-AC34</f>
        <v>115.85</v>
      </c>
      <c r="AK34" s="20">
        <f>ROUND(AI34/E34,2)</f>
        <v>0.23</v>
      </c>
      <c r="AL34" s="21">
        <f t="shared" ref="AL34:AL42" si="11">ROUND(AI34/AH34,2)</f>
        <v>0.81</v>
      </c>
    </row>
    <row r="35" spans="1:38" x14ac:dyDescent="0.25">
      <c r="A35" s="27"/>
      <c r="B35" s="45" t="s">
        <v>181</v>
      </c>
      <c r="C35" s="31">
        <v>350</v>
      </c>
      <c r="D35" s="38">
        <v>0</v>
      </c>
      <c r="E35" s="50">
        <f t="shared" si="5"/>
        <v>350</v>
      </c>
      <c r="F35" s="23">
        <v>0.1</v>
      </c>
      <c r="G35" s="6">
        <v>25</v>
      </c>
      <c r="H35" s="6">
        <v>13</v>
      </c>
      <c r="I35" s="6">
        <v>18</v>
      </c>
      <c r="J35" s="78">
        <f t="shared" si="1"/>
        <v>5.85</v>
      </c>
      <c r="K35" s="2">
        <f t="shared" si="3"/>
        <v>1.2</v>
      </c>
      <c r="L35" s="8">
        <v>0</v>
      </c>
      <c r="M35" s="1">
        <f t="shared" si="0"/>
        <v>0</v>
      </c>
      <c r="N35" s="41">
        <v>0</v>
      </c>
      <c r="O35" s="84" t="s">
        <v>275</v>
      </c>
      <c r="P35" s="24" t="s">
        <v>562</v>
      </c>
      <c r="Q35" s="7" t="s">
        <v>557</v>
      </c>
      <c r="R35" s="7"/>
      <c r="S35" s="81">
        <v>0.09</v>
      </c>
      <c r="T35" s="7">
        <v>25</v>
      </c>
      <c r="U35" s="82"/>
      <c r="V35" s="83">
        <f>ROUNDUP(E35*S35,2)</f>
        <v>31.5</v>
      </c>
      <c r="W35" s="83">
        <f>ROUNDUP(E35*0.015,2)</f>
        <v>5.25</v>
      </c>
      <c r="X35" s="82">
        <f>MAX(MIN(SUMIFS(Логистика!$C$2:$C$38,Логистика!$A$2:$A$38,"&lt;="&amp;K35,Логистика!$B$2:$B$38,"&gt;="&amp;K35)*E35,SUMIFS(Логистика!$E$2:$E$38,Логистика!$A$2:$A$38,"&lt;="&amp;K35,Логистика!$B$2:$B$38,"&gt;="&amp;K35)),SUMIFS(Логистика!$D$2:$D$38,Логистика!$A$2:$A$38,"&lt;="&amp;K35,Логистика!$B$2:$B$38,"&gt;="&amp;K35))</f>
        <v>57</v>
      </c>
      <c r="Y35" s="83">
        <f>IF(AND(E35*0.055&gt;20,E35*0.055&lt;250),ROUNDUP(E35*0.055,2),IF(E35*0.055&lt;=20,20,250))</f>
        <v>20</v>
      </c>
      <c r="Z35" s="83">
        <f>ROUND(M35*0.05,2)</f>
        <v>0</v>
      </c>
      <c r="AA35" s="83">
        <f>IF(N35=0,0,IF(ROUND(E35*N35,2)&gt;5,ROUND(E35*N35,2),5))</f>
        <v>0</v>
      </c>
      <c r="AB35" s="83">
        <f>IF(O35="Да",ROUND(E35*0.1111,2),0)</f>
        <v>0</v>
      </c>
      <c r="AC35" s="53">
        <f>V35+W35+T35+X35+Y35+Z35+AA35+AB35</f>
        <v>138.75</v>
      </c>
      <c r="AD35" s="8">
        <v>0</v>
      </c>
      <c r="AE35" s="36">
        <f>ROUND(E35*AD35,2)</f>
        <v>0</v>
      </c>
      <c r="AF35" s="6">
        <v>15</v>
      </c>
      <c r="AG35" s="6">
        <v>15</v>
      </c>
      <c r="AH35" s="58">
        <f>AH34*2</f>
        <v>127.98</v>
      </c>
      <c r="AI35" s="57">
        <f>E35-AC35-AE35-AH35</f>
        <v>83.27</v>
      </c>
      <c r="AJ35" s="17">
        <f>E35-AC35</f>
        <v>211.25</v>
      </c>
      <c r="AK35" s="20">
        <f>ROUND(AI35/E35,2)</f>
        <v>0.24</v>
      </c>
      <c r="AL35" s="21">
        <f t="shared" si="11"/>
        <v>0.65</v>
      </c>
    </row>
    <row r="36" spans="1:38" x14ac:dyDescent="0.25">
      <c r="A36" s="27"/>
      <c r="B36" s="45" t="s">
        <v>182</v>
      </c>
      <c r="C36" s="31">
        <v>470</v>
      </c>
      <c r="D36" s="38">
        <v>0</v>
      </c>
      <c r="E36" s="50">
        <f t="shared" si="5"/>
        <v>470</v>
      </c>
      <c r="F36" s="24">
        <v>0.15</v>
      </c>
      <c r="G36" s="6">
        <v>25</v>
      </c>
      <c r="H36" s="6">
        <v>13</v>
      </c>
      <c r="I36" s="6">
        <v>26</v>
      </c>
      <c r="J36" s="78">
        <f t="shared" si="1"/>
        <v>8.4499999999999993</v>
      </c>
      <c r="K36" s="2">
        <f t="shared" si="3"/>
        <v>1.7</v>
      </c>
      <c r="L36" s="8">
        <v>0</v>
      </c>
      <c r="M36" s="1">
        <f t="shared" si="0"/>
        <v>0</v>
      </c>
      <c r="N36" s="41">
        <v>0</v>
      </c>
      <c r="O36" s="84" t="s">
        <v>275</v>
      </c>
      <c r="P36" s="24" t="s">
        <v>562</v>
      </c>
      <c r="Q36" s="7" t="s">
        <v>557</v>
      </c>
      <c r="R36" s="7"/>
      <c r="S36" s="81">
        <v>0.09</v>
      </c>
      <c r="T36" s="7">
        <v>25</v>
      </c>
      <c r="U36" s="82"/>
      <c r="V36" s="83">
        <f>ROUNDUP(E36*S36,2)</f>
        <v>42.3</v>
      </c>
      <c r="W36" s="83">
        <f>ROUNDUP(E36*0.015,2)</f>
        <v>7.05</v>
      </c>
      <c r="X36" s="82">
        <f>MAX(MIN(SUMIFS(Логистика!$C$2:$C$38,Логистика!$A$2:$A$38,"&lt;="&amp;K36,Логистика!$B$2:$B$38,"&gt;="&amp;K36)*E36,SUMIFS(Логистика!$E$2:$E$38,Логистика!$A$2:$A$38,"&lt;="&amp;K36,Логистика!$B$2:$B$38,"&gt;="&amp;K36)),SUMIFS(Логистика!$D$2:$D$38,Логистика!$A$2:$A$38,"&lt;="&amp;K36,Логистика!$B$2:$B$38,"&gt;="&amp;K36))</f>
        <v>69</v>
      </c>
      <c r="Y36" s="83">
        <f>IF(AND(E36*0.055&gt;20,E36*0.055&lt;250),ROUNDUP(E36*0.055,2),IF(E36*0.055&lt;=20,20,250))</f>
        <v>25.85</v>
      </c>
      <c r="Z36" s="83">
        <f>ROUND(M36*0.05,2)</f>
        <v>0</v>
      </c>
      <c r="AA36" s="83">
        <f>IF(N36=0,0,IF(ROUND(E36*N36,2)&gt;5,ROUND(E36*N36,2),5))</f>
        <v>0</v>
      </c>
      <c r="AB36" s="83">
        <f>IF(O36="Да",ROUND(E36*0.1111,2),0)</f>
        <v>0</v>
      </c>
      <c r="AC36" s="53">
        <f>V36+W36+T36+X36+Y36+Z36+AA36+AB36</f>
        <v>169.2</v>
      </c>
      <c r="AD36" s="8">
        <v>0</v>
      </c>
      <c r="AE36" s="36">
        <f>ROUND(E36*AD36,2)</f>
        <v>0</v>
      </c>
      <c r="AF36" s="6">
        <v>15</v>
      </c>
      <c r="AG36" s="6">
        <v>15</v>
      </c>
      <c r="AH36" s="58">
        <f>AH34*3</f>
        <v>191.97</v>
      </c>
      <c r="AI36" s="57">
        <f>E36-AC36-AE36-AH36</f>
        <v>108.83000000000001</v>
      </c>
      <c r="AJ36" s="17">
        <f>E36-AC36</f>
        <v>300.8</v>
      </c>
      <c r="AK36" s="20">
        <f>ROUND(AI36/E36,2)</f>
        <v>0.23</v>
      </c>
      <c r="AL36" s="21">
        <f t="shared" si="11"/>
        <v>0.56999999999999995</v>
      </c>
    </row>
    <row r="37" spans="1:38" x14ac:dyDescent="0.25">
      <c r="A37" s="27"/>
      <c r="B37" s="45" t="s">
        <v>183</v>
      </c>
      <c r="C37" s="31">
        <v>590</v>
      </c>
      <c r="D37" s="38">
        <v>0</v>
      </c>
      <c r="E37" s="50">
        <f t="shared" si="5"/>
        <v>590</v>
      </c>
      <c r="F37" s="24">
        <v>0.2</v>
      </c>
      <c r="G37" s="6">
        <v>25</v>
      </c>
      <c r="H37" s="6">
        <v>13</v>
      </c>
      <c r="I37" s="6">
        <v>34</v>
      </c>
      <c r="J37" s="78">
        <f t="shared" si="1"/>
        <v>11.05</v>
      </c>
      <c r="K37" s="2">
        <f t="shared" si="3"/>
        <v>2.2000000000000002</v>
      </c>
      <c r="L37" s="8">
        <v>0</v>
      </c>
      <c r="M37" s="1">
        <f t="shared" si="0"/>
        <v>0</v>
      </c>
      <c r="N37" s="41">
        <v>0</v>
      </c>
      <c r="O37" s="84" t="s">
        <v>275</v>
      </c>
      <c r="P37" s="24" t="s">
        <v>562</v>
      </c>
      <c r="Q37" s="7" t="s">
        <v>557</v>
      </c>
      <c r="R37" s="7"/>
      <c r="S37" s="81">
        <v>0.09</v>
      </c>
      <c r="T37" s="7">
        <v>25</v>
      </c>
      <c r="U37" s="82"/>
      <c r="V37" s="83">
        <f>ROUNDUP(E37*S37,2)</f>
        <v>53.1</v>
      </c>
      <c r="W37" s="83">
        <f>ROUNDUP(E37*0.015,2)</f>
        <v>8.85</v>
      </c>
      <c r="X37" s="82">
        <f>MAX(MIN(SUMIFS(Логистика!$C$2:$C$38,Логистика!$A$2:$A$38,"&lt;="&amp;K37,Логистика!$B$2:$B$38,"&gt;="&amp;K37)*E37,SUMIFS(Логистика!$E$2:$E$38,Логистика!$A$2:$A$38,"&lt;="&amp;K37,Логистика!$B$2:$B$38,"&gt;="&amp;K37)),SUMIFS(Логистика!$D$2:$D$38,Логистика!$A$2:$A$38,"&lt;="&amp;K37,Логистика!$B$2:$B$38,"&gt;="&amp;K37))</f>
        <v>79</v>
      </c>
      <c r="Y37" s="83">
        <f>IF(AND(E37*0.055&gt;20,E37*0.055&lt;250),ROUNDUP(E37*0.055,2),IF(E37*0.055&lt;=20,20,250))</f>
        <v>32.450000000000003</v>
      </c>
      <c r="Z37" s="83">
        <f>ROUND(M37*0.05,2)</f>
        <v>0</v>
      </c>
      <c r="AA37" s="83">
        <f>IF(N37=0,0,IF(ROUND(E37*N37,2)&gt;5,ROUND(E37*N37,2),5))</f>
        <v>0</v>
      </c>
      <c r="AB37" s="83">
        <f>IF(O37="Да",ROUND(E37*0.1111,2),0)</f>
        <v>0</v>
      </c>
      <c r="AC37" s="53">
        <f>V37+W37+T37+X37+Y37+Z37+AA37+AB37</f>
        <v>198.39999999999998</v>
      </c>
      <c r="AD37" s="8">
        <v>0</v>
      </c>
      <c r="AE37" s="36">
        <f>ROUND(E37*AD37,2)</f>
        <v>0</v>
      </c>
      <c r="AF37" s="6">
        <v>15</v>
      </c>
      <c r="AG37" s="6">
        <v>15</v>
      </c>
      <c r="AH37" s="58">
        <f>AH34*4</f>
        <v>255.96</v>
      </c>
      <c r="AI37" s="57">
        <f>E37-AC37-AE37-AH37</f>
        <v>135.64000000000001</v>
      </c>
      <c r="AJ37" s="17">
        <f>E37-AC37</f>
        <v>391.6</v>
      </c>
      <c r="AK37" s="20">
        <f>ROUND(AI37/E37,2)</f>
        <v>0.23</v>
      </c>
      <c r="AL37" s="21">
        <f t="shared" si="11"/>
        <v>0.53</v>
      </c>
    </row>
    <row r="38" spans="1:38" x14ac:dyDescent="0.25">
      <c r="A38" s="27"/>
      <c r="B38" s="45" t="s">
        <v>184</v>
      </c>
      <c r="C38" s="31">
        <v>710</v>
      </c>
      <c r="D38" s="38">
        <v>0</v>
      </c>
      <c r="E38" s="50">
        <f t="shared" si="5"/>
        <v>710</v>
      </c>
      <c r="F38" s="24">
        <v>0.25</v>
      </c>
      <c r="G38" s="6">
        <v>25</v>
      </c>
      <c r="H38" s="6">
        <v>13</v>
      </c>
      <c r="I38" s="7">
        <v>42</v>
      </c>
      <c r="J38" s="78">
        <f t="shared" si="1"/>
        <v>13.65</v>
      </c>
      <c r="K38" s="2">
        <f t="shared" si="3"/>
        <v>2.7</v>
      </c>
      <c r="L38" s="8">
        <v>0</v>
      </c>
      <c r="M38" s="1">
        <f t="shared" si="0"/>
        <v>0</v>
      </c>
      <c r="N38" s="41">
        <v>0</v>
      </c>
      <c r="O38" s="84" t="s">
        <v>275</v>
      </c>
      <c r="P38" s="24" t="s">
        <v>562</v>
      </c>
      <c r="Q38" s="7" t="s">
        <v>557</v>
      </c>
      <c r="R38" s="7"/>
      <c r="S38" s="81">
        <v>0.09</v>
      </c>
      <c r="T38" s="7">
        <v>25</v>
      </c>
      <c r="U38" s="82"/>
      <c r="V38" s="83">
        <f>ROUNDUP(E38*S38,2)</f>
        <v>63.9</v>
      </c>
      <c r="W38" s="83">
        <f>ROUNDUP(E38*0.015,2)</f>
        <v>10.65</v>
      </c>
      <c r="X38" s="82">
        <f>MAX(MIN(SUMIFS(Логистика!$C$2:$C$38,Логистика!$A$2:$A$38,"&lt;="&amp;K38,Логистика!$B$2:$B$38,"&gt;="&amp;K38)*E38,SUMIFS(Логистика!$E$2:$E$38,Логистика!$A$2:$A$38,"&lt;="&amp;K38,Логистика!$B$2:$B$38,"&gt;="&amp;K38)),SUMIFS(Логистика!$D$2:$D$38,Логистика!$A$2:$A$38,"&lt;="&amp;K38,Логистика!$B$2:$B$38,"&gt;="&amp;K38))</f>
        <v>79</v>
      </c>
      <c r="Y38" s="83">
        <f>IF(AND(E38*0.055&gt;20,E38*0.055&lt;250),ROUNDUP(E38*0.055,2),IF(E38*0.055&lt;=20,20,250))</f>
        <v>39.049999999999997</v>
      </c>
      <c r="Z38" s="83">
        <f>ROUND(M38*0.05,2)</f>
        <v>0</v>
      </c>
      <c r="AA38" s="83">
        <f>IF(N38=0,0,IF(ROUND(E38*N38,2)&gt;5,ROUND(E38*N38,2),5))</f>
        <v>0</v>
      </c>
      <c r="AB38" s="83">
        <f>IF(O38="Да",ROUND(E38*0.1111,2),0)</f>
        <v>0</v>
      </c>
      <c r="AC38" s="53">
        <f>V38+W38+T38+X38+Y38+Z38+AA38+AB38</f>
        <v>217.60000000000002</v>
      </c>
      <c r="AD38" s="8">
        <v>0</v>
      </c>
      <c r="AE38" s="36">
        <f>ROUND(E38*AD38,2)</f>
        <v>0</v>
      </c>
      <c r="AF38" s="6">
        <v>15</v>
      </c>
      <c r="AG38" s="6">
        <v>15</v>
      </c>
      <c r="AH38" s="58">
        <f>AH34*5</f>
        <v>319.95</v>
      </c>
      <c r="AI38" s="57">
        <f>E38-AC38-AE38-AH38</f>
        <v>172.45</v>
      </c>
      <c r="AJ38" s="17">
        <f>E38-AC38</f>
        <v>492.4</v>
      </c>
      <c r="AK38" s="20">
        <f>ROUND(AI38/E38,2)</f>
        <v>0.24</v>
      </c>
      <c r="AL38" s="21">
        <f t="shared" si="11"/>
        <v>0.54</v>
      </c>
    </row>
    <row r="39" spans="1:38" x14ac:dyDescent="0.25">
      <c r="A39" s="27"/>
      <c r="B39" s="45" t="s">
        <v>185</v>
      </c>
      <c r="C39" s="31">
        <v>840</v>
      </c>
      <c r="D39" s="38">
        <v>0</v>
      </c>
      <c r="E39" s="50">
        <f t="shared" si="5"/>
        <v>840</v>
      </c>
      <c r="F39" s="24">
        <v>0.3</v>
      </c>
      <c r="G39" s="6">
        <v>25</v>
      </c>
      <c r="H39" s="7">
        <v>24</v>
      </c>
      <c r="I39" s="7">
        <v>26</v>
      </c>
      <c r="J39" s="78">
        <f t="shared" si="1"/>
        <v>15.6</v>
      </c>
      <c r="K39" s="2">
        <f t="shared" si="3"/>
        <v>3.1</v>
      </c>
      <c r="L39" s="8">
        <v>0</v>
      </c>
      <c r="M39" s="1">
        <f t="shared" si="0"/>
        <v>0</v>
      </c>
      <c r="N39" s="41">
        <v>0</v>
      </c>
      <c r="O39" s="84" t="s">
        <v>275</v>
      </c>
      <c r="P39" s="24" t="s">
        <v>562</v>
      </c>
      <c r="Q39" s="7" t="s">
        <v>557</v>
      </c>
      <c r="R39" s="7"/>
      <c r="S39" s="81">
        <v>0.09</v>
      </c>
      <c r="T39" s="7">
        <v>25</v>
      </c>
      <c r="U39" s="82"/>
      <c r="V39" s="83">
        <f>ROUNDUP(E39*S39,2)</f>
        <v>75.599999999999994</v>
      </c>
      <c r="W39" s="83">
        <f>ROUNDUP(E39*0.015,2)</f>
        <v>12.6</v>
      </c>
      <c r="X39" s="82">
        <f>MAX(MIN(SUMIFS(Логистика!$C$2:$C$38,Логистика!$A$2:$A$38,"&lt;="&amp;K39,Логистика!$B$2:$B$38,"&gt;="&amp;K39)*E39,SUMIFS(Логистика!$E$2:$E$38,Логистика!$A$2:$A$38,"&lt;="&amp;K39,Логистика!$B$2:$B$38,"&gt;="&amp;K39)),SUMIFS(Логистика!$D$2:$D$38,Логистика!$A$2:$A$38,"&lt;="&amp;K39,Логистика!$B$2:$B$38,"&gt;="&amp;K39))</f>
        <v>100</v>
      </c>
      <c r="Y39" s="83">
        <f>IF(AND(E39*0.055&gt;20,E39*0.055&lt;250),ROUNDUP(E39*0.055,2),IF(E39*0.055&lt;=20,20,250))</f>
        <v>46.2</v>
      </c>
      <c r="Z39" s="83">
        <f>ROUND(M39*0.05,2)</f>
        <v>0</v>
      </c>
      <c r="AA39" s="83">
        <f>IF(N39=0,0,IF(ROUND(E39*N39,2)&gt;5,ROUND(E39*N39,2),5))</f>
        <v>0</v>
      </c>
      <c r="AB39" s="83">
        <f>IF(O39="Да",ROUND(E39*0.1111,2),0)</f>
        <v>0</v>
      </c>
      <c r="AC39" s="53">
        <f>V39+W39+T39+X39+Y39+Z39+AA39+AB39</f>
        <v>259.39999999999998</v>
      </c>
      <c r="AD39" s="8">
        <v>0</v>
      </c>
      <c r="AE39" s="36">
        <f>ROUND(E39*AD39,2)</f>
        <v>0</v>
      </c>
      <c r="AF39" s="6">
        <v>15</v>
      </c>
      <c r="AG39" s="6">
        <v>15</v>
      </c>
      <c r="AH39" s="58">
        <f>AH34*6</f>
        <v>383.94</v>
      </c>
      <c r="AI39" s="57">
        <f>E39-AC39-AE39-AH39</f>
        <v>196.66000000000003</v>
      </c>
      <c r="AJ39" s="17">
        <f>E39-AC39</f>
        <v>580.6</v>
      </c>
      <c r="AK39" s="20">
        <f>ROUND(AI39/E39,2)</f>
        <v>0.23</v>
      </c>
      <c r="AL39" s="21">
        <f t="shared" si="11"/>
        <v>0.51</v>
      </c>
    </row>
    <row r="40" spans="1:38" x14ac:dyDescent="0.25">
      <c r="A40" s="27"/>
      <c r="B40" s="45" t="s">
        <v>186</v>
      </c>
      <c r="C40" s="31">
        <v>1090</v>
      </c>
      <c r="D40" s="38">
        <v>0</v>
      </c>
      <c r="E40" s="50">
        <f t="shared" si="5"/>
        <v>1090</v>
      </c>
      <c r="F40" s="24">
        <v>0.4</v>
      </c>
      <c r="G40" s="6">
        <v>25</v>
      </c>
      <c r="H40" s="7">
        <v>24</v>
      </c>
      <c r="I40" s="7">
        <v>34</v>
      </c>
      <c r="J40" s="78">
        <f t="shared" si="1"/>
        <v>20.399999999999999</v>
      </c>
      <c r="K40" s="2">
        <f t="shared" si="3"/>
        <v>4.0999999999999996</v>
      </c>
      <c r="L40" s="8">
        <v>0</v>
      </c>
      <c r="M40" s="1">
        <f t="shared" si="0"/>
        <v>0</v>
      </c>
      <c r="N40" s="41">
        <v>0</v>
      </c>
      <c r="O40" s="84" t="s">
        <v>275</v>
      </c>
      <c r="P40" s="24" t="s">
        <v>562</v>
      </c>
      <c r="Q40" s="7" t="s">
        <v>557</v>
      </c>
      <c r="R40" s="7"/>
      <c r="S40" s="81">
        <v>0.09</v>
      </c>
      <c r="T40" s="7">
        <v>25</v>
      </c>
      <c r="U40" s="82"/>
      <c r="V40" s="83">
        <f>ROUNDUP(E40*S40,2)</f>
        <v>98.1</v>
      </c>
      <c r="W40" s="83">
        <f>ROUNDUP(E40*0.015,2)</f>
        <v>16.350000000000001</v>
      </c>
      <c r="X40" s="82">
        <f>MAX(MIN(SUMIFS(Логистика!$C$2:$C$38,Логистика!$A$2:$A$38,"&lt;="&amp;K40,Логистика!$B$2:$B$38,"&gt;="&amp;K40)*E40,SUMIFS(Логистика!$E$2:$E$38,Логистика!$A$2:$A$38,"&lt;="&amp;K40,Логистика!$B$2:$B$38,"&gt;="&amp;K40)),SUMIFS(Логистика!$D$2:$D$38,Логистика!$A$2:$A$38,"&lt;="&amp;K40,Логистика!$B$2:$B$38,"&gt;="&amp;K40))</f>
        <v>120</v>
      </c>
      <c r="Y40" s="83">
        <f>IF(AND(E40*0.055&gt;20,E40*0.055&lt;250),ROUNDUP(E40*0.055,2),IF(E40*0.055&lt;=20,20,250))</f>
        <v>59.95</v>
      </c>
      <c r="Z40" s="83">
        <f>ROUND(M40*0.05,2)</f>
        <v>0</v>
      </c>
      <c r="AA40" s="83">
        <f>IF(N40=0,0,IF(ROUND(E40*N40,2)&gt;5,ROUND(E40*N40,2),5))</f>
        <v>0</v>
      </c>
      <c r="AB40" s="83">
        <f>IF(O40="Да",ROUND(E40*0.1111,2),0)</f>
        <v>0</v>
      </c>
      <c r="AC40" s="53">
        <f>V40+W40+T40+X40+Y40+Z40+AA40+AB40</f>
        <v>319.39999999999998</v>
      </c>
      <c r="AD40" s="8">
        <v>0</v>
      </c>
      <c r="AE40" s="36">
        <f>ROUND(E40*AD40,2)</f>
        <v>0</v>
      </c>
      <c r="AF40" s="6">
        <v>15</v>
      </c>
      <c r="AG40" s="6">
        <v>15</v>
      </c>
      <c r="AH40" s="58">
        <f>AH34*8</f>
        <v>511.92</v>
      </c>
      <c r="AI40" s="57">
        <f>E40-AC40-AE40-AH40</f>
        <v>258.68</v>
      </c>
      <c r="AJ40" s="17">
        <f>E40-AC40</f>
        <v>770.6</v>
      </c>
      <c r="AK40" s="20">
        <f>ROUND(AI40/E40,2)</f>
        <v>0.24</v>
      </c>
      <c r="AL40" s="21">
        <f t="shared" si="11"/>
        <v>0.51</v>
      </c>
    </row>
    <row r="41" spans="1:38" x14ac:dyDescent="0.25">
      <c r="A41" s="27"/>
      <c r="B41" s="45" t="s">
        <v>187</v>
      </c>
      <c r="C41" s="31">
        <v>1340</v>
      </c>
      <c r="D41" s="38">
        <v>0</v>
      </c>
      <c r="E41" s="50">
        <f t="shared" si="5"/>
        <v>1340</v>
      </c>
      <c r="F41" s="24">
        <v>0.5</v>
      </c>
      <c r="G41" s="6">
        <v>25</v>
      </c>
      <c r="H41" s="7">
        <v>24</v>
      </c>
      <c r="I41" s="7">
        <v>42</v>
      </c>
      <c r="J41" s="78">
        <f t="shared" si="1"/>
        <v>25.2</v>
      </c>
      <c r="K41" s="2">
        <f t="shared" si="3"/>
        <v>5</v>
      </c>
      <c r="L41" s="8">
        <v>0</v>
      </c>
      <c r="M41" s="1">
        <f t="shared" si="0"/>
        <v>0</v>
      </c>
      <c r="N41" s="41">
        <v>0</v>
      </c>
      <c r="O41" s="84" t="s">
        <v>275</v>
      </c>
      <c r="P41" s="24" t="s">
        <v>562</v>
      </c>
      <c r="Q41" s="7" t="s">
        <v>557</v>
      </c>
      <c r="R41" s="7"/>
      <c r="S41" s="81">
        <v>0.09</v>
      </c>
      <c r="T41" s="7">
        <v>25</v>
      </c>
      <c r="U41" s="82"/>
      <c r="V41" s="83">
        <f>ROUNDUP(E41*S41,2)</f>
        <v>120.6</v>
      </c>
      <c r="W41" s="83">
        <f>ROUNDUP(E41*0.015,2)</f>
        <v>20.100000000000001</v>
      </c>
      <c r="X41" s="82">
        <f>MAX(MIN(SUMIFS(Логистика!$C$2:$C$38,Логистика!$A$2:$A$38,"&lt;="&amp;K41,Логистика!$B$2:$B$38,"&gt;="&amp;K41)*E41,SUMIFS(Логистика!$E$2:$E$38,Логистика!$A$2:$A$38,"&lt;="&amp;K41,Логистика!$B$2:$B$38,"&gt;="&amp;K41)),SUMIFS(Логистика!$D$2:$D$38,Логистика!$A$2:$A$38,"&lt;="&amp;K41,Логистика!$B$2:$B$38,"&gt;="&amp;K41))</f>
        <v>135</v>
      </c>
      <c r="Y41" s="83">
        <f>IF(AND(E41*0.055&gt;20,E41*0.055&lt;250),ROUNDUP(E41*0.055,2),IF(E41*0.055&lt;=20,20,250))</f>
        <v>73.7</v>
      </c>
      <c r="Z41" s="83">
        <f>ROUND(M41*0.05,2)</f>
        <v>0</v>
      </c>
      <c r="AA41" s="83">
        <f>IF(N41=0,0,IF(ROUND(E41*N41,2)&gt;5,ROUND(E41*N41,2),5))</f>
        <v>0</v>
      </c>
      <c r="AB41" s="83">
        <f>IF(O41="Да",ROUND(E41*0.1111,2),0)</f>
        <v>0</v>
      </c>
      <c r="AC41" s="53">
        <f>V41+W41+T41+X41+Y41+Z41+AA41+AB41</f>
        <v>374.4</v>
      </c>
      <c r="AD41" s="8">
        <v>0</v>
      </c>
      <c r="AE41" s="36">
        <f>ROUND(E41*AD41,2)</f>
        <v>0</v>
      </c>
      <c r="AF41" s="6">
        <v>15</v>
      </c>
      <c r="AG41" s="6">
        <v>15</v>
      </c>
      <c r="AH41" s="58">
        <f>AH34*10</f>
        <v>639.9</v>
      </c>
      <c r="AI41" s="57">
        <f>E41-AC41-AE41-AH41</f>
        <v>325.70000000000005</v>
      </c>
      <c r="AJ41" s="17">
        <f>E41-AC41</f>
        <v>965.6</v>
      </c>
      <c r="AK41" s="20">
        <f>ROUND(AI41/E41,2)</f>
        <v>0.24</v>
      </c>
      <c r="AL41" s="21">
        <f t="shared" si="11"/>
        <v>0.51</v>
      </c>
    </row>
    <row r="42" spans="1:38" x14ac:dyDescent="0.25">
      <c r="A42" s="27"/>
      <c r="B42" s="45" t="s">
        <v>218</v>
      </c>
      <c r="C42" s="31"/>
      <c r="D42" s="38">
        <v>0</v>
      </c>
      <c r="E42" s="50">
        <f t="shared" si="5"/>
        <v>0</v>
      </c>
      <c r="F42" s="24"/>
      <c r="G42" s="7">
        <v>0</v>
      </c>
      <c r="H42" s="7">
        <v>0</v>
      </c>
      <c r="I42" s="7">
        <v>0</v>
      </c>
      <c r="J42" s="78">
        <f t="shared" si="1"/>
        <v>0</v>
      </c>
      <c r="K42" s="2">
        <f t="shared" si="3"/>
        <v>0</v>
      </c>
      <c r="L42" s="8">
        <v>0</v>
      </c>
      <c r="M42" s="1">
        <f t="shared" si="0"/>
        <v>0</v>
      </c>
      <c r="N42" s="41">
        <v>0</v>
      </c>
      <c r="O42" s="84" t="s">
        <v>275</v>
      </c>
      <c r="P42" s="24" t="s">
        <v>562</v>
      </c>
      <c r="Q42" s="7" t="s">
        <v>557</v>
      </c>
      <c r="R42" s="7"/>
      <c r="S42" s="81">
        <v>0.09</v>
      </c>
      <c r="T42" s="7">
        <v>25</v>
      </c>
      <c r="U42" s="82"/>
      <c r="V42" s="83">
        <f>ROUNDUP(E42*S42,2)</f>
        <v>0</v>
      </c>
      <c r="W42" s="83">
        <f>ROUNDUP(E42*0.015,2)</f>
        <v>0</v>
      </c>
      <c r="X42" s="82">
        <f>MAX(MIN(SUMIFS(Логистика!$C$2:$C$38,Логистика!$A$2:$A$38,"&lt;="&amp;K42,Логистика!$B$2:$B$38,"&gt;="&amp;K42)*E42,SUMIFS(Логистика!$E$2:$E$38,Логистика!$A$2:$A$38,"&lt;="&amp;K42,Логистика!$B$2:$B$38,"&gt;="&amp;K42)),SUMIFS(Логистика!$D$2:$D$38,Логистика!$A$2:$A$38,"&lt;="&amp;K42,Логистика!$B$2:$B$38,"&gt;="&amp;K42))</f>
        <v>0</v>
      </c>
      <c r="Y42" s="83">
        <f>IF(AND(E42*0.055&gt;20,E42*0.055&lt;250),ROUNDUP(E42*0.055,2),IF(E42*0.055&lt;=20,20,250))</f>
        <v>20</v>
      </c>
      <c r="Z42" s="83">
        <f>ROUND(M42*0.05,2)</f>
        <v>0</v>
      </c>
      <c r="AA42" s="83">
        <f>IF(N42=0,0,IF(ROUND(E42*N42,2)&gt;5,ROUND(E42*N42,2),5))</f>
        <v>0</v>
      </c>
      <c r="AB42" s="83">
        <f>IF(O42="Да",ROUND(E42*0.1111,2),0)</f>
        <v>0</v>
      </c>
      <c r="AC42" s="53">
        <f>V42+W42+T42+X42+Y42+Z42+AA42+AB42</f>
        <v>45</v>
      </c>
      <c r="AD42" s="8">
        <v>0</v>
      </c>
      <c r="AE42" s="36">
        <f>ROUND(E42*AD42,2)</f>
        <v>0</v>
      </c>
      <c r="AF42" s="6">
        <v>15</v>
      </c>
      <c r="AG42" s="6">
        <v>15</v>
      </c>
      <c r="AH42" s="58">
        <f>AH34*20</f>
        <v>1279.8</v>
      </c>
      <c r="AI42" s="57">
        <f>E42-AC42-AE42-AH42</f>
        <v>-1324.8</v>
      </c>
      <c r="AJ42" s="17">
        <f>E42-AC42</f>
        <v>-45</v>
      </c>
      <c r="AK42" s="20" t="e">
        <f>ROUND(AI42/E42,2)</f>
        <v>#DIV/0!</v>
      </c>
      <c r="AL42" s="21">
        <f t="shared" si="11"/>
        <v>-1.04</v>
      </c>
    </row>
    <row r="43" spans="1:38" x14ac:dyDescent="0.25">
      <c r="A43" s="27"/>
      <c r="B43" s="45"/>
      <c r="C43" s="31"/>
      <c r="D43" s="38">
        <v>0</v>
      </c>
      <c r="E43" s="50">
        <f t="shared" si="5"/>
        <v>0</v>
      </c>
      <c r="F43" s="24"/>
      <c r="G43" s="7">
        <v>0</v>
      </c>
      <c r="H43" s="7">
        <v>0</v>
      </c>
      <c r="I43" s="7">
        <v>0</v>
      </c>
      <c r="J43" s="78">
        <f t="shared" si="1"/>
        <v>0</v>
      </c>
      <c r="K43" s="2">
        <f t="shared" si="3"/>
        <v>0</v>
      </c>
      <c r="L43" s="8">
        <v>0</v>
      </c>
      <c r="M43" s="1">
        <f t="shared" si="0"/>
        <v>0</v>
      </c>
      <c r="N43" s="41">
        <v>0</v>
      </c>
      <c r="O43" s="84" t="s">
        <v>275</v>
      </c>
      <c r="P43" s="24" t="s">
        <v>562</v>
      </c>
      <c r="Q43" s="7" t="s">
        <v>557</v>
      </c>
      <c r="R43" s="7"/>
      <c r="S43" s="81">
        <v>0.09</v>
      </c>
      <c r="T43" s="7">
        <v>25</v>
      </c>
      <c r="U43" s="82"/>
      <c r="V43" s="83">
        <f>ROUNDUP(E43*S43,2)</f>
        <v>0</v>
      </c>
      <c r="W43" s="83">
        <f>ROUNDUP(E43*0.015,2)</f>
        <v>0</v>
      </c>
      <c r="X43" s="82">
        <f>MAX(MIN(SUMIFS(Логистика!$C$2:$C$38,Логистика!$A$2:$A$38,"&lt;="&amp;K43,Логистика!$B$2:$B$38,"&gt;="&amp;K43)*E43,SUMIFS(Логистика!$E$2:$E$38,Логистика!$A$2:$A$38,"&lt;="&amp;K43,Логистика!$B$2:$B$38,"&gt;="&amp;K43)),SUMIFS(Логистика!$D$2:$D$38,Логистика!$A$2:$A$38,"&lt;="&amp;K43,Логистика!$B$2:$B$38,"&gt;="&amp;K43))</f>
        <v>0</v>
      </c>
      <c r="Y43" s="83">
        <f>IF(AND(E43*0.055&gt;20,E43*0.055&lt;250),ROUNDUP(E43*0.055,2),IF(E43*0.055&lt;=20,20,250))</f>
        <v>20</v>
      </c>
      <c r="Z43" s="83">
        <f>ROUND(M43*0.05,2)</f>
        <v>0</v>
      </c>
      <c r="AA43" s="83">
        <f>IF(N43=0,0,IF(ROUND(E43*N43,2)&gt;5,ROUND(E43*N43,2),5))</f>
        <v>0</v>
      </c>
      <c r="AB43" s="83">
        <f>IF(O43="Да",ROUND(E43*0.1111,2),0)</f>
        <v>0</v>
      </c>
      <c r="AC43" s="53">
        <f>V43+W43+T43+X43+Y43+Z43+AA43+AB43</f>
        <v>45</v>
      </c>
      <c r="AD43" s="8">
        <v>0</v>
      </c>
      <c r="AE43" s="36">
        <f>ROUND(E43*AD43,2)</f>
        <v>0</v>
      </c>
      <c r="AF43" s="6">
        <v>15</v>
      </c>
      <c r="AG43" s="6">
        <v>15</v>
      </c>
      <c r="AH43" s="5"/>
      <c r="AI43" s="57">
        <f>E43-AC43-AE43-AH43</f>
        <v>-45</v>
      </c>
      <c r="AJ43" s="17">
        <f>E43-AC43</f>
        <v>-45</v>
      </c>
      <c r="AK43" s="20" t="e">
        <f>ROUND(AI43/E43,2)</f>
        <v>#DIV/0!</v>
      </c>
      <c r="AL43" s="21" t="e">
        <f t="shared" ref="AL43:AL198" si="12">ROUND(AI43/AH43,2)</f>
        <v>#DIV/0!</v>
      </c>
    </row>
    <row r="44" spans="1:38" x14ac:dyDescent="0.25">
      <c r="A44" s="27" t="s">
        <v>257</v>
      </c>
      <c r="B44" s="45" t="s">
        <v>256</v>
      </c>
      <c r="C44" s="31">
        <v>250</v>
      </c>
      <c r="D44" s="38">
        <v>0</v>
      </c>
      <c r="E44" s="50">
        <f t="shared" si="5"/>
        <v>250</v>
      </c>
      <c r="F44" s="24">
        <v>0.05</v>
      </c>
      <c r="G44" s="7">
        <v>11</v>
      </c>
      <c r="H44" s="7">
        <v>11</v>
      </c>
      <c r="I44" s="7">
        <v>11</v>
      </c>
      <c r="J44" s="78">
        <f t="shared" si="1"/>
        <v>1.331</v>
      </c>
      <c r="K44" s="2">
        <f t="shared" si="3"/>
        <v>0.3</v>
      </c>
      <c r="L44" s="8">
        <v>0</v>
      </c>
      <c r="M44" s="1">
        <f t="shared" si="0"/>
        <v>0</v>
      </c>
      <c r="N44" s="41">
        <v>0</v>
      </c>
      <c r="O44" s="84" t="s">
        <v>275</v>
      </c>
      <c r="P44" s="24" t="s">
        <v>562</v>
      </c>
      <c r="Q44" s="7" t="s">
        <v>557</v>
      </c>
      <c r="R44" s="7"/>
      <c r="S44" s="81">
        <v>0.09</v>
      </c>
      <c r="T44" s="7">
        <v>25</v>
      </c>
      <c r="U44" s="82"/>
      <c r="V44" s="83">
        <f>ROUNDUP(E44*S44,2)</f>
        <v>22.5</v>
      </c>
      <c r="W44" s="83">
        <f>ROUNDUP(E44*0.015,2)</f>
        <v>3.75</v>
      </c>
      <c r="X44" s="82">
        <f>MAX(MIN(SUMIFS(Логистика!$C$2:$C$38,Логистика!$A$2:$A$38,"&lt;="&amp;K44,Логистика!$B$2:$B$38,"&gt;="&amp;K44)*E44,SUMIFS(Логистика!$E$2:$E$38,Логистика!$A$2:$A$38,"&lt;="&amp;K44,Логистика!$B$2:$B$38,"&gt;="&amp;K44)),SUMIFS(Логистика!$D$2:$D$38,Логистика!$A$2:$A$38,"&lt;="&amp;K44,Логистика!$B$2:$B$38,"&gt;="&amp;K44))</f>
        <v>42</v>
      </c>
      <c r="Y44" s="83">
        <f>IF(AND(E44*0.055&gt;20,E44*0.055&lt;250),ROUNDUP(E44*0.055,2),IF(E44*0.055&lt;=20,20,250))</f>
        <v>20</v>
      </c>
      <c r="Z44" s="83">
        <f>ROUND(M44*0.05,2)</f>
        <v>0</v>
      </c>
      <c r="AA44" s="83">
        <f>IF(N44=0,0,IF(ROUND(E44*N44,2)&gt;5,ROUND(E44*N44,2),5))</f>
        <v>0</v>
      </c>
      <c r="AB44" s="83">
        <f>IF(O44="Да",ROUND(E44*0.1111,2),0)</f>
        <v>0</v>
      </c>
      <c r="AC44" s="53">
        <f>V44+W44+T44+X44+Y44+Z44+AA44+AB44</f>
        <v>113.25</v>
      </c>
      <c r="AD44" s="8">
        <v>0</v>
      </c>
      <c r="AE44" s="36">
        <f>ROUND(E44*AD44,2)</f>
        <v>0</v>
      </c>
      <c r="AF44" s="6">
        <v>15</v>
      </c>
      <c r="AG44" s="6">
        <v>15</v>
      </c>
      <c r="AH44" s="5">
        <v>79</v>
      </c>
      <c r="AI44" s="57">
        <f>E44-AC44-AE44-AH44</f>
        <v>57.75</v>
      </c>
      <c r="AJ44" s="17">
        <f>E44-AC44</f>
        <v>136.75</v>
      </c>
      <c r="AK44" s="20">
        <f>ROUND(AI44/E44,2)</f>
        <v>0.23</v>
      </c>
      <c r="AL44" s="21">
        <f t="shared" si="12"/>
        <v>0.73</v>
      </c>
    </row>
    <row r="45" spans="1:38" x14ac:dyDescent="0.25">
      <c r="A45" s="27" t="s">
        <v>258</v>
      </c>
      <c r="B45" s="45" t="s">
        <v>264</v>
      </c>
      <c r="C45" s="31">
        <v>390</v>
      </c>
      <c r="D45" s="38">
        <v>0</v>
      </c>
      <c r="E45" s="50">
        <f t="shared" si="5"/>
        <v>390</v>
      </c>
      <c r="F45" s="24">
        <v>0.1</v>
      </c>
      <c r="G45" s="7">
        <v>11</v>
      </c>
      <c r="H45" s="7">
        <v>20</v>
      </c>
      <c r="I45" s="7">
        <v>11</v>
      </c>
      <c r="J45" s="78">
        <f t="shared" si="1"/>
        <v>2.42</v>
      </c>
      <c r="K45" s="2">
        <f t="shared" si="3"/>
        <v>0.5</v>
      </c>
      <c r="L45" s="8">
        <v>0</v>
      </c>
      <c r="M45" s="1">
        <f t="shared" si="0"/>
        <v>0</v>
      </c>
      <c r="N45" s="41">
        <v>0</v>
      </c>
      <c r="O45" s="84" t="s">
        <v>275</v>
      </c>
      <c r="P45" s="24" t="s">
        <v>562</v>
      </c>
      <c r="Q45" s="7" t="s">
        <v>557</v>
      </c>
      <c r="R45" s="7"/>
      <c r="S45" s="81">
        <v>0.09</v>
      </c>
      <c r="T45" s="7">
        <v>25</v>
      </c>
      <c r="U45" s="82"/>
      <c r="V45" s="83">
        <f>ROUNDUP(E45*S45,2)</f>
        <v>35.1</v>
      </c>
      <c r="W45" s="83">
        <f>ROUNDUP(E45*0.015,2)</f>
        <v>5.85</v>
      </c>
      <c r="X45" s="82">
        <f>MAX(MIN(SUMIFS(Логистика!$C$2:$C$38,Логистика!$A$2:$A$38,"&lt;="&amp;K45,Логистика!$B$2:$B$38,"&gt;="&amp;K45)*E45,SUMIFS(Логистика!$E$2:$E$38,Логистика!$A$2:$A$38,"&lt;="&amp;K45,Логистика!$B$2:$B$38,"&gt;="&amp;K45)),SUMIFS(Логистика!$D$2:$D$38,Логистика!$A$2:$A$38,"&lt;="&amp;K45,Логистика!$B$2:$B$38,"&gt;="&amp;K45))</f>
        <v>43</v>
      </c>
      <c r="Y45" s="83">
        <f>IF(AND(E45*0.055&gt;20,E45*0.055&lt;250),ROUNDUP(E45*0.055,2),IF(E45*0.055&lt;=20,20,250))</f>
        <v>21.45</v>
      </c>
      <c r="Z45" s="83">
        <f>ROUND(M45*0.05,2)</f>
        <v>0</v>
      </c>
      <c r="AA45" s="83">
        <f>IF(N45=0,0,IF(ROUND(E45*N45,2)&gt;5,ROUND(E45*N45,2),5))</f>
        <v>0</v>
      </c>
      <c r="AB45" s="83">
        <f>IF(O45="Да",ROUND(E45*0.1111,2),0)</f>
        <v>0</v>
      </c>
      <c r="AC45" s="53">
        <f>V45+W45+T45+X45+Y45+Z45+AA45+AB45</f>
        <v>130.4</v>
      </c>
      <c r="AD45" s="8">
        <v>0</v>
      </c>
      <c r="AE45" s="36">
        <f>ROUND(E45*AD45,2)</f>
        <v>0</v>
      </c>
      <c r="AF45" s="6">
        <v>15</v>
      </c>
      <c r="AG45" s="6">
        <v>15</v>
      </c>
      <c r="AH45" s="59">
        <f>AH44*2</f>
        <v>158</v>
      </c>
      <c r="AI45" s="57">
        <f>E45-AC45-AE45-AH45</f>
        <v>101.60000000000002</v>
      </c>
      <c r="AJ45" s="17">
        <f>E45-AC45</f>
        <v>259.60000000000002</v>
      </c>
      <c r="AK45" s="20">
        <f>ROUND(AI45/E45,2)</f>
        <v>0.26</v>
      </c>
      <c r="AL45" s="21">
        <f t="shared" si="12"/>
        <v>0.64</v>
      </c>
    </row>
    <row r="46" spans="1:38" x14ac:dyDescent="0.25">
      <c r="A46" s="27" t="s">
        <v>259</v>
      </c>
      <c r="B46" s="45" t="s">
        <v>265</v>
      </c>
      <c r="C46" s="31">
        <v>530</v>
      </c>
      <c r="D46" s="38">
        <v>0</v>
      </c>
      <c r="E46" s="50">
        <f t="shared" si="5"/>
        <v>530</v>
      </c>
      <c r="F46" s="24">
        <v>0.15</v>
      </c>
      <c r="G46" s="7">
        <v>28.999999999999996</v>
      </c>
      <c r="H46" s="7">
        <v>11</v>
      </c>
      <c r="I46" s="7">
        <v>11</v>
      </c>
      <c r="J46" s="78">
        <f t="shared" si="1"/>
        <v>3.5089999999999995</v>
      </c>
      <c r="K46" s="2">
        <f t="shared" si="3"/>
        <v>0.7</v>
      </c>
      <c r="L46" s="8">
        <v>0</v>
      </c>
      <c r="M46" s="1">
        <f t="shared" si="0"/>
        <v>0</v>
      </c>
      <c r="N46" s="41">
        <v>0</v>
      </c>
      <c r="O46" s="84" t="s">
        <v>275</v>
      </c>
      <c r="P46" s="24" t="s">
        <v>562</v>
      </c>
      <c r="Q46" s="7" t="s">
        <v>557</v>
      </c>
      <c r="R46" s="7"/>
      <c r="S46" s="81">
        <v>0.09</v>
      </c>
      <c r="T46" s="7">
        <v>25</v>
      </c>
      <c r="U46" s="82"/>
      <c r="V46" s="83">
        <f>ROUNDUP(E46*S46,2)</f>
        <v>47.7</v>
      </c>
      <c r="W46" s="83">
        <f>ROUNDUP(E46*0.015,2)</f>
        <v>7.95</v>
      </c>
      <c r="X46" s="82">
        <f>MAX(MIN(SUMIFS(Логистика!$C$2:$C$38,Логистика!$A$2:$A$38,"&lt;="&amp;K46,Логистика!$B$2:$B$38,"&gt;="&amp;K46)*E46,SUMIFS(Логистика!$E$2:$E$38,Логистика!$A$2:$A$38,"&lt;="&amp;K46,Логистика!$B$2:$B$38,"&gt;="&amp;K46)),SUMIFS(Логистика!$D$2:$D$38,Логистика!$A$2:$A$38,"&lt;="&amp;K46,Логистика!$B$2:$B$38,"&gt;="&amp;K46))</f>
        <v>45</v>
      </c>
      <c r="Y46" s="83">
        <f>IF(AND(E46*0.055&gt;20,E46*0.055&lt;250),ROUNDUP(E46*0.055,2),IF(E46*0.055&lt;=20,20,250))</f>
        <v>29.15</v>
      </c>
      <c r="Z46" s="83">
        <f>ROUND(M46*0.05,2)</f>
        <v>0</v>
      </c>
      <c r="AA46" s="83">
        <f>IF(N46=0,0,IF(ROUND(E46*N46,2)&gt;5,ROUND(E46*N46,2),5))</f>
        <v>0</v>
      </c>
      <c r="AB46" s="83">
        <f>IF(O46="Да",ROUND(E46*0.1111,2),0)</f>
        <v>0</v>
      </c>
      <c r="AC46" s="53">
        <f>V46+W46+T46+X46+Y46+Z46+AA46+AB46</f>
        <v>154.80000000000001</v>
      </c>
      <c r="AD46" s="8">
        <v>0</v>
      </c>
      <c r="AE46" s="36">
        <f>ROUND(E46*AD46,2)</f>
        <v>0</v>
      </c>
      <c r="AF46" s="6">
        <v>15</v>
      </c>
      <c r="AG46" s="6">
        <v>15</v>
      </c>
      <c r="AH46" s="59">
        <f>AH44*3</f>
        <v>237</v>
      </c>
      <c r="AI46" s="57">
        <f>E46-AC46-AE46-AH46</f>
        <v>138.19999999999999</v>
      </c>
      <c r="AJ46" s="17">
        <f>E46-AC46</f>
        <v>375.2</v>
      </c>
      <c r="AK46" s="20">
        <f>ROUND(AI46/E46,2)</f>
        <v>0.26</v>
      </c>
      <c r="AL46" s="21">
        <f t="shared" si="12"/>
        <v>0.57999999999999996</v>
      </c>
    </row>
    <row r="47" spans="1:38" x14ac:dyDescent="0.25">
      <c r="A47" s="27" t="s">
        <v>260</v>
      </c>
      <c r="B47" s="45" t="s">
        <v>266</v>
      </c>
      <c r="C47" s="31">
        <v>670</v>
      </c>
      <c r="D47" s="38">
        <v>0</v>
      </c>
      <c r="E47" s="50">
        <f t="shared" si="5"/>
        <v>670</v>
      </c>
      <c r="F47" s="24">
        <v>0.2</v>
      </c>
      <c r="G47" s="7">
        <v>20</v>
      </c>
      <c r="H47" s="7">
        <v>20</v>
      </c>
      <c r="I47" s="7">
        <v>11</v>
      </c>
      <c r="J47" s="78">
        <f t="shared" si="1"/>
        <v>4.4000000000000004</v>
      </c>
      <c r="K47" s="2">
        <f t="shared" si="3"/>
        <v>0.9</v>
      </c>
      <c r="L47" s="8">
        <v>0</v>
      </c>
      <c r="M47" s="1">
        <f t="shared" si="0"/>
        <v>0</v>
      </c>
      <c r="N47" s="41">
        <v>0</v>
      </c>
      <c r="O47" s="84" t="s">
        <v>275</v>
      </c>
      <c r="P47" s="24" t="s">
        <v>562</v>
      </c>
      <c r="Q47" s="7" t="s">
        <v>557</v>
      </c>
      <c r="R47" s="7"/>
      <c r="S47" s="81">
        <v>0.09</v>
      </c>
      <c r="T47" s="7">
        <v>25</v>
      </c>
      <c r="U47" s="82"/>
      <c r="V47" s="83">
        <f>ROUNDUP(E47*S47,2)</f>
        <v>60.3</v>
      </c>
      <c r="W47" s="83">
        <f>ROUNDUP(E47*0.015,2)</f>
        <v>10.050000000000001</v>
      </c>
      <c r="X47" s="82">
        <f>MAX(MIN(SUMIFS(Логистика!$C$2:$C$38,Логистика!$A$2:$A$38,"&lt;="&amp;K47,Логистика!$B$2:$B$38,"&gt;="&amp;K47)*E47,SUMIFS(Логистика!$E$2:$E$38,Логистика!$A$2:$A$38,"&lt;="&amp;K47,Логистика!$B$2:$B$38,"&gt;="&amp;K47)),SUMIFS(Логистика!$D$2:$D$38,Логистика!$A$2:$A$38,"&lt;="&amp;K47,Логистика!$B$2:$B$38,"&gt;="&amp;K47))</f>
        <v>49</v>
      </c>
      <c r="Y47" s="83">
        <f>IF(AND(E47*0.055&gt;20,E47*0.055&lt;250),ROUNDUP(E47*0.055,2),IF(E47*0.055&lt;=20,20,250))</f>
        <v>36.85</v>
      </c>
      <c r="Z47" s="83">
        <f>ROUND(M47*0.05,2)</f>
        <v>0</v>
      </c>
      <c r="AA47" s="83">
        <f>IF(N47=0,0,IF(ROUND(E47*N47,2)&gt;5,ROUND(E47*N47,2),5))</f>
        <v>0</v>
      </c>
      <c r="AB47" s="83">
        <f>IF(O47="Да",ROUND(E47*0.1111,2),0)</f>
        <v>0</v>
      </c>
      <c r="AC47" s="53">
        <f>V47+W47+T47+X47+Y47+Z47+AA47+AB47</f>
        <v>181.2</v>
      </c>
      <c r="AD47" s="8">
        <v>0</v>
      </c>
      <c r="AE47" s="36">
        <f>ROUND(E47*AD47,2)</f>
        <v>0</v>
      </c>
      <c r="AF47" s="6">
        <v>15</v>
      </c>
      <c r="AG47" s="6">
        <v>15</v>
      </c>
      <c r="AH47" s="59">
        <f>AH44*4</f>
        <v>316</v>
      </c>
      <c r="AI47" s="57">
        <f>E47-AC47-AE47-AH47</f>
        <v>172.8</v>
      </c>
      <c r="AJ47" s="17">
        <f>E47-AC47</f>
        <v>488.8</v>
      </c>
      <c r="AK47" s="20">
        <f>ROUND(AI47/E47,2)</f>
        <v>0.26</v>
      </c>
      <c r="AL47" s="21">
        <f t="shared" si="12"/>
        <v>0.55000000000000004</v>
      </c>
    </row>
    <row r="48" spans="1:38" x14ac:dyDescent="0.25">
      <c r="A48" s="27" t="s">
        <v>261</v>
      </c>
      <c r="B48" s="45" t="s">
        <v>267</v>
      </c>
      <c r="C48" s="31">
        <v>970</v>
      </c>
      <c r="D48" s="38">
        <v>0</v>
      </c>
      <c r="E48" s="50">
        <f t="shared" si="5"/>
        <v>970</v>
      </c>
      <c r="F48" s="24">
        <v>0.3</v>
      </c>
      <c r="G48" s="7">
        <v>28.999999999999996</v>
      </c>
      <c r="H48" s="7">
        <v>20</v>
      </c>
      <c r="I48" s="7">
        <v>11</v>
      </c>
      <c r="J48" s="78">
        <f t="shared" si="1"/>
        <v>6.379999999999999</v>
      </c>
      <c r="K48" s="2">
        <f t="shared" si="3"/>
        <v>1.3</v>
      </c>
      <c r="L48" s="8">
        <v>0</v>
      </c>
      <c r="M48" s="1">
        <f t="shared" si="0"/>
        <v>0</v>
      </c>
      <c r="N48" s="41">
        <v>0</v>
      </c>
      <c r="O48" s="84" t="s">
        <v>275</v>
      </c>
      <c r="P48" s="24" t="s">
        <v>562</v>
      </c>
      <c r="Q48" s="7" t="s">
        <v>557</v>
      </c>
      <c r="R48" s="7"/>
      <c r="S48" s="81">
        <v>0.09</v>
      </c>
      <c r="T48" s="7">
        <v>25</v>
      </c>
      <c r="U48" s="82"/>
      <c r="V48" s="83">
        <f>ROUNDUP(E48*S48,2)</f>
        <v>87.3</v>
      </c>
      <c r="W48" s="83">
        <f>ROUNDUP(E48*0.015,2)</f>
        <v>14.55</v>
      </c>
      <c r="X48" s="82">
        <f>MAX(MIN(SUMIFS(Логистика!$C$2:$C$38,Логистика!$A$2:$A$38,"&lt;="&amp;K48,Логистика!$B$2:$B$38,"&gt;="&amp;K48)*E48,SUMIFS(Логистика!$E$2:$E$38,Логистика!$A$2:$A$38,"&lt;="&amp;K48,Логистика!$B$2:$B$38,"&gt;="&amp;K48)),SUMIFS(Логистика!$D$2:$D$38,Логистика!$A$2:$A$38,"&lt;="&amp;K48,Логистика!$B$2:$B$38,"&gt;="&amp;K48))</f>
        <v>61</v>
      </c>
      <c r="Y48" s="83">
        <f>IF(AND(E48*0.055&gt;20,E48*0.055&lt;250),ROUNDUP(E48*0.055,2),IF(E48*0.055&lt;=20,20,250))</f>
        <v>53.35</v>
      </c>
      <c r="Z48" s="83">
        <f>ROUND(M48*0.05,2)</f>
        <v>0</v>
      </c>
      <c r="AA48" s="83">
        <f>IF(N48=0,0,IF(ROUND(E48*N48,2)&gt;5,ROUND(E48*N48,2),5))</f>
        <v>0</v>
      </c>
      <c r="AB48" s="83">
        <f>IF(O48="Да",ROUND(E48*0.1111,2),0)</f>
        <v>0</v>
      </c>
      <c r="AC48" s="53">
        <f>V48+W48+T48+X48+Y48+Z48+AA48+AB48</f>
        <v>241.2</v>
      </c>
      <c r="AD48" s="8">
        <v>0</v>
      </c>
      <c r="AE48" s="36">
        <f>ROUND(E48*AD48,2)</f>
        <v>0</v>
      </c>
      <c r="AF48" s="6">
        <v>15</v>
      </c>
      <c r="AG48" s="6">
        <v>15</v>
      </c>
      <c r="AH48" s="59">
        <f>AH44*6</f>
        <v>474</v>
      </c>
      <c r="AI48" s="57">
        <f>E48-AC48-AE48-AH48</f>
        <v>254.79999999999995</v>
      </c>
      <c r="AJ48" s="17">
        <f>E48-AC48</f>
        <v>728.8</v>
      </c>
      <c r="AK48" s="20">
        <f>ROUND(AI48/E48,2)</f>
        <v>0.26</v>
      </c>
      <c r="AL48" s="21">
        <f t="shared" si="12"/>
        <v>0.54</v>
      </c>
    </row>
    <row r="49" spans="1:38" x14ac:dyDescent="0.25">
      <c r="A49" s="27" t="s">
        <v>262</v>
      </c>
      <c r="B49" s="45" t="s">
        <v>268</v>
      </c>
      <c r="C49" s="31">
        <v>1270</v>
      </c>
      <c r="D49" s="38">
        <v>0</v>
      </c>
      <c r="E49" s="50">
        <f t="shared" si="5"/>
        <v>1270</v>
      </c>
      <c r="F49" s="24">
        <v>0.4</v>
      </c>
      <c r="G49" s="7">
        <v>38</v>
      </c>
      <c r="H49" s="7">
        <v>20</v>
      </c>
      <c r="I49" s="7">
        <v>11</v>
      </c>
      <c r="J49" s="78">
        <f t="shared" si="1"/>
        <v>8.36</v>
      </c>
      <c r="K49" s="2">
        <f t="shared" si="3"/>
        <v>1.7</v>
      </c>
      <c r="L49" s="8">
        <v>0</v>
      </c>
      <c r="M49" s="1">
        <f t="shared" si="0"/>
        <v>0</v>
      </c>
      <c r="N49" s="41">
        <v>0</v>
      </c>
      <c r="O49" s="84" t="s">
        <v>275</v>
      </c>
      <c r="P49" s="24" t="s">
        <v>562</v>
      </c>
      <c r="Q49" s="7" t="s">
        <v>557</v>
      </c>
      <c r="R49" s="7"/>
      <c r="S49" s="81">
        <v>0.09</v>
      </c>
      <c r="T49" s="7">
        <v>25</v>
      </c>
      <c r="U49" s="82"/>
      <c r="V49" s="83">
        <f>ROUNDUP(E49*S49,2)</f>
        <v>114.3</v>
      </c>
      <c r="W49" s="83">
        <f>ROUNDUP(E49*0.015,2)</f>
        <v>19.05</v>
      </c>
      <c r="X49" s="82">
        <f>MAX(MIN(SUMIFS(Логистика!$C$2:$C$38,Логистика!$A$2:$A$38,"&lt;="&amp;K49,Логистика!$B$2:$B$38,"&gt;="&amp;K49)*E49,SUMIFS(Логистика!$E$2:$E$38,Логистика!$A$2:$A$38,"&lt;="&amp;K49,Логистика!$B$2:$B$38,"&gt;="&amp;K49)),SUMIFS(Логистика!$D$2:$D$38,Логистика!$A$2:$A$38,"&lt;="&amp;K49,Логистика!$B$2:$B$38,"&gt;="&amp;K49))</f>
        <v>76.2</v>
      </c>
      <c r="Y49" s="83">
        <f>IF(AND(E49*0.055&gt;20,E49*0.055&lt;250),ROUNDUP(E49*0.055,2),IF(E49*0.055&lt;=20,20,250))</f>
        <v>69.849999999999994</v>
      </c>
      <c r="Z49" s="83">
        <f>ROUND(M49*0.05,2)</f>
        <v>0</v>
      </c>
      <c r="AA49" s="83">
        <f>IF(N49=0,0,IF(ROUND(E49*N49,2)&gt;5,ROUND(E49*N49,2),5))</f>
        <v>0</v>
      </c>
      <c r="AB49" s="83">
        <f>IF(O49="Да",ROUND(E49*0.1111,2),0)</f>
        <v>0</v>
      </c>
      <c r="AC49" s="53">
        <f>V49+W49+T49+X49+Y49+Z49+AA49+AB49</f>
        <v>304.39999999999998</v>
      </c>
      <c r="AD49" s="8">
        <v>0</v>
      </c>
      <c r="AE49" s="36">
        <f>ROUND(E49*AD49,2)</f>
        <v>0</v>
      </c>
      <c r="AF49" s="6">
        <v>15</v>
      </c>
      <c r="AG49" s="6">
        <v>15</v>
      </c>
      <c r="AH49" s="59">
        <f>AH44*8</f>
        <v>632</v>
      </c>
      <c r="AI49" s="57">
        <f>E49-AC49-AE49-AH49</f>
        <v>333.6</v>
      </c>
      <c r="AJ49" s="17">
        <f>E49-AC49</f>
        <v>965.6</v>
      </c>
      <c r="AK49" s="20">
        <f>ROUND(AI49/E49,2)</f>
        <v>0.26</v>
      </c>
      <c r="AL49" s="21">
        <f t="shared" si="12"/>
        <v>0.53</v>
      </c>
    </row>
    <row r="50" spans="1:38" x14ac:dyDescent="0.25">
      <c r="A50" s="27" t="s">
        <v>263</v>
      </c>
      <c r="B50" s="45" t="s">
        <v>269</v>
      </c>
      <c r="C50" s="31">
        <v>1550</v>
      </c>
      <c r="D50" s="38">
        <v>0</v>
      </c>
      <c r="E50" s="50">
        <f t="shared" si="5"/>
        <v>1550</v>
      </c>
      <c r="F50" s="24">
        <v>0.5</v>
      </c>
      <c r="G50" s="7">
        <v>47</v>
      </c>
      <c r="H50" s="7">
        <v>20</v>
      </c>
      <c r="I50" s="7">
        <v>11</v>
      </c>
      <c r="J50" s="78">
        <f t="shared" si="1"/>
        <v>10.34</v>
      </c>
      <c r="K50" s="2">
        <f t="shared" si="3"/>
        <v>2.1</v>
      </c>
      <c r="L50" s="8">
        <v>0</v>
      </c>
      <c r="M50" s="1">
        <f t="shared" si="0"/>
        <v>0</v>
      </c>
      <c r="N50" s="41">
        <v>0</v>
      </c>
      <c r="O50" s="84" t="s">
        <v>275</v>
      </c>
      <c r="P50" s="24" t="s">
        <v>562</v>
      </c>
      <c r="Q50" s="7" t="s">
        <v>557</v>
      </c>
      <c r="R50" s="7"/>
      <c r="S50" s="81">
        <v>0.09</v>
      </c>
      <c r="T50" s="7">
        <v>25</v>
      </c>
      <c r="U50" s="82"/>
      <c r="V50" s="83">
        <f>ROUNDUP(E50*S50,2)</f>
        <v>139.5</v>
      </c>
      <c r="W50" s="83">
        <f>ROUNDUP(E50*0.015,2)</f>
        <v>23.25</v>
      </c>
      <c r="X50" s="82">
        <f>MAX(MIN(SUMIFS(Логистика!$C$2:$C$38,Логистика!$A$2:$A$38,"&lt;="&amp;K50,Логистика!$B$2:$B$38,"&gt;="&amp;K50)*E50,SUMIFS(Логистика!$E$2:$E$38,Логистика!$A$2:$A$38,"&lt;="&amp;K50,Логистика!$B$2:$B$38,"&gt;="&amp;K50)),SUMIFS(Логистика!$D$2:$D$38,Логистика!$A$2:$A$38,"&lt;="&amp;K50,Логистика!$B$2:$B$38,"&gt;="&amp;K50))</f>
        <v>93</v>
      </c>
      <c r="Y50" s="83">
        <f>IF(AND(E50*0.055&gt;20,E50*0.055&lt;250),ROUNDUP(E50*0.055,2),IF(E50*0.055&lt;=20,20,250))</f>
        <v>85.25</v>
      </c>
      <c r="Z50" s="83">
        <f>ROUND(M50*0.05,2)</f>
        <v>0</v>
      </c>
      <c r="AA50" s="83">
        <f>IF(N50=0,0,IF(ROUND(E50*N50,2)&gt;5,ROUND(E50*N50,2),5))</f>
        <v>0</v>
      </c>
      <c r="AB50" s="83">
        <f>IF(O50="Да",ROUND(E50*0.1111,2),0)</f>
        <v>0</v>
      </c>
      <c r="AC50" s="53">
        <f>V50+W50+T50+X50+Y50+Z50+AA50+AB50</f>
        <v>366</v>
      </c>
      <c r="AD50" s="8">
        <v>0</v>
      </c>
      <c r="AE50" s="36">
        <f>ROUND(E50*AD50,2)</f>
        <v>0</v>
      </c>
      <c r="AF50" s="6">
        <v>15</v>
      </c>
      <c r="AG50" s="6">
        <v>15</v>
      </c>
      <c r="AH50" s="59">
        <f>AH44*10</f>
        <v>790</v>
      </c>
      <c r="AI50" s="57">
        <f>E50-AC50-AE50-AH50</f>
        <v>394</v>
      </c>
      <c r="AJ50" s="17">
        <f>E50-AC50</f>
        <v>1184</v>
      </c>
      <c r="AK50" s="20">
        <f>ROUND(AI50/E50,2)</f>
        <v>0.25</v>
      </c>
      <c r="AL50" s="21">
        <f t="shared" si="12"/>
        <v>0.5</v>
      </c>
    </row>
    <row r="51" spans="1:38" x14ac:dyDescent="0.25">
      <c r="A51" s="27"/>
      <c r="B51" s="45"/>
      <c r="C51" s="31"/>
      <c r="D51" s="38">
        <v>0</v>
      </c>
      <c r="E51" s="50">
        <f t="shared" si="5"/>
        <v>0</v>
      </c>
      <c r="F51" s="24"/>
      <c r="G51" s="7">
        <v>0</v>
      </c>
      <c r="H51" s="7">
        <v>0</v>
      </c>
      <c r="I51" s="7">
        <v>0</v>
      </c>
      <c r="J51" s="78">
        <f t="shared" si="1"/>
        <v>0</v>
      </c>
      <c r="K51" s="2">
        <f t="shared" si="3"/>
        <v>0</v>
      </c>
      <c r="L51" s="8">
        <v>0</v>
      </c>
      <c r="M51" s="1">
        <f t="shared" ref="M51:M166" si="13">IF(L51=0,0,IF(ROUND(E51*L51,0)&gt;20,ROUND(E51*L51,0),20))</f>
        <v>0</v>
      </c>
      <c r="N51" s="41">
        <v>0</v>
      </c>
      <c r="O51" s="84" t="s">
        <v>275</v>
      </c>
      <c r="P51" s="24" t="s">
        <v>562</v>
      </c>
      <c r="Q51" s="7" t="s">
        <v>557</v>
      </c>
      <c r="R51" s="7"/>
      <c r="S51" s="81">
        <v>0.09</v>
      </c>
      <c r="T51" s="7">
        <v>25</v>
      </c>
      <c r="U51" s="82"/>
      <c r="V51" s="83">
        <f>ROUNDUP(E51*S51,2)</f>
        <v>0</v>
      </c>
      <c r="W51" s="83">
        <f>ROUNDUP(E51*0.015,2)</f>
        <v>0</v>
      </c>
      <c r="X51" s="82">
        <f>MAX(MIN(SUMIFS(Логистика!$C$2:$C$38,Логистика!$A$2:$A$38,"&lt;="&amp;K51,Логистика!$B$2:$B$38,"&gt;="&amp;K51)*E51,SUMIFS(Логистика!$E$2:$E$38,Логистика!$A$2:$A$38,"&lt;="&amp;K51,Логистика!$B$2:$B$38,"&gt;="&amp;K51)),SUMIFS(Логистика!$D$2:$D$38,Логистика!$A$2:$A$38,"&lt;="&amp;K51,Логистика!$B$2:$B$38,"&gt;="&amp;K51))</f>
        <v>0</v>
      </c>
      <c r="Y51" s="83">
        <f>IF(AND(E51*0.055&gt;20,E51*0.055&lt;250),ROUNDUP(E51*0.055,2),IF(E51*0.055&lt;=20,20,250))</f>
        <v>20</v>
      </c>
      <c r="Z51" s="83">
        <f>ROUND(M51*0.05,2)</f>
        <v>0</v>
      </c>
      <c r="AA51" s="83">
        <f>IF(N51=0,0,IF(ROUND(E51*N51,2)&gt;5,ROUND(E51*N51,2),5))</f>
        <v>0</v>
      </c>
      <c r="AB51" s="83">
        <f>IF(O51="Да",ROUND(E51*0.1111,2),0)</f>
        <v>0</v>
      </c>
      <c r="AC51" s="53">
        <f>V51+W51+T51+X51+Y51+Z51+AA51+AB51</f>
        <v>45</v>
      </c>
      <c r="AD51" s="8">
        <v>0</v>
      </c>
      <c r="AE51" s="36">
        <f>ROUND(E51*AD51,2)</f>
        <v>0</v>
      </c>
      <c r="AF51" s="6">
        <v>15</v>
      </c>
      <c r="AG51" s="6">
        <v>15</v>
      </c>
      <c r="AH51" s="5"/>
      <c r="AI51" s="57">
        <f>E51-AC51-AE51-AH51</f>
        <v>-45</v>
      </c>
      <c r="AJ51" s="17">
        <f>E51-AC51</f>
        <v>-45</v>
      </c>
      <c r="AK51" s="20" t="e">
        <f>ROUND(AI51/E51,2)</f>
        <v>#DIV/0!</v>
      </c>
      <c r="AL51" s="21" t="e">
        <f t="shared" ref="AL51:AL166" si="14">ROUND(AI51/AH51,2)</f>
        <v>#DIV/0!</v>
      </c>
    </row>
    <row r="52" spans="1:38" x14ac:dyDescent="0.25">
      <c r="A52" s="27" t="s">
        <v>360</v>
      </c>
      <c r="B52" s="45" t="s">
        <v>359</v>
      </c>
      <c r="C52" s="31"/>
      <c r="D52" s="38">
        <v>0</v>
      </c>
      <c r="E52" s="50">
        <f t="shared" ref="E52:E165" si="15">ROUND(C52*(1-D52),0)</f>
        <v>0</v>
      </c>
      <c r="F52" s="24">
        <v>0.05</v>
      </c>
      <c r="G52" s="7">
        <v>14.000000000000002</v>
      </c>
      <c r="H52" s="7">
        <v>14.000000000000002</v>
      </c>
      <c r="I52" s="7">
        <v>14.000000000000002</v>
      </c>
      <c r="J52" s="78">
        <f t="shared" si="1"/>
        <v>2.7440000000000015</v>
      </c>
      <c r="K52" s="2">
        <f t="shared" si="3"/>
        <v>0.5</v>
      </c>
      <c r="L52" s="8">
        <v>0</v>
      </c>
      <c r="M52" s="1">
        <f t="shared" si="13"/>
        <v>0</v>
      </c>
      <c r="N52" s="41">
        <v>0</v>
      </c>
      <c r="O52" s="84" t="s">
        <v>275</v>
      </c>
      <c r="P52" s="24" t="s">
        <v>562</v>
      </c>
      <c r="Q52" s="7" t="s">
        <v>557</v>
      </c>
      <c r="R52" s="7"/>
      <c r="S52" s="81">
        <v>0.09</v>
      </c>
      <c r="T52" s="7">
        <v>25</v>
      </c>
      <c r="U52" s="82"/>
      <c r="V52" s="83">
        <f>ROUNDUP(E52*S52,2)</f>
        <v>0</v>
      </c>
      <c r="W52" s="83">
        <f>ROUNDUP(E52*0.015,2)</f>
        <v>0</v>
      </c>
      <c r="X52" s="82">
        <f>MAX(MIN(SUMIFS(Логистика!$C$2:$C$38,Логистика!$A$2:$A$38,"&lt;="&amp;K52,Логистика!$B$2:$B$38,"&gt;="&amp;K52)*E52,SUMIFS(Логистика!$E$2:$E$38,Логистика!$A$2:$A$38,"&lt;="&amp;K52,Логистика!$B$2:$B$38,"&gt;="&amp;K52)),SUMIFS(Логистика!$D$2:$D$38,Логистика!$A$2:$A$38,"&lt;="&amp;K52,Логистика!$B$2:$B$38,"&gt;="&amp;K52))</f>
        <v>43</v>
      </c>
      <c r="Y52" s="83">
        <f>IF(AND(E52*0.055&gt;20,E52*0.055&lt;250),ROUNDUP(E52*0.055,2),IF(E52*0.055&lt;=20,20,250))</f>
        <v>20</v>
      </c>
      <c r="Z52" s="83">
        <f>ROUND(M52*0.05,2)</f>
        <v>0</v>
      </c>
      <c r="AA52" s="83">
        <f>IF(N52=0,0,IF(ROUND(E52*N52,2)&gt;5,ROUND(E52*N52,2),5))</f>
        <v>0</v>
      </c>
      <c r="AB52" s="83">
        <f>IF(O52="Да",ROUND(E52*0.1111,2),0)</f>
        <v>0</v>
      </c>
      <c r="AC52" s="53">
        <f>V52+W52+T52+X52+Y52+Z52+AA52+AB52</f>
        <v>88</v>
      </c>
      <c r="AD52" s="8">
        <v>0</v>
      </c>
      <c r="AE52" s="36">
        <f>ROUND(E52*AD52,2)</f>
        <v>0</v>
      </c>
      <c r="AF52" s="6">
        <v>15</v>
      </c>
      <c r="AG52" s="6">
        <v>15</v>
      </c>
      <c r="AH52" s="5"/>
      <c r="AI52" s="57">
        <f>E52-AC52-AE52-AH52</f>
        <v>-88</v>
      </c>
      <c r="AJ52" s="17">
        <f>E52-AC52</f>
        <v>-88</v>
      </c>
      <c r="AK52" s="20" t="e">
        <f>ROUND(AI52/E52,2)</f>
        <v>#DIV/0!</v>
      </c>
      <c r="AL52" s="21" t="e">
        <f t="shared" si="14"/>
        <v>#DIV/0!</v>
      </c>
    </row>
    <row r="53" spans="1:38" x14ac:dyDescent="0.25">
      <c r="A53" s="27" t="s">
        <v>361</v>
      </c>
      <c r="B53" s="45" t="s">
        <v>366</v>
      </c>
      <c r="C53" s="31"/>
      <c r="D53" s="38">
        <v>0</v>
      </c>
      <c r="E53" s="50">
        <f t="shared" si="15"/>
        <v>0</v>
      </c>
      <c r="F53" s="24">
        <v>0.1</v>
      </c>
      <c r="G53" s="7">
        <v>14.000000000000002</v>
      </c>
      <c r="H53" s="7">
        <v>26</v>
      </c>
      <c r="I53" s="7">
        <v>14.000000000000002</v>
      </c>
      <c r="J53" s="78">
        <f t="shared" si="1"/>
        <v>5.0960000000000019</v>
      </c>
      <c r="K53" s="2">
        <f t="shared" si="3"/>
        <v>1</v>
      </c>
      <c r="L53" s="8">
        <v>0</v>
      </c>
      <c r="M53" s="1">
        <f t="shared" si="13"/>
        <v>0</v>
      </c>
      <c r="N53" s="41">
        <v>0</v>
      </c>
      <c r="O53" s="84" t="s">
        <v>275</v>
      </c>
      <c r="P53" s="24" t="s">
        <v>562</v>
      </c>
      <c r="Q53" s="7" t="s">
        <v>557</v>
      </c>
      <c r="R53" s="7"/>
      <c r="S53" s="81">
        <v>0.09</v>
      </c>
      <c r="T53" s="7">
        <v>25</v>
      </c>
      <c r="U53" s="82"/>
      <c r="V53" s="83">
        <f>ROUNDUP(E53*S53,2)</f>
        <v>0</v>
      </c>
      <c r="W53" s="83">
        <f>ROUNDUP(E53*0.015,2)</f>
        <v>0</v>
      </c>
      <c r="X53" s="82">
        <f>MAX(MIN(SUMIFS(Логистика!$C$2:$C$38,Логистика!$A$2:$A$38,"&lt;="&amp;K53,Логистика!$B$2:$B$38,"&gt;="&amp;K53)*E53,SUMIFS(Логистика!$E$2:$E$38,Логистика!$A$2:$A$38,"&lt;="&amp;K53,Логистика!$B$2:$B$38,"&gt;="&amp;K53)),SUMIFS(Логистика!$D$2:$D$38,Логистика!$A$2:$A$38,"&lt;="&amp;K53,Логистика!$B$2:$B$38,"&gt;="&amp;K53))</f>
        <v>51</v>
      </c>
      <c r="Y53" s="83">
        <f>IF(AND(E53*0.055&gt;20,E53*0.055&lt;250),ROUNDUP(E53*0.055,2),IF(E53*0.055&lt;=20,20,250))</f>
        <v>20</v>
      </c>
      <c r="Z53" s="83">
        <f>ROUND(M53*0.05,2)</f>
        <v>0</v>
      </c>
      <c r="AA53" s="83">
        <f>IF(N53=0,0,IF(ROUND(E53*N53,2)&gt;5,ROUND(E53*N53,2),5))</f>
        <v>0</v>
      </c>
      <c r="AB53" s="83">
        <f>IF(O53="Да",ROUND(E53*0.1111,2),0)</f>
        <v>0</v>
      </c>
      <c r="AC53" s="53">
        <f>V53+W53+T53+X53+Y53+Z53+AA53+AB53</f>
        <v>96</v>
      </c>
      <c r="AD53" s="8">
        <v>0</v>
      </c>
      <c r="AE53" s="36">
        <f>ROUND(E53*AD53,2)</f>
        <v>0</v>
      </c>
      <c r="AF53" s="6">
        <v>15</v>
      </c>
      <c r="AG53" s="6">
        <v>15</v>
      </c>
      <c r="AH53" s="59"/>
      <c r="AI53" s="57">
        <f>E53-AC53-AE53-AH53</f>
        <v>-96</v>
      </c>
      <c r="AJ53" s="17">
        <f>E53-AC53</f>
        <v>-96</v>
      </c>
      <c r="AK53" s="20" t="e">
        <f>ROUND(AI53/E53,2)</f>
        <v>#DIV/0!</v>
      </c>
      <c r="AL53" s="21" t="e">
        <f t="shared" si="14"/>
        <v>#DIV/0!</v>
      </c>
    </row>
    <row r="54" spans="1:38" x14ac:dyDescent="0.25">
      <c r="A54" s="27" t="s">
        <v>362</v>
      </c>
      <c r="B54" s="45" t="s">
        <v>367</v>
      </c>
      <c r="C54" s="31"/>
      <c r="D54" s="38">
        <v>0</v>
      </c>
      <c r="E54" s="50">
        <f t="shared" si="15"/>
        <v>0</v>
      </c>
      <c r="F54" s="24">
        <v>0.15</v>
      </c>
      <c r="G54" s="7">
        <v>14.000000000000002</v>
      </c>
      <c r="H54" s="7">
        <v>34</v>
      </c>
      <c r="I54" s="7">
        <v>14.000000000000002</v>
      </c>
      <c r="J54" s="78">
        <f t="shared" si="1"/>
        <v>6.6640000000000015</v>
      </c>
      <c r="K54" s="2">
        <f t="shared" si="3"/>
        <v>1.3</v>
      </c>
      <c r="L54" s="8">
        <v>0</v>
      </c>
      <c r="M54" s="1">
        <f t="shared" si="13"/>
        <v>0</v>
      </c>
      <c r="N54" s="41">
        <v>0</v>
      </c>
      <c r="O54" s="84" t="s">
        <v>275</v>
      </c>
      <c r="P54" s="24" t="s">
        <v>562</v>
      </c>
      <c r="Q54" s="7" t="s">
        <v>557</v>
      </c>
      <c r="R54" s="7"/>
      <c r="S54" s="81">
        <v>0.09</v>
      </c>
      <c r="T54" s="7">
        <v>25</v>
      </c>
      <c r="U54" s="82"/>
      <c r="V54" s="83">
        <f>ROUNDUP(E54*S54,2)</f>
        <v>0</v>
      </c>
      <c r="W54" s="83">
        <f>ROUNDUP(E54*0.015,2)</f>
        <v>0</v>
      </c>
      <c r="X54" s="82">
        <f>MAX(MIN(SUMIFS(Логистика!$C$2:$C$38,Логистика!$A$2:$A$38,"&lt;="&amp;K54,Логистика!$B$2:$B$38,"&gt;="&amp;K54)*E54,SUMIFS(Логистика!$E$2:$E$38,Логистика!$A$2:$A$38,"&lt;="&amp;K54,Логистика!$B$2:$B$38,"&gt;="&amp;K54)),SUMIFS(Логистика!$D$2:$D$38,Логистика!$A$2:$A$38,"&lt;="&amp;K54,Логистика!$B$2:$B$38,"&gt;="&amp;K54))</f>
        <v>61</v>
      </c>
      <c r="Y54" s="83">
        <f>IF(AND(E54*0.055&gt;20,E54*0.055&lt;250),ROUNDUP(E54*0.055,2),IF(E54*0.055&lt;=20,20,250))</f>
        <v>20</v>
      </c>
      <c r="Z54" s="83">
        <f>ROUND(M54*0.05,2)</f>
        <v>0</v>
      </c>
      <c r="AA54" s="83">
        <f>IF(N54=0,0,IF(ROUND(E54*N54,2)&gt;5,ROUND(E54*N54,2),5))</f>
        <v>0</v>
      </c>
      <c r="AB54" s="83">
        <f>IF(O54="Да",ROUND(E54*0.1111,2),0)</f>
        <v>0</v>
      </c>
      <c r="AC54" s="53">
        <f>V54+W54+T54+X54+Y54+Z54+AA54+AB54</f>
        <v>106</v>
      </c>
      <c r="AD54" s="8">
        <v>0</v>
      </c>
      <c r="AE54" s="36">
        <f>ROUND(E54*AD54,2)</f>
        <v>0</v>
      </c>
      <c r="AF54" s="6">
        <v>15</v>
      </c>
      <c r="AG54" s="6">
        <v>15</v>
      </c>
      <c r="AH54" s="59"/>
      <c r="AI54" s="57">
        <f>E54-AC54-AE54-AH54</f>
        <v>-106</v>
      </c>
      <c r="AJ54" s="17">
        <f>E54-AC54</f>
        <v>-106</v>
      </c>
      <c r="AK54" s="20" t="e">
        <f>ROUND(AI54/E54,2)</f>
        <v>#DIV/0!</v>
      </c>
      <c r="AL54" s="21" t="e">
        <f t="shared" si="14"/>
        <v>#DIV/0!</v>
      </c>
    </row>
    <row r="55" spans="1:38" x14ac:dyDescent="0.25">
      <c r="A55" s="27" t="s">
        <v>363</v>
      </c>
      <c r="B55" s="45" t="s">
        <v>368</v>
      </c>
      <c r="C55" s="31"/>
      <c r="D55" s="38">
        <v>0</v>
      </c>
      <c r="E55" s="50">
        <f t="shared" si="15"/>
        <v>0</v>
      </c>
      <c r="F55" s="24">
        <v>0.2</v>
      </c>
      <c r="G55" s="7">
        <v>14.000000000000002</v>
      </c>
      <c r="H55" s="7">
        <v>42</v>
      </c>
      <c r="I55" s="7">
        <v>14.000000000000002</v>
      </c>
      <c r="J55" s="78">
        <f t="shared" si="1"/>
        <v>8.2320000000000011</v>
      </c>
      <c r="K55" s="2">
        <f t="shared" si="3"/>
        <v>1.6</v>
      </c>
      <c r="L55" s="8">
        <v>0</v>
      </c>
      <c r="M55" s="1">
        <f t="shared" si="13"/>
        <v>0</v>
      </c>
      <c r="N55" s="41">
        <v>0</v>
      </c>
      <c r="O55" s="84" t="s">
        <v>275</v>
      </c>
      <c r="P55" s="24" t="s">
        <v>562</v>
      </c>
      <c r="Q55" s="7" t="s">
        <v>557</v>
      </c>
      <c r="R55" s="7"/>
      <c r="S55" s="81">
        <v>0.09</v>
      </c>
      <c r="T55" s="7">
        <v>25</v>
      </c>
      <c r="U55" s="82"/>
      <c r="V55" s="83">
        <f>ROUNDUP(E55*S55,2)</f>
        <v>0</v>
      </c>
      <c r="W55" s="83">
        <f>ROUNDUP(E55*0.015,2)</f>
        <v>0</v>
      </c>
      <c r="X55" s="82">
        <f>MAX(MIN(SUMIFS(Логистика!$C$2:$C$38,Логистика!$A$2:$A$38,"&lt;="&amp;K55,Логистика!$B$2:$B$38,"&gt;="&amp;K55)*E55,SUMIFS(Логистика!$E$2:$E$38,Логистика!$A$2:$A$38,"&lt;="&amp;K55,Логистика!$B$2:$B$38,"&gt;="&amp;K55)),SUMIFS(Логистика!$D$2:$D$38,Логистика!$A$2:$A$38,"&lt;="&amp;K55,Логистика!$B$2:$B$38,"&gt;="&amp;K55))</f>
        <v>67</v>
      </c>
      <c r="Y55" s="83">
        <f>IF(AND(E55*0.055&gt;20,E55*0.055&lt;250),ROUNDUP(E55*0.055,2),IF(E55*0.055&lt;=20,20,250))</f>
        <v>20</v>
      </c>
      <c r="Z55" s="83">
        <f>ROUND(M55*0.05,2)</f>
        <v>0</v>
      </c>
      <c r="AA55" s="83">
        <f>IF(N55=0,0,IF(ROUND(E55*N55,2)&gt;5,ROUND(E55*N55,2),5))</f>
        <v>0</v>
      </c>
      <c r="AB55" s="83">
        <f>IF(O55="Да",ROUND(E55*0.1111,2),0)</f>
        <v>0</v>
      </c>
      <c r="AC55" s="53">
        <f>V55+W55+T55+X55+Y55+Z55+AA55+AB55</f>
        <v>112</v>
      </c>
      <c r="AD55" s="8">
        <v>0</v>
      </c>
      <c r="AE55" s="36">
        <f>ROUND(E55*AD55,2)</f>
        <v>0</v>
      </c>
      <c r="AF55" s="6">
        <v>15</v>
      </c>
      <c r="AG55" s="6">
        <v>15</v>
      </c>
      <c r="AH55" s="59"/>
      <c r="AI55" s="57">
        <f>E55-AC55-AE55-AH55</f>
        <v>-112</v>
      </c>
      <c r="AJ55" s="17">
        <f>E55-AC55</f>
        <v>-112</v>
      </c>
      <c r="AK55" s="20" t="e">
        <f>ROUND(AI55/E55,2)</f>
        <v>#DIV/0!</v>
      </c>
      <c r="AL55" s="21" t="e">
        <f t="shared" si="14"/>
        <v>#DIV/0!</v>
      </c>
    </row>
    <row r="56" spans="1:38" x14ac:dyDescent="0.25">
      <c r="A56" s="27" t="s">
        <v>364</v>
      </c>
      <c r="B56" s="45" t="s">
        <v>369</v>
      </c>
      <c r="C56" s="31"/>
      <c r="D56" s="38">
        <v>0</v>
      </c>
      <c r="E56" s="50">
        <f t="shared" si="15"/>
        <v>0</v>
      </c>
      <c r="F56" s="24">
        <v>0.3</v>
      </c>
      <c r="G56" s="7">
        <v>14.000000000000002</v>
      </c>
      <c r="H56" s="7">
        <v>50</v>
      </c>
      <c r="I56" s="7">
        <v>14.000000000000002</v>
      </c>
      <c r="J56" s="78">
        <f t="shared" si="1"/>
        <v>9.8000000000000043</v>
      </c>
      <c r="K56" s="2">
        <f t="shared" si="3"/>
        <v>2</v>
      </c>
      <c r="L56" s="8">
        <v>0</v>
      </c>
      <c r="M56" s="1">
        <f t="shared" si="13"/>
        <v>0</v>
      </c>
      <c r="N56" s="41">
        <v>0</v>
      </c>
      <c r="O56" s="84" t="s">
        <v>275</v>
      </c>
      <c r="P56" s="24" t="s">
        <v>562</v>
      </c>
      <c r="Q56" s="7" t="s">
        <v>557</v>
      </c>
      <c r="R56" s="7"/>
      <c r="S56" s="81">
        <v>0.09</v>
      </c>
      <c r="T56" s="7">
        <v>25</v>
      </c>
      <c r="U56" s="82"/>
      <c r="V56" s="83">
        <f>ROUNDUP(E56*S56,2)</f>
        <v>0</v>
      </c>
      <c r="W56" s="83">
        <f>ROUNDUP(E56*0.015,2)</f>
        <v>0</v>
      </c>
      <c r="X56" s="82">
        <f>MAX(MIN(SUMIFS(Логистика!$C$2:$C$38,Логистика!$A$2:$A$38,"&lt;="&amp;K56,Логистика!$B$2:$B$38,"&gt;="&amp;K56)*E56,SUMIFS(Логистика!$E$2:$E$38,Логистика!$A$2:$A$38,"&lt;="&amp;K56,Логистика!$B$2:$B$38,"&gt;="&amp;K56)),SUMIFS(Логистика!$D$2:$D$38,Логистика!$A$2:$A$38,"&lt;="&amp;K56,Логистика!$B$2:$B$38,"&gt;="&amp;K56))</f>
        <v>79</v>
      </c>
      <c r="Y56" s="83">
        <f>IF(AND(E56*0.055&gt;20,E56*0.055&lt;250),ROUNDUP(E56*0.055,2),IF(E56*0.055&lt;=20,20,250))</f>
        <v>20</v>
      </c>
      <c r="Z56" s="83">
        <f>ROUND(M56*0.05,2)</f>
        <v>0</v>
      </c>
      <c r="AA56" s="83">
        <f>IF(N56=0,0,IF(ROUND(E56*N56,2)&gt;5,ROUND(E56*N56,2),5))</f>
        <v>0</v>
      </c>
      <c r="AB56" s="83">
        <f>IF(O56="Да",ROUND(E56*0.1111,2),0)</f>
        <v>0</v>
      </c>
      <c r="AC56" s="53">
        <f>V56+W56+T56+X56+Y56+Z56+AA56+AB56</f>
        <v>124</v>
      </c>
      <c r="AD56" s="8">
        <v>0</v>
      </c>
      <c r="AE56" s="36">
        <f>ROUND(E56*AD56,2)</f>
        <v>0</v>
      </c>
      <c r="AF56" s="6">
        <v>15</v>
      </c>
      <c r="AG56" s="6">
        <v>15</v>
      </c>
      <c r="AH56" s="59"/>
      <c r="AI56" s="57">
        <f>E56-AC56-AE56-AH56</f>
        <v>-124</v>
      </c>
      <c r="AJ56" s="17">
        <f>E56-AC56</f>
        <v>-124</v>
      </c>
      <c r="AK56" s="20" t="e">
        <f>ROUND(AI56/E56,2)</f>
        <v>#DIV/0!</v>
      </c>
      <c r="AL56" s="21" t="e">
        <f t="shared" si="14"/>
        <v>#DIV/0!</v>
      </c>
    </row>
    <row r="57" spans="1:38" x14ac:dyDescent="0.25">
      <c r="A57" s="27" t="s">
        <v>365</v>
      </c>
      <c r="B57" s="45" t="s">
        <v>370</v>
      </c>
      <c r="C57" s="31"/>
      <c r="D57" s="38">
        <v>0</v>
      </c>
      <c r="E57" s="50">
        <f t="shared" si="15"/>
        <v>0</v>
      </c>
      <c r="F57" s="24">
        <v>0.4</v>
      </c>
      <c r="G57" s="7">
        <v>14.000000000000002</v>
      </c>
      <c r="H57" s="7">
        <v>50</v>
      </c>
      <c r="I57" s="7">
        <v>26</v>
      </c>
      <c r="J57" s="78">
        <f t="shared" si="1"/>
        <v>18.200000000000003</v>
      </c>
      <c r="K57" s="2">
        <f t="shared" si="3"/>
        <v>3.6</v>
      </c>
      <c r="L57" s="8">
        <v>0</v>
      </c>
      <c r="M57" s="1">
        <f t="shared" si="13"/>
        <v>0</v>
      </c>
      <c r="N57" s="41">
        <v>0</v>
      </c>
      <c r="O57" s="84" t="s">
        <v>275</v>
      </c>
      <c r="P57" s="24" t="s">
        <v>562</v>
      </c>
      <c r="Q57" s="7" t="s">
        <v>557</v>
      </c>
      <c r="R57" s="7"/>
      <c r="S57" s="81">
        <v>0.09</v>
      </c>
      <c r="T57" s="7">
        <v>25</v>
      </c>
      <c r="U57" s="82"/>
      <c r="V57" s="83">
        <f>ROUNDUP(E57*S57,2)</f>
        <v>0</v>
      </c>
      <c r="W57" s="83">
        <f>ROUNDUP(E57*0.015,2)</f>
        <v>0</v>
      </c>
      <c r="X57" s="82">
        <f>MAX(MIN(SUMIFS(Логистика!$C$2:$C$38,Логистика!$A$2:$A$38,"&lt;="&amp;K57,Логистика!$B$2:$B$38,"&gt;="&amp;K57)*E57,SUMIFS(Логистика!$E$2:$E$38,Логистика!$A$2:$A$38,"&lt;="&amp;K57,Логистика!$B$2:$B$38,"&gt;="&amp;K57)),SUMIFS(Логистика!$D$2:$D$38,Логистика!$A$2:$A$38,"&lt;="&amp;K57,Логистика!$B$2:$B$38,"&gt;="&amp;K57))</f>
        <v>100</v>
      </c>
      <c r="Y57" s="83">
        <f>IF(AND(E57*0.055&gt;20,E57*0.055&lt;250),ROUNDUP(E57*0.055,2),IF(E57*0.055&lt;=20,20,250))</f>
        <v>20</v>
      </c>
      <c r="Z57" s="83">
        <f>ROUND(M57*0.05,2)</f>
        <v>0</v>
      </c>
      <c r="AA57" s="83">
        <f>IF(N57=0,0,IF(ROUND(E57*N57,2)&gt;5,ROUND(E57*N57,2),5))</f>
        <v>0</v>
      </c>
      <c r="AB57" s="83">
        <f>IF(O57="Да",ROUND(E57*0.1111,2),0)</f>
        <v>0</v>
      </c>
      <c r="AC57" s="53">
        <f>V57+W57+T57+X57+Y57+Z57+AA57+AB57</f>
        <v>145</v>
      </c>
      <c r="AD57" s="8">
        <v>0</v>
      </c>
      <c r="AE57" s="36">
        <f>ROUND(E57*AD57,2)</f>
        <v>0</v>
      </c>
      <c r="AF57" s="6">
        <v>15</v>
      </c>
      <c r="AG57" s="6">
        <v>15</v>
      </c>
      <c r="AH57" s="59"/>
      <c r="AI57" s="57">
        <f>E57-AC57-AE57-AH57</f>
        <v>-145</v>
      </c>
      <c r="AJ57" s="17">
        <f>E57-AC57</f>
        <v>-145</v>
      </c>
      <c r="AK57" s="20" t="e">
        <f>ROUND(AI57/E57,2)</f>
        <v>#DIV/0!</v>
      </c>
      <c r="AL57" s="21" t="e">
        <f t="shared" si="14"/>
        <v>#DIV/0!</v>
      </c>
    </row>
    <row r="58" spans="1:38" x14ac:dyDescent="0.25">
      <c r="A58" s="27"/>
      <c r="B58" s="45"/>
      <c r="C58" s="31"/>
      <c r="D58" s="38">
        <v>0</v>
      </c>
      <c r="E58" s="50">
        <f t="shared" si="15"/>
        <v>0</v>
      </c>
      <c r="F58" s="24"/>
      <c r="G58" s="7">
        <v>0</v>
      </c>
      <c r="H58" s="7">
        <v>0</v>
      </c>
      <c r="I58" s="7">
        <v>0</v>
      </c>
      <c r="J58" s="78">
        <f t="shared" si="1"/>
        <v>0</v>
      </c>
      <c r="K58" s="2">
        <f t="shared" si="3"/>
        <v>0</v>
      </c>
      <c r="L58" s="8">
        <v>0</v>
      </c>
      <c r="M58" s="1">
        <f t="shared" si="13"/>
        <v>0</v>
      </c>
      <c r="N58" s="41">
        <v>0</v>
      </c>
      <c r="O58" s="84" t="s">
        <v>275</v>
      </c>
      <c r="P58" s="24" t="s">
        <v>562</v>
      </c>
      <c r="Q58" s="7" t="s">
        <v>557</v>
      </c>
      <c r="R58" s="7"/>
      <c r="S58" s="81">
        <v>0.09</v>
      </c>
      <c r="T58" s="7">
        <v>25</v>
      </c>
      <c r="U58" s="82"/>
      <c r="V58" s="83">
        <f>ROUNDUP(E58*S58,2)</f>
        <v>0</v>
      </c>
      <c r="W58" s="83">
        <f>ROUNDUP(E58*0.015,2)</f>
        <v>0</v>
      </c>
      <c r="X58" s="82">
        <f>MAX(MIN(SUMIFS(Логистика!$C$2:$C$38,Логистика!$A$2:$A$38,"&lt;="&amp;K58,Логистика!$B$2:$B$38,"&gt;="&amp;K58)*E58,SUMIFS(Логистика!$E$2:$E$38,Логистика!$A$2:$A$38,"&lt;="&amp;K58,Логистика!$B$2:$B$38,"&gt;="&amp;K58)),SUMIFS(Логистика!$D$2:$D$38,Логистика!$A$2:$A$38,"&lt;="&amp;K58,Логистика!$B$2:$B$38,"&gt;="&amp;K58))</f>
        <v>0</v>
      </c>
      <c r="Y58" s="83">
        <f>IF(AND(E58*0.055&gt;20,E58*0.055&lt;250),ROUNDUP(E58*0.055,2),IF(E58*0.055&lt;=20,20,250))</f>
        <v>20</v>
      </c>
      <c r="Z58" s="83">
        <f>ROUND(M58*0.05,2)</f>
        <v>0</v>
      </c>
      <c r="AA58" s="83">
        <f>IF(N58=0,0,IF(ROUND(E58*N58,2)&gt;5,ROUND(E58*N58,2),5))</f>
        <v>0</v>
      </c>
      <c r="AB58" s="83">
        <f>IF(O58="Да",ROUND(E58*0.1111,2),0)</f>
        <v>0</v>
      </c>
      <c r="AC58" s="53">
        <f>V58+W58+T58+X58+Y58+Z58+AA58+AB58</f>
        <v>45</v>
      </c>
      <c r="AD58" s="8">
        <v>0</v>
      </c>
      <c r="AE58" s="36">
        <f>ROUND(E58*AD58,2)</f>
        <v>0</v>
      </c>
      <c r="AF58" s="6">
        <v>15</v>
      </c>
      <c r="AG58" s="6">
        <v>15</v>
      </c>
      <c r="AH58" s="5"/>
      <c r="AI58" s="57">
        <f>E58-AC58-AE58-AH58</f>
        <v>-45</v>
      </c>
      <c r="AJ58" s="17">
        <f>E58-AC58</f>
        <v>-45</v>
      </c>
      <c r="AK58" s="20" t="e">
        <f>ROUND(AI58/E58,2)</f>
        <v>#DIV/0!</v>
      </c>
      <c r="AL58" s="21" t="e">
        <f t="shared" si="14"/>
        <v>#DIV/0!</v>
      </c>
    </row>
    <row r="59" spans="1:38" x14ac:dyDescent="0.25">
      <c r="A59" s="27" t="s">
        <v>371</v>
      </c>
      <c r="B59" s="45" t="s">
        <v>372</v>
      </c>
      <c r="C59" s="31">
        <v>590</v>
      </c>
      <c r="D59" s="38">
        <v>0</v>
      </c>
      <c r="E59" s="50">
        <f t="shared" si="15"/>
        <v>590</v>
      </c>
      <c r="F59" s="24">
        <v>0.05</v>
      </c>
      <c r="G59" s="7">
        <v>16</v>
      </c>
      <c r="H59" s="7">
        <v>16</v>
      </c>
      <c r="I59" s="7">
        <v>16</v>
      </c>
      <c r="J59" s="78">
        <f t="shared" si="1"/>
        <v>4.0960000000000001</v>
      </c>
      <c r="K59" s="2">
        <f t="shared" si="3"/>
        <v>0.8</v>
      </c>
      <c r="L59" s="8">
        <v>0</v>
      </c>
      <c r="M59" s="1">
        <f t="shared" si="13"/>
        <v>0</v>
      </c>
      <c r="N59" s="41">
        <v>0</v>
      </c>
      <c r="O59" s="84" t="s">
        <v>275</v>
      </c>
      <c r="P59" s="24" t="s">
        <v>562</v>
      </c>
      <c r="Q59" s="7" t="s">
        <v>557</v>
      </c>
      <c r="R59" s="7"/>
      <c r="S59" s="81">
        <v>0.09</v>
      </c>
      <c r="T59" s="7">
        <v>25</v>
      </c>
      <c r="U59" s="82"/>
      <c r="V59" s="83">
        <f>ROUNDUP(E59*S59,2)</f>
        <v>53.1</v>
      </c>
      <c r="W59" s="83">
        <f>ROUNDUP(E59*0.015,2)</f>
        <v>8.85</v>
      </c>
      <c r="X59" s="82">
        <f>MAX(MIN(SUMIFS(Логистика!$C$2:$C$38,Логистика!$A$2:$A$38,"&lt;="&amp;K59,Логистика!$B$2:$B$38,"&gt;="&amp;K59)*E59,SUMIFS(Логистика!$E$2:$E$38,Логистика!$A$2:$A$38,"&lt;="&amp;K59,Логистика!$B$2:$B$38,"&gt;="&amp;K59)),SUMIFS(Логистика!$D$2:$D$38,Логистика!$A$2:$A$38,"&lt;="&amp;K59,Логистика!$B$2:$B$38,"&gt;="&amp;K59))</f>
        <v>47</v>
      </c>
      <c r="Y59" s="83">
        <f>IF(AND(E59*0.055&gt;20,E59*0.055&lt;250),ROUNDUP(E59*0.055,2),IF(E59*0.055&lt;=20,20,250))</f>
        <v>32.450000000000003</v>
      </c>
      <c r="Z59" s="83">
        <f>ROUND(M59*0.05,2)</f>
        <v>0</v>
      </c>
      <c r="AA59" s="83">
        <f>IF(N59=0,0,IF(ROUND(E59*N59,2)&gt;5,ROUND(E59*N59,2),5))</f>
        <v>0</v>
      </c>
      <c r="AB59" s="83">
        <f>IF(O59="Да",ROUND(E59*0.1111,2),0)</f>
        <v>0</v>
      </c>
      <c r="AC59" s="53">
        <f>V59+W59+T59+X59+Y59+Z59+AA59+AB59</f>
        <v>166.39999999999998</v>
      </c>
      <c r="AD59" s="8">
        <v>0</v>
      </c>
      <c r="AE59" s="36">
        <f>ROUND(E59*AD59,2)</f>
        <v>0</v>
      </c>
      <c r="AF59" s="6">
        <v>15</v>
      </c>
      <c r="AG59" s="6">
        <v>15</v>
      </c>
      <c r="AH59" s="5">
        <v>260</v>
      </c>
      <c r="AI59" s="57">
        <f>E59-AC59-AE59-AH59</f>
        <v>163.60000000000002</v>
      </c>
      <c r="AJ59" s="17">
        <f>E59-AC59</f>
        <v>423.6</v>
      </c>
      <c r="AK59" s="20">
        <f>ROUND(AI59/E59,2)</f>
        <v>0.28000000000000003</v>
      </c>
      <c r="AL59" s="21">
        <f t="shared" si="14"/>
        <v>0.63</v>
      </c>
    </row>
    <row r="60" spans="1:38" x14ac:dyDescent="0.25">
      <c r="A60" s="27" t="s">
        <v>373</v>
      </c>
      <c r="B60" s="45" t="s">
        <v>377</v>
      </c>
      <c r="C60" s="31">
        <v>1090</v>
      </c>
      <c r="D60" s="38">
        <v>0</v>
      </c>
      <c r="E60" s="50">
        <f t="shared" si="15"/>
        <v>1090</v>
      </c>
      <c r="F60" s="24">
        <v>0.1</v>
      </c>
      <c r="G60" s="7">
        <v>16</v>
      </c>
      <c r="H60" s="7">
        <v>30</v>
      </c>
      <c r="I60" s="7">
        <v>16</v>
      </c>
      <c r="J60" s="78">
        <f t="shared" si="1"/>
        <v>7.68</v>
      </c>
      <c r="K60" s="2">
        <f t="shared" si="3"/>
        <v>1.5</v>
      </c>
      <c r="L60" s="8">
        <v>0</v>
      </c>
      <c r="M60" s="1">
        <f t="shared" si="13"/>
        <v>0</v>
      </c>
      <c r="N60" s="41">
        <v>0</v>
      </c>
      <c r="O60" s="84" t="s">
        <v>275</v>
      </c>
      <c r="P60" s="24" t="s">
        <v>562</v>
      </c>
      <c r="Q60" s="7" t="s">
        <v>557</v>
      </c>
      <c r="R60" s="7"/>
      <c r="S60" s="81">
        <v>0.09</v>
      </c>
      <c r="T60" s="7">
        <v>25</v>
      </c>
      <c r="U60" s="82"/>
      <c r="V60" s="83">
        <f>ROUNDUP(E60*S60,2)</f>
        <v>98.1</v>
      </c>
      <c r="W60" s="83">
        <f>ROUNDUP(E60*0.015,2)</f>
        <v>16.350000000000001</v>
      </c>
      <c r="X60" s="82">
        <f>MAX(MIN(SUMIFS(Логистика!$C$2:$C$38,Логистика!$A$2:$A$38,"&lt;="&amp;K60,Логистика!$B$2:$B$38,"&gt;="&amp;K60)*E60,SUMIFS(Логистика!$E$2:$E$38,Логистика!$A$2:$A$38,"&lt;="&amp;K60,Логистика!$B$2:$B$38,"&gt;="&amp;K60)),SUMIFS(Логистика!$D$2:$D$38,Логистика!$A$2:$A$38,"&lt;="&amp;K60,Логистика!$B$2:$B$38,"&gt;="&amp;K60))</f>
        <v>65.399999999999991</v>
      </c>
      <c r="Y60" s="83">
        <f>IF(AND(E60*0.055&gt;20,E60*0.055&lt;250),ROUNDUP(E60*0.055,2),IF(E60*0.055&lt;=20,20,250))</f>
        <v>59.95</v>
      </c>
      <c r="Z60" s="83">
        <f>ROUND(M60*0.05,2)</f>
        <v>0</v>
      </c>
      <c r="AA60" s="83">
        <f>IF(N60=0,0,IF(ROUND(E60*N60,2)&gt;5,ROUND(E60*N60,2),5))</f>
        <v>0</v>
      </c>
      <c r="AB60" s="83">
        <f>IF(O60="Да",ROUND(E60*0.1111,2),0)</f>
        <v>0</v>
      </c>
      <c r="AC60" s="53">
        <f>V60+W60+T60+X60+Y60+Z60+AA60+AB60</f>
        <v>264.79999999999995</v>
      </c>
      <c r="AD60" s="8">
        <v>0</v>
      </c>
      <c r="AE60" s="36">
        <f>ROUND(E60*AD60,2)</f>
        <v>0</v>
      </c>
      <c r="AF60" s="6">
        <v>15</v>
      </c>
      <c r="AG60" s="6">
        <v>15</v>
      </c>
      <c r="AH60" s="59">
        <f>AH59*2</f>
        <v>520</v>
      </c>
      <c r="AI60" s="57">
        <f>E60-AC60-AE60-AH60</f>
        <v>305.20000000000005</v>
      </c>
      <c r="AJ60" s="17">
        <f>E60-AC60</f>
        <v>825.2</v>
      </c>
      <c r="AK60" s="20">
        <f>ROUND(AI60/E60,2)</f>
        <v>0.28000000000000003</v>
      </c>
      <c r="AL60" s="21">
        <f t="shared" si="14"/>
        <v>0.59</v>
      </c>
    </row>
    <row r="61" spans="1:38" x14ac:dyDescent="0.25">
      <c r="A61" s="27" t="s">
        <v>374</v>
      </c>
      <c r="B61" s="45" t="s">
        <v>378</v>
      </c>
      <c r="C61" s="31">
        <v>1550</v>
      </c>
      <c r="D61" s="38">
        <v>0</v>
      </c>
      <c r="E61" s="50">
        <f t="shared" si="15"/>
        <v>1550</v>
      </c>
      <c r="F61" s="24">
        <v>0.15</v>
      </c>
      <c r="G61" s="7">
        <v>16</v>
      </c>
      <c r="H61" s="7">
        <v>44</v>
      </c>
      <c r="I61" s="7">
        <v>16</v>
      </c>
      <c r="J61" s="78">
        <f t="shared" si="1"/>
        <v>11.263999999999999</v>
      </c>
      <c r="K61" s="2">
        <f t="shared" si="3"/>
        <v>2.2999999999999998</v>
      </c>
      <c r="L61" s="8">
        <v>0</v>
      </c>
      <c r="M61" s="1">
        <f t="shared" si="13"/>
        <v>0</v>
      </c>
      <c r="N61" s="41">
        <v>0</v>
      </c>
      <c r="O61" s="84" t="s">
        <v>275</v>
      </c>
      <c r="P61" s="24" t="s">
        <v>562</v>
      </c>
      <c r="Q61" s="7" t="s">
        <v>557</v>
      </c>
      <c r="R61" s="7"/>
      <c r="S61" s="81">
        <v>0.09</v>
      </c>
      <c r="T61" s="7">
        <v>25</v>
      </c>
      <c r="U61" s="82"/>
      <c r="V61" s="83">
        <f>ROUNDUP(E61*S61,2)</f>
        <v>139.5</v>
      </c>
      <c r="W61" s="83">
        <f>ROUNDUP(E61*0.015,2)</f>
        <v>23.25</v>
      </c>
      <c r="X61" s="82">
        <f>MAX(MIN(SUMIFS(Логистика!$C$2:$C$38,Логистика!$A$2:$A$38,"&lt;="&amp;K61,Логистика!$B$2:$B$38,"&gt;="&amp;K61)*E61,SUMIFS(Логистика!$E$2:$E$38,Логистика!$A$2:$A$38,"&lt;="&amp;K61,Логистика!$B$2:$B$38,"&gt;="&amp;K61)),SUMIFS(Логистика!$D$2:$D$38,Логистика!$A$2:$A$38,"&lt;="&amp;K61,Логистика!$B$2:$B$38,"&gt;="&amp;K61))</f>
        <v>93</v>
      </c>
      <c r="Y61" s="83">
        <f>IF(AND(E61*0.055&gt;20,E61*0.055&lt;250),ROUNDUP(E61*0.055,2),IF(E61*0.055&lt;=20,20,250))</f>
        <v>85.25</v>
      </c>
      <c r="Z61" s="83">
        <f>ROUND(M61*0.05,2)</f>
        <v>0</v>
      </c>
      <c r="AA61" s="83">
        <f>IF(N61=0,0,IF(ROUND(E61*N61,2)&gt;5,ROUND(E61*N61,2),5))</f>
        <v>0</v>
      </c>
      <c r="AB61" s="83">
        <f>IF(O61="Да",ROUND(E61*0.1111,2),0)</f>
        <v>0</v>
      </c>
      <c r="AC61" s="53">
        <f>V61+W61+T61+X61+Y61+Z61+AA61+AB61</f>
        <v>366</v>
      </c>
      <c r="AD61" s="8">
        <v>0</v>
      </c>
      <c r="AE61" s="36">
        <f>ROUND(E61*AD61,2)</f>
        <v>0</v>
      </c>
      <c r="AF61" s="6">
        <v>15</v>
      </c>
      <c r="AG61" s="6">
        <v>15</v>
      </c>
      <c r="AH61" s="59">
        <f>AH59*3</f>
        <v>780</v>
      </c>
      <c r="AI61" s="57">
        <f>E61-AC61-AE61-AH61</f>
        <v>404</v>
      </c>
      <c r="AJ61" s="17">
        <f>E61-AC61</f>
        <v>1184</v>
      </c>
      <c r="AK61" s="20">
        <f>ROUND(AI61/E61,2)</f>
        <v>0.26</v>
      </c>
      <c r="AL61" s="21">
        <f t="shared" si="14"/>
        <v>0.52</v>
      </c>
    </row>
    <row r="62" spans="1:38" x14ac:dyDescent="0.25">
      <c r="A62" s="27" t="s">
        <v>375</v>
      </c>
      <c r="B62" s="45" t="s">
        <v>379</v>
      </c>
      <c r="C62" s="31">
        <v>2050</v>
      </c>
      <c r="D62" s="38">
        <v>0</v>
      </c>
      <c r="E62" s="50">
        <f t="shared" si="15"/>
        <v>2050</v>
      </c>
      <c r="F62" s="24">
        <v>0.2</v>
      </c>
      <c r="G62" s="7">
        <v>16</v>
      </c>
      <c r="H62" s="7">
        <v>57.999999999999993</v>
      </c>
      <c r="I62" s="7">
        <v>16</v>
      </c>
      <c r="J62" s="78">
        <f t="shared" si="1"/>
        <v>14.847999999999999</v>
      </c>
      <c r="K62" s="2">
        <f t="shared" si="3"/>
        <v>3</v>
      </c>
      <c r="L62" s="8">
        <v>0</v>
      </c>
      <c r="M62" s="1">
        <f t="shared" si="13"/>
        <v>0</v>
      </c>
      <c r="N62" s="41">
        <v>0</v>
      </c>
      <c r="O62" s="84" t="s">
        <v>275</v>
      </c>
      <c r="P62" s="24" t="s">
        <v>562</v>
      </c>
      <c r="Q62" s="7" t="s">
        <v>557</v>
      </c>
      <c r="R62" s="7"/>
      <c r="S62" s="81">
        <v>0.09</v>
      </c>
      <c r="T62" s="7">
        <v>25</v>
      </c>
      <c r="U62" s="82"/>
      <c r="V62" s="83">
        <f>ROUNDUP(E62*S62,2)</f>
        <v>184.5</v>
      </c>
      <c r="W62" s="83">
        <f>ROUNDUP(E62*0.015,2)</f>
        <v>30.75</v>
      </c>
      <c r="X62" s="82">
        <f>MAX(MIN(SUMIFS(Логистика!$C$2:$C$38,Логистика!$A$2:$A$38,"&lt;="&amp;K62,Логистика!$B$2:$B$38,"&gt;="&amp;K62)*E62,SUMIFS(Логистика!$E$2:$E$38,Логистика!$A$2:$A$38,"&lt;="&amp;K62,Логистика!$B$2:$B$38,"&gt;="&amp;K62)),SUMIFS(Логистика!$D$2:$D$38,Логистика!$A$2:$A$38,"&lt;="&amp;K62,Логистика!$B$2:$B$38,"&gt;="&amp;K62))</f>
        <v>123</v>
      </c>
      <c r="Y62" s="83">
        <f>IF(AND(E62*0.055&gt;20,E62*0.055&lt;250),ROUNDUP(E62*0.055,2),IF(E62*0.055&lt;=20,20,250))</f>
        <v>112.75</v>
      </c>
      <c r="Z62" s="83">
        <f>ROUND(M62*0.05,2)</f>
        <v>0</v>
      </c>
      <c r="AA62" s="83">
        <f>IF(N62=0,0,IF(ROUND(E62*N62,2)&gt;5,ROUND(E62*N62,2),5))</f>
        <v>0</v>
      </c>
      <c r="AB62" s="83">
        <f>IF(O62="Да",ROUND(E62*0.1111,2),0)</f>
        <v>0</v>
      </c>
      <c r="AC62" s="53">
        <f>V62+W62+T62+X62+Y62+Z62+AA62+AB62</f>
        <v>476</v>
      </c>
      <c r="AD62" s="8">
        <v>0</v>
      </c>
      <c r="AE62" s="36">
        <f>ROUND(E62*AD62,2)</f>
        <v>0</v>
      </c>
      <c r="AF62" s="6">
        <v>15</v>
      </c>
      <c r="AG62" s="6">
        <v>15</v>
      </c>
      <c r="AH62" s="59">
        <f>AH59*4</f>
        <v>1040</v>
      </c>
      <c r="AI62" s="57">
        <f>E62-AC62-AE62-AH62</f>
        <v>534</v>
      </c>
      <c r="AJ62" s="17">
        <f>E62-AC62</f>
        <v>1574</v>
      </c>
      <c r="AK62" s="20">
        <f>ROUND(AI62/E62,2)</f>
        <v>0.26</v>
      </c>
      <c r="AL62" s="21">
        <f t="shared" si="14"/>
        <v>0.51</v>
      </c>
    </row>
    <row r="63" spans="1:38" x14ac:dyDescent="0.25">
      <c r="A63" s="27" t="s">
        <v>376</v>
      </c>
      <c r="B63" s="45" t="s">
        <v>380</v>
      </c>
      <c r="C63" s="31">
        <v>3990</v>
      </c>
      <c r="D63" s="38">
        <v>0</v>
      </c>
      <c r="E63" s="50">
        <f t="shared" si="15"/>
        <v>3990</v>
      </c>
      <c r="F63" s="24">
        <v>0.3</v>
      </c>
      <c r="G63" s="7">
        <v>16</v>
      </c>
      <c r="H63" s="7">
        <v>57.999999999999993</v>
      </c>
      <c r="I63" s="7">
        <v>30</v>
      </c>
      <c r="J63" s="78">
        <f t="shared" si="1"/>
        <v>27.839999999999996</v>
      </c>
      <c r="K63" s="2">
        <f t="shared" si="3"/>
        <v>5.6</v>
      </c>
      <c r="L63" s="8">
        <v>0</v>
      </c>
      <c r="M63" s="1">
        <f t="shared" si="13"/>
        <v>0</v>
      </c>
      <c r="N63" s="41">
        <v>0</v>
      </c>
      <c r="O63" s="84" t="s">
        <v>275</v>
      </c>
      <c r="P63" s="24" t="s">
        <v>562</v>
      </c>
      <c r="Q63" s="7" t="s">
        <v>557</v>
      </c>
      <c r="R63" s="7"/>
      <c r="S63" s="81">
        <v>0.09</v>
      </c>
      <c r="T63" s="7">
        <v>25</v>
      </c>
      <c r="U63" s="82"/>
      <c r="V63" s="83">
        <f>ROUNDUP(E63*S63,2)</f>
        <v>359.1</v>
      </c>
      <c r="W63" s="83">
        <f>ROUNDUP(E63*0.015,2)</f>
        <v>59.85</v>
      </c>
      <c r="X63" s="82">
        <f>MAX(MIN(SUMIFS(Логистика!$C$2:$C$38,Логистика!$A$2:$A$38,"&lt;="&amp;K63,Логистика!$B$2:$B$38,"&gt;="&amp;K63)*E63,SUMIFS(Логистика!$E$2:$E$38,Логистика!$A$2:$A$38,"&lt;="&amp;K63,Логистика!$B$2:$B$38,"&gt;="&amp;K63)),SUMIFS(Логистика!$D$2:$D$38,Логистика!$A$2:$A$38,"&lt;="&amp;K63,Логистика!$B$2:$B$38,"&gt;="&amp;K63))</f>
        <v>239.39999999999998</v>
      </c>
      <c r="Y63" s="83">
        <f>IF(AND(E63*0.055&gt;20,E63*0.055&lt;250),ROUNDUP(E63*0.055,2),IF(E63*0.055&lt;=20,20,250))</f>
        <v>219.45</v>
      </c>
      <c r="Z63" s="83">
        <f>ROUND(M63*0.05,2)</f>
        <v>0</v>
      </c>
      <c r="AA63" s="83">
        <f>IF(N63=0,0,IF(ROUND(E63*N63,2)&gt;5,ROUND(E63*N63,2),5))</f>
        <v>0</v>
      </c>
      <c r="AB63" s="83">
        <f>IF(O63="Да",ROUND(E63*0.1111,2),0)</f>
        <v>0</v>
      </c>
      <c r="AC63" s="53">
        <f>V63+W63+T63+X63+Y63+Z63+AA63+AB63</f>
        <v>902.8</v>
      </c>
      <c r="AD63" s="8">
        <v>0</v>
      </c>
      <c r="AE63" s="36">
        <f>ROUND(E63*AD63,2)</f>
        <v>0</v>
      </c>
      <c r="AF63" s="6">
        <v>15</v>
      </c>
      <c r="AG63" s="6">
        <v>15</v>
      </c>
      <c r="AH63" s="59">
        <f>AH59*8</f>
        <v>2080</v>
      </c>
      <c r="AI63" s="57">
        <f>E63-AC63-AE63-AH63</f>
        <v>1007.1999999999998</v>
      </c>
      <c r="AJ63" s="17">
        <f>E63-AC63</f>
        <v>3087.2</v>
      </c>
      <c r="AK63" s="20">
        <f>ROUND(AI63/E63,2)</f>
        <v>0.25</v>
      </c>
      <c r="AL63" s="21">
        <f t="shared" si="14"/>
        <v>0.48</v>
      </c>
    </row>
    <row r="64" spans="1:38" x14ac:dyDescent="0.25">
      <c r="A64" s="27"/>
      <c r="B64" s="45"/>
      <c r="C64" s="31"/>
      <c r="D64" s="38">
        <v>0</v>
      </c>
      <c r="E64" s="50">
        <f t="shared" si="15"/>
        <v>0</v>
      </c>
      <c r="F64" s="24"/>
      <c r="G64" s="7">
        <v>0</v>
      </c>
      <c r="H64" s="7">
        <v>0</v>
      </c>
      <c r="I64" s="7">
        <v>0</v>
      </c>
      <c r="J64" s="78">
        <f t="shared" si="1"/>
        <v>0</v>
      </c>
      <c r="K64" s="2">
        <f t="shared" si="3"/>
        <v>0</v>
      </c>
      <c r="L64" s="8">
        <v>0</v>
      </c>
      <c r="M64" s="1">
        <f t="shared" si="13"/>
        <v>0</v>
      </c>
      <c r="N64" s="41">
        <v>0</v>
      </c>
      <c r="O64" s="84" t="s">
        <v>275</v>
      </c>
      <c r="P64" s="24" t="s">
        <v>562</v>
      </c>
      <c r="Q64" s="7" t="s">
        <v>557</v>
      </c>
      <c r="R64" s="7"/>
      <c r="S64" s="81">
        <v>0.09</v>
      </c>
      <c r="T64" s="7">
        <v>25</v>
      </c>
      <c r="U64" s="82"/>
      <c r="V64" s="83">
        <f>ROUNDUP(E64*S64,2)</f>
        <v>0</v>
      </c>
      <c r="W64" s="83">
        <f>ROUNDUP(E64*0.015,2)</f>
        <v>0</v>
      </c>
      <c r="X64" s="82">
        <f>MAX(MIN(SUMIFS(Логистика!$C$2:$C$38,Логистика!$A$2:$A$38,"&lt;="&amp;K64,Логистика!$B$2:$B$38,"&gt;="&amp;K64)*E64,SUMIFS(Логистика!$E$2:$E$38,Логистика!$A$2:$A$38,"&lt;="&amp;K64,Логистика!$B$2:$B$38,"&gt;="&amp;K64)),SUMIFS(Логистика!$D$2:$D$38,Логистика!$A$2:$A$38,"&lt;="&amp;K64,Логистика!$B$2:$B$38,"&gt;="&amp;K64))</f>
        <v>0</v>
      </c>
      <c r="Y64" s="83">
        <f>IF(AND(E64*0.055&gt;20,E64*0.055&lt;250),ROUNDUP(E64*0.055,2),IF(E64*0.055&lt;=20,20,250))</f>
        <v>20</v>
      </c>
      <c r="Z64" s="83">
        <f>ROUND(M64*0.05,2)</f>
        <v>0</v>
      </c>
      <c r="AA64" s="83">
        <f>IF(N64=0,0,IF(ROUND(E64*N64,2)&gt;5,ROUND(E64*N64,2),5))</f>
        <v>0</v>
      </c>
      <c r="AB64" s="83">
        <f>IF(O64="Да",ROUND(E64*0.1111,2),0)</f>
        <v>0</v>
      </c>
      <c r="AC64" s="53">
        <f>V64+W64+T64+X64+Y64+Z64+AA64+AB64</f>
        <v>45</v>
      </c>
      <c r="AD64" s="8">
        <v>0</v>
      </c>
      <c r="AE64" s="36">
        <f>ROUND(E64*AD64,2)</f>
        <v>0</v>
      </c>
      <c r="AF64" s="6">
        <v>15</v>
      </c>
      <c r="AG64" s="6">
        <v>15</v>
      </c>
      <c r="AH64" s="5"/>
      <c r="AI64" s="57">
        <f>E64-AC64-AE64-AH64</f>
        <v>-45</v>
      </c>
      <c r="AJ64" s="17">
        <f>E64-AC64</f>
        <v>-45</v>
      </c>
      <c r="AK64" s="20" t="e">
        <f>ROUND(AI64/E64,2)</f>
        <v>#DIV/0!</v>
      </c>
      <c r="AL64" s="21" t="e">
        <f t="shared" si="14"/>
        <v>#DIV/0!</v>
      </c>
    </row>
    <row r="65" spans="1:38" x14ac:dyDescent="0.25">
      <c r="A65" s="27" t="s">
        <v>381</v>
      </c>
      <c r="B65" s="45" t="s">
        <v>382</v>
      </c>
      <c r="C65" s="31"/>
      <c r="D65" s="38">
        <v>0</v>
      </c>
      <c r="E65" s="50">
        <f t="shared" si="15"/>
        <v>0</v>
      </c>
      <c r="F65" s="24">
        <v>0.1</v>
      </c>
      <c r="G65" s="7">
        <v>18</v>
      </c>
      <c r="H65" s="7">
        <v>18</v>
      </c>
      <c r="I65" s="7">
        <v>18</v>
      </c>
      <c r="J65" s="78">
        <f t="shared" si="1"/>
        <v>5.8319999999999999</v>
      </c>
      <c r="K65" s="2">
        <f t="shared" si="3"/>
        <v>1.2</v>
      </c>
      <c r="L65" s="8">
        <v>0</v>
      </c>
      <c r="M65" s="1">
        <f t="shared" si="13"/>
        <v>0</v>
      </c>
      <c r="N65" s="41">
        <v>0</v>
      </c>
      <c r="O65" s="84" t="s">
        <v>275</v>
      </c>
      <c r="P65" s="24" t="s">
        <v>562</v>
      </c>
      <c r="Q65" s="7" t="s">
        <v>557</v>
      </c>
      <c r="R65" s="7"/>
      <c r="S65" s="81">
        <v>0.09</v>
      </c>
      <c r="T65" s="7">
        <v>25</v>
      </c>
      <c r="U65" s="82"/>
      <c r="V65" s="83">
        <f>ROUNDUP(E65*S65,2)</f>
        <v>0</v>
      </c>
      <c r="W65" s="83">
        <f>ROUNDUP(E65*0.015,2)</f>
        <v>0</v>
      </c>
      <c r="X65" s="82">
        <f>MAX(MIN(SUMIFS(Логистика!$C$2:$C$38,Логистика!$A$2:$A$38,"&lt;="&amp;K65,Логистика!$B$2:$B$38,"&gt;="&amp;K65)*E65,SUMIFS(Логистика!$E$2:$E$38,Логистика!$A$2:$A$38,"&lt;="&amp;K65,Логистика!$B$2:$B$38,"&gt;="&amp;K65)),SUMIFS(Логистика!$D$2:$D$38,Логистика!$A$2:$A$38,"&lt;="&amp;K65,Логистика!$B$2:$B$38,"&gt;="&amp;K65))</f>
        <v>57</v>
      </c>
      <c r="Y65" s="83">
        <f>IF(AND(E65*0.055&gt;20,E65*0.055&lt;250),ROUNDUP(E65*0.055,2),IF(E65*0.055&lt;=20,20,250))</f>
        <v>20</v>
      </c>
      <c r="Z65" s="83">
        <f>ROUND(M65*0.05,2)</f>
        <v>0</v>
      </c>
      <c r="AA65" s="83">
        <f>IF(N65=0,0,IF(ROUND(E65*N65,2)&gt;5,ROUND(E65*N65,2),5))</f>
        <v>0</v>
      </c>
      <c r="AB65" s="83">
        <f>IF(O65="Да",ROUND(E65*0.1111,2),0)</f>
        <v>0</v>
      </c>
      <c r="AC65" s="53">
        <f>V65+W65+T65+X65+Y65+Z65+AA65+AB65</f>
        <v>102</v>
      </c>
      <c r="AD65" s="8">
        <v>0</v>
      </c>
      <c r="AE65" s="36">
        <f>ROUND(E65*AD65,2)</f>
        <v>0</v>
      </c>
      <c r="AF65" s="6">
        <v>15</v>
      </c>
      <c r="AG65" s="6">
        <v>15</v>
      </c>
      <c r="AH65" s="5"/>
      <c r="AI65" s="57">
        <f>E65-AC65-AE65-AH65</f>
        <v>-102</v>
      </c>
      <c r="AJ65" s="17">
        <f>E65-AC65</f>
        <v>-102</v>
      </c>
      <c r="AK65" s="20" t="e">
        <f>ROUND(AI65/E65,2)</f>
        <v>#DIV/0!</v>
      </c>
      <c r="AL65" s="21" t="e">
        <f t="shared" si="14"/>
        <v>#DIV/0!</v>
      </c>
    </row>
    <row r="66" spans="1:38" x14ac:dyDescent="0.25">
      <c r="A66" s="27" t="s">
        <v>383</v>
      </c>
      <c r="B66" s="45" t="s">
        <v>389</v>
      </c>
      <c r="C66" s="31"/>
      <c r="D66" s="38">
        <v>0</v>
      </c>
      <c r="E66" s="50">
        <f t="shared" si="15"/>
        <v>0</v>
      </c>
      <c r="F66" s="24">
        <v>0.2</v>
      </c>
      <c r="G66" s="7">
        <v>34</v>
      </c>
      <c r="H66" s="7">
        <v>18</v>
      </c>
      <c r="I66" s="7">
        <v>18</v>
      </c>
      <c r="J66" s="78">
        <f t="shared" si="1"/>
        <v>11.016</v>
      </c>
      <c r="K66" s="2">
        <f t="shared" si="3"/>
        <v>2.2000000000000002</v>
      </c>
      <c r="L66" s="8">
        <v>0</v>
      </c>
      <c r="M66" s="1">
        <f t="shared" si="13"/>
        <v>0</v>
      </c>
      <c r="N66" s="41">
        <v>0</v>
      </c>
      <c r="O66" s="84" t="s">
        <v>275</v>
      </c>
      <c r="P66" s="24" t="s">
        <v>562</v>
      </c>
      <c r="Q66" s="7" t="s">
        <v>557</v>
      </c>
      <c r="R66" s="7"/>
      <c r="S66" s="81">
        <v>0.09</v>
      </c>
      <c r="T66" s="7">
        <v>25</v>
      </c>
      <c r="U66" s="82"/>
      <c r="V66" s="83">
        <f>ROUNDUP(E66*S66,2)</f>
        <v>0</v>
      </c>
      <c r="W66" s="83">
        <f>ROUNDUP(E66*0.015,2)</f>
        <v>0</v>
      </c>
      <c r="X66" s="82">
        <f>MAX(MIN(SUMIFS(Логистика!$C$2:$C$38,Логистика!$A$2:$A$38,"&lt;="&amp;K66,Логистика!$B$2:$B$38,"&gt;="&amp;K66)*E66,SUMIFS(Логистика!$E$2:$E$38,Логистика!$A$2:$A$38,"&lt;="&amp;K66,Логистика!$B$2:$B$38,"&gt;="&amp;K66)),SUMIFS(Логистика!$D$2:$D$38,Логистика!$A$2:$A$38,"&lt;="&amp;K66,Логистика!$B$2:$B$38,"&gt;="&amp;K66))</f>
        <v>79</v>
      </c>
      <c r="Y66" s="83">
        <f>IF(AND(E66*0.055&gt;20,E66*0.055&lt;250),ROUNDUP(E66*0.055,2),IF(E66*0.055&lt;=20,20,250))</f>
        <v>20</v>
      </c>
      <c r="Z66" s="83">
        <f>ROUND(M66*0.05,2)</f>
        <v>0</v>
      </c>
      <c r="AA66" s="83">
        <f>IF(N66=0,0,IF(ROUND(E66*N66,2)&gt;5,ROUND(E66*N66,2),5))</f>
        <v>0</v>
      </c>
      <c r="AB66" s="83">
        <f>IF(O66="Да",ROUND(E66*0.1111,2),0)</f>
        <v>0</v>
      </c>
      <c r="AC66" s="53">
        <f>V66+W66+T66+X66+Y66+Z66+AA66+AB66</f>
        <v>124</v>
      </c>
      <c r="AD66" s="8">
        <v>0</v>
      </c>
      <c r="AE66" s="36">
        <f>ROUND(E66*AD66,2)</f>
        <v>0</v>
      </c>
      <c r="AF66" s="6">
        <v>15</v>
      </c>
      <c r="AG66" s="6">
        <v>15</v>
      </c>
      <c r="AH66" s="59"/>
      <c r="AI66" s="57">
        <f>E66-AC66-AE66-AH66</f>
        <v>-124</v>
      </c>
      <c r="AJ66" s="17">
        <f>E66-AC66</f>
        <v>-124</v>
      </c>
      <c r="AK66" s="20" t="e">
        <f>ROUND(AI66/E66,2)</f>
        <v>#DIV/0!</v>
      </c>
      <c r="AL66" s="21" t="e">
        <f t="shared" si="14"/>
        <v>#DIV/0!</v>
      </c>
    </row>
    <row r="67" spans="1:38" x14ac:dyDescent="0.25">
      <c r="A67" s="27" t="s">
        <v>384</v>
      </c>
      <c r="B67" s="45" t="s">
        <v>390</v>
      </c>
      <c r="C67" s="31"/>
      <c r="D67" s="38">
        <v>0</v>
      </c>
      <c r="E67" s="50">
        <f t="shared" si="15"/>
        <v>0</v>
      </c>
      <c r="F67" s="24">
        <v>0.3</v>
      </c>
      <c r="G67" s="7">
        <v>50</v>
      </c>
      <c r="H67" s="7">
        <v>18</v>
      </c>
      <c r="I67" s="7">
        <v>18</v>
      </c>
      <c r="J67" s="78">
        <f t="shared" si="1"/>
        <v>16.2</v>
      </c>
      <c r="K67" s="2">
        <f t="shared" si="3"/>
        <v>3.2</v>
      </c>
      <c r="L67" s="8">
        <v>0</v>
      </c>
      <c r="M67" s="1">
        <f t="shared" si="13"/>
        <v>0</v>
      </c>
      <c r="N67" s="41">
        <v>0</v>
      </c>
      <c r="O67" s="84" t="s">
        <v>275</v>
      </c>
      <c r="P67" s="24" t="s">
        <v>562</v>
      </c>
      <c r="Q67" s="7" t="s">
        <v>557</v>
      </c>
      <c r="R67" s="7"/>
      <c r="S67" s="81">
        <v>0.09</v>
      </c>
      <c r="T67" s="7">
        <v>25</v>
      </c>
      <c r="U67" s="82"/>
      <c r="V67" s="83">
        <f>ROUNDUP(E67*S67,2)</f>
        <v>0</v>
      </c>
      <c r="W67" s="83">
        <f>ROUNDUP(E67*0.015,2)</f>
        <v>0</v>
      </c>
      <c r="X67" s="82">
        <f>MAX(MIN(SUMIFS(Логистика!$C$2:$C$38,Логистика!$A$2:$A$38,"&lt;="&amp;K67,Логистика!$B$2:$B$38,"&gt;="&amp;K67)*E67,SUMIFS(Логистика!$E$2:$E$38,Логистика!$A$2:$A$38,"&lt;="&amp;K67,Логистика!$B$2:$B$38,"&gt;="&amp;K67)),SUMIFS(Логистика!$D$2:$D$38,Логистика!$A$2:$A$38,"&lt;="&amp;K67,Логистика!$B$2:$B$38,"&gt;="&amp;K67))</f>
        <v>100</v>
      </c>
      <c r="Y67" s="83">
        <f>IF(AND(E67*0.055&gt;20,E67*0.055&lt;250),ROUNDUP(E67*0.055,2),IF(E67*0.055&lt;=20,20,250))</f>
        <v>20</v>
      </c>
      <c r="Z67" s="83">
        <f>ROUND(M67*0.05,2)</f>
        <v>0</v>
      </c>
      <c r="AA67" s="83">
        <f>IF(N67=0,0,IF(ROUND(E67*N67,2)&gt;5,ROUND(E67*N67,2),5))</f>
        <v>0</v>
      </c>
      <c r="AB67" s="83">
        <f>IF(O67="Да",ROUND(E67*0.1111,2),0)</f>
        <v>0</v>
      </c>
      <c r="AC67" s="53">
        <f>V67+W67+T67+X67+Y67+Z67+AA67+AB67</f>
        <v>145</v>
      </c>
      <c r="AD67" s="8">
        <v>0</v>
      </c>
      <c r="AE67" s="36">
        <f>ROUND(E67*AD67,2)</f>
        <v>0</v>
      </c>
      <c r="AF67" s="6">
        <v>15</v>
      </c>
      <c r="AG67" s="6">
        <v>15</v>
      </c>
      <c r="AH67" s="59"/>
      <c r="AI67" s="57">
        <f>E67-AC67-AE67-AH67</f>
        <v>-145</v>
      </c>
      <c r="AJ67" s="17">
        <f>E67-AC67</f>
        <v>-145</v>
      </c>
      <c r="AK67" s="20" t="e">
        <f>ROUND(AI67/E67,2)</f>
        <v>#DIV/0!</v>
      </c>
      <c r="AL67" s="21" t="e">
        <f t="shared" si="14"/>
        <v>#DIV/0!</v>
      </c>
    </row>
    <row r="68" spans="1:38" x14ac:dyDescent="0.25">
      <c r="A68" s="27" t="s">
        <v>385</v>
      </c>
      <c r="B68" s="45" t="s">
        <v>391</v>
      </c>
      <c r="C68" s="31"/>
      <c r="D68" s="38">
        <v>0</v>
      </c>
      <c r="E68" s="50">
        <f t="shared" si="15"/>
        <v>0</v>
      </c>
      <c r="F68" s="24">
        <v>0.4</v>
      </c>
      <c r="G68" s="7">
        <v>34</v>
      </c>
      <c r="H68" s="7">
        <v>34</v>
      </c>
      <c r="I68" s="7">
        <v>18</v>
      </c>
      <c r="J68" s="78">
        <f t="shared" ref="J68:J131" si="16">G68*H68*I68/1000</f>
        <v>20.808</v>
      </c>
      <c r="K68" s="2">
        <f t="shared" si="3"/>
        <v>4.2</v>
      </c>
      <c r="L68" s="8">
        <v>0</v>
      </c>
      <c r="M68" s="1">
        <f t="shared" si="13"/>
        <v>0</v>
      </c>
      <c r="N68" s="41">
        <v>0</v>
      </c>
      <c r="O68" s="84" t="s">
        <v>275</v>
      </c>
      <c r="P68" s="24" t="s">
        <v>562</v>
      </c>
      <c r="Q68" s="7" t="s">
        <v>557</v>
      </c>
      <c r="R68" s="7"/>
      <c r="S68" s="81">
        <v>0.09</v>
      </c>
      <c r="T68" s="7">
        <v>25</v>
      </c>
      <c r="U68" s="82"/>
      <c r="V68" s="83">
        <f>ROUNDUP(E68*S68,2)</f>
        <v>0</v>
      </c>
      <c r="W68" s="83">
        <f>ROUNDUP(E68*0.015,2)</f>
        <v>0</v>
      </c>
      <c r="X68" s="82">
        <f>MAX(MIN(SUMIFS(Логистика!$C$2:$C$38,Логистика!$A$2:$A$38,"&lt;="&amp;K68,Логистика!$B$2:$B$38,"&gt;="&amp;K68)*E68,SUMIFS(Логистика!$E$2:$E$38,Логистика!$A$2:$A$38,"&lt;="&amp;K68,Логистика!$B$2:$B$38,"&gt;="&amp;K68)),SUMIFS(Логистика!$D$2:$D$38,Логистика!$A$2:$A$38,"&lt;="&amp;K68,Логистика!$B$2:$B$38,"&gt;="&amp;K68))</f>
        <v>120</v>
      </c>
      <c r="Y68" s="83">
        <f>IF(AND(E68*0.055&gt;20,E68*0.055&lt;250),ROUNDUP(E68*0.055,2),IF(E68*0.055&lt;=20,20,250))</f>
        <v>20</v>
      </c>
      <c r="Z68" s="83">
        <f>ROUND(M68*0.05,2)</f>
        <v>0</v>
      </c>
      <c r="AA68" s="83">
        <f>IF(N68=0,0,IF(ROUND(E68*N68,2)&gt;5,ROUND(E68*N68,2),5))</f>
        <v>0</v>
      </c>
      <c r="AB68" s="83">
        <f>IF(O68="Да",ROUND(E68*0.1111,2),0)</f>
        <v>0</v>
      </c>
      <c r="AC68" s="53">
        <f>V68+W68+T68+X68+Y68+Z68+AA68+AB68</f>
        <v>165</v>
      </c>
      <c r="AD68" s="8">
        <v>0</v>
      </c>
      <c r="AE68" s="36">
        <f>ROUND(E68*AD68,2)</f>
        <v>0</v>
      </c>
      <c r="AF68" s="6">
        <v>15</v>
      </c>
      <c r="AG68" s="6">
        <v>15</v>
      </c>
      <c r="AH68" s="59"/>
      <c r="AI68" s="57">
        <f>E68-AC68-AE68-AH68</f>
        <v>-165</v>
      </c>
      <c r="AJ68" s="17">
        <f>E68-AC68</f>
        <v>-165</v>
      </c>
      <c r="AK68" s="20" t="e">
        <f>ROUND(AI68/E68,2)</f>
        <v>#DIV/0!</v>
      </c>
      <c r="AL68" s="21" t="e">
        <f t="shared" si="14"/>
        <v>#DIV/0!</v>
      </c>
    </row>
    <row r="69" spans="1:38" x14ac:dyDescent="0.25">
      <c r="A69" s="27" t="s">
        <v>386</v>
      </c>
      <c r="B69" s="45" t="s">
        <v>392</v>
      </c>
      <c r="C69" s="31"/>
      <c r="D69" s="38">
        <v>0</v>
      </c>
      <c r="E69" s="50">
        <f t="shared" si="15"/>
        <v>0</v>
      </c>
      <c r="F69" s="24">
        <v>0.6</v>
      </c>
      <c r="G69" s="7">
        <v>50</v>
      </c>
      <c r="H69" s="7">
        <v>34</v>
      </c>
      <c r="I69" s="7">
        <v>18</v>
      </c>
      <c r="J69" s="78">
        <f t="shared" si="16"/>
        <v>30.6</v>
      </c>
      <c r="K69" s="2">
        <f t="shared" ref="K69:K132" si="17">ROUND(IF(J69/5&gt;F69,J69/5,F69),1)</f>
        <v>6.1</v>
      </c>
      <c r="L69" s="8">
        <v>0</v>
      </c>
      <c r="M69" s="1">
        <f t="shared" si="13"/>
        <v>0</v>
      </c>
      <c r="N69" s="41">
        <v>0</v>
      </c>
      <c r="O69" s="84" t="s">
        <v>275</v>
      </c>
      <c r="P69" s="24" t="s">
        <v>562</v>
      </c>
      <c r="Q69" s="7" t="s">
        <v>557</v>
      </c>
      <c r="R69" s="7"/>
      <c r="S69" s="81">
        <v>0.09</v>
      </c>
      <c r="T69" s="7">
        <v>25</v>
      </c>
      <c r="U69" s="82"/>
      <c r="V69" s="83">
        <f>ROUNDUP(E69*S69,2)</f>
        <v>0</v>
      </c>
      <c r="W69" s="83">
        <f>ROUNDUP(E69*0.015,2)</f>
        <v>0</v>
      </c>
      <c r="X69" s="82">
        <f>MAX(MIN(SUMIFS(Логистика!$C$2:$C$38,Логистика!$A$2:$A$38,"&lt;="&amp;K69,Логистика!$B$2:$B$38,"&gt;="&amp;K69)*E69,SUMIFS(Логистика!$E$2:$E$38,Логистика!$A$2:$A$38,"&lt;="&amp;K69,Логистика!$B$2:$B$38,"&gt;="&amp;K69)),SUMIFS(Логистика!$D$2:$D$38,Логистика!$A$2:$A$38,"&lt;="&amp;K69,Логистика!$B$2:$B$38,"&gt;="&amp;K69))</f>
        <v>160</v>
      </c>
      <c r="Y69" s="83">
        <f>IF(AND(E69*0.055&gt;20,E69*0.055&lt;250),ROUNDUP(E69*0.055,2),IF(E69*0.055&lt;=20,20,250))</f>
        <v>20</v>
      </c>
      <c r="Z69" s="83">
        <f>ROUND(M69*0.05,2)</f>
        <v>0</v>
      </c>
      <c r="AA69" s="83">
        <f>IF(N69=0,0,IF(ROUND(E69*N69,2)&gt;5,ROUND(E69*N69,2),5))</f>
        <v>0</v>
      </c>
      <c r="AB69" s="83">
        <f>IF(O69="Да",ROUND(E69*0.1111,2),0)</f>
        <v>0</v>
      </c>
      <c r="AC69" s="53">
        <f>V69+W69+T69+X69+Y69+Z69+AA69+AB69</f>
        <v>205</v>
      </c>
      <c r="AD69" s="8">
        <v>0</v>
      </c>
      <c r="AE69" s="36">
        <f>ROUND(E69*AD69,2)</f>
        <v>0</v>
      </c>
      <c r="AF69" s="6">
        <v>15</v>
      </c>
      <c r="AG69" s="6">
        <v>15</v>
      </c>
      <c r="AH69" s="59"/>
      <c r="AI69" s="57">
        <f>E69-AC69-AE69-AH69</f>
        <v>-205</v>
      </c>
      <c r="AJ69" s="17">
        <f>E69-AC69</f>
        <v>-205</v>
      </c>
      <c r="AK69" s="20" t="e">
        <f>ROUND(AI69/E69,2)</f>
        <v>#DIV/0!</v>
      </c>
      <c r="AL69" s="21" t="e">
        <f t="shared" si="14"/>
        <v>#DIV/0!</v>
      </c>
    </row>
    <row r="70" spans="1:38" x14ac:dyDescent="0.25">
      <c r="A70" s="27" t="s">
        <v>387</v>
      </c>
      <c r="B70" s="45" t="s">
        <v>393</v>
      </c>
      <c r="C70" s="31"/>
      <c r="D70" s="38">
        <v>0</v>
      </c>
      <c r="E70" s="50">
        <f t="shared" si="15"/>
        <v>0</v>
      </c>
      <c r="F70" s="24">
        <v>0.8</v>
      </c>
      <c r="G70" s="7">
        <v>34</v>
      </c>
      <c r="H70" s="7">
        <v>34</v>
      </c>
      <c r="I70" s="7">
        <v>34</v>
      </c>
      <c r="J70" s="78">
        <f t="shared" si="16"/>
        <v>39.304000000000002</v>
      </c>
      <c r="K70" s="2">
        <f t="shared" si="17"/>
        <v>7.9</v>
      </c>
      <c r="L70" s="8">
        <v>0</v>
      </c>
      <c r="M70" s="1">
        <f t="shared" si="13"/>
        <v>0</v>
      </c>
      <c r="N70" s="41">
        <v>0</v>
      </c>
      <c r="O70" s="84" t="s">
        <v>275</v>
      </c>
      <c r="P70" s="24" t="s">
        <v>562</v>
      </c>
      <c r="Q70" s="7" t="s">
        <v>557</v>
      </c>
      <c r="R70" s="7"/>
      <c r="S70" s="81">
        <v>0.09</v>
      </c>
      <c r="T70" s="7">
        <v>25</v>
      </c>
      <c r="U70" s="82"/>
      <c r="V70" s="83">
        <f>ROUNDUP(E70*S70,2)</f>
        <v>0</v>
      </c>
      <c r="W70" s="83">
        <f>ROUNDUP(E70*0.015,2)</f>
        <v>0</v>
      </c>
      <c r="X70" s="82">
        <f>MAX(MIN(SUMIFS(Логистика!$C$2:$C$38,Логистика!$A$2:$A$38,"&lt;="&amp;K70,Логистика!$B$2:$B$38,"&gt;="&amp;K70)*E70,SUMIFS(Логистика!$E$2:$E$38,Логистика!$A$2:$A$38,"&lt;="&amp;K70,Логистика!$B$2:$B$38,"&gt;="&amp;K70)),SUMIFS(Логистика!$D$2:$D$38,Логистика!$A$2:$A$38,"&lt;="&amp;K70,Логистика!$B$2:$B$38,"&gt;="&amp;K70))</f>
        <v>185</v>
      </c>
      <c r="Y70" s="83">
        <f>IF(AND(E70*0.055&gt;20,E70*0.055&lt;250),ROUNDUP(E70*0.055,2),IF(E70*0.055&lt;=20,20,250))</f>
        <v>20</v>
      </c>
      <c r="Z70" s="83">
        <f>ROUND(M70*0.05,2)</f>
        <v>0</v>
      </c>
      <c r="AA70" s="83">
        <f>IF(N70=0,0,IF(ROUND(E70*N70,2)&gt;5,ROUND(E70*N70,2),5))</f>
        <v>0</v>
      </c>
      <c r="AB70" s="83">
        <f>IF(O70="Да",ROUND(E70*0.1111,2),0)</f>
        <v>0</v>
      </c>
      <c r="AC70" s="53">
        <f>V70+W70+T70+X70+Y70+Z70+AA70+AB70</f>
        <v>230</v>
      </c>
      <c r="AD70" s="8">
        <v>0</v>
      </c>
      <c r="AE70" s="36">
        <f>ROUND(E70*AD70,2)</f>
        <v>0</v>
      </c>
      <c r="AF70" s="6">
        <v>15</v>
      </c>
      <c r="AG70" s="6">
        <v>15</v>
      </c>
      <c r="AH70" s="59"/>
      <c r="AI70" s="57">
        <f>E70-AC70-AE70-AH70</f>
        <v>-230</v>
      </c>
      <c r="AJ70" s="17">
        <f>E70-AC70</f>
        <v>-230</v>
      </c>
      <c r="AK70" s="20" t="e">
        <f>ROUND(AI70/E70,2)</f>
        <v>#DIV/0!</v>
      </c>
      <c r="AL70" s="21" t="e">
        <f t="shared" si="14"/>
        <v>#DIV/0!</v>
      </c>
    </row>
    <row r="71" spans="1:38" x14ac:dyDescent="0.25">
      <c r="A71" s="27" t="s">
        <v>388</v>
      </c>
      <c r="B71" s="45" t="s">
        <v>394</v>
      </c>
      <c r="C71" s="31"/>
      <c r="D71" s="38">
        <v>0</v>
      </c>
      <c r="E71" s="50">
        <f t="shared" si="15"/>
        <v>0</v>
      </c>
      <c r="F71" s="24">
        <v>1</v>
      </c>
      <c r="G71" s="7">
        <v>34</v>
      </c>
      <c r="H71" s="7">
        <v>90</v>
      </c>
      <c r="I71" s="7">
        <v>18</v>
      </c>
      <c r="J71" s="78">
        <f t="shared" si="16"/>
        <v>55.08</v>
      </c>
      <c r="K71" s="2">
        <f t="shared" si="17"/>
        <v>11</v>
      </c>
      <c r="L71" s="8">
        <v>0</v>
      </c>
      <c r="M71" s="1">
        <f>IF(L71=0,0,IF(ROUND(E71*L71,0)&gt;20,ROUND(E71*L71,0),20))</f>
        <v>0</v>
      </c>
      <c r="N71" s="41">
        <v>0</v>
      </c>
      <c r="O71" s="84" t="s">
        <v>275</v>
      </c>
      <c r="P71" s="24" t="s">
        <v>562</v>
      </c>
      <c r="Q71" s="7" t="s">
        <v>557</v>
      </c>
      <c r="R71" s="7"/>
      <c r="S71" s="81">
        <v>0.09</v>
      </c>
      <c r="T71" s="7">
        <v>25</v>
      </c>
      <c r="U71" s="82"/>
      <c r="V71" s="83">
        <f>ROUNDUP(E71*S71,2)</f>
        <v>0</v>
      </c>
      <c r="W71" s="83">
        <f>ROUNDUP(E71*0.015,2)</f>
        <v>0</v>
      </c>
      <c r="X71" s="82">
        <f>MAX(MIN(SUMIFS(Логистика!$C$2:$C$38,Логистика!$A$2:$A$38,"&lt;="&amp;K71,Логистика!$B$2:$B$38,"&gt;="&amp;K71)*E71,SUMIFS(Логистика!$E$2:$E$38,Логистика!$A$2:$A$38,"&lt;="&amp;K71,Логистика!$B$2:$B$38,"&gt;="&amp;K71)),SUMIFS(Логистика!$D$2:$D$38,Логистика!$A$2:$A$38,"&lt;="&amp;K71,Логистика!$B$2:$B$38,"&gt;="&amp;K71))</f>
        <v>290</v>
      </c>
      <c r="Y71" s="83">
        <f>IF(AND(E71*0.055&gt;20,E71*0.055&lt;250),ROUNDUP(E71*0.055,2),IF(E71*0.055&lt;=20,20,250))</f>
        <v>20</v>
      </c>
      <c r="Z71" s="83">
        <f>ROUND(M71*0.05,2)</f>
        <v>0</v>
      </c>
      <c r="AA71" s="83">
        <f>IF(N71=0,0,IF(ROUND(E71*N71,2)&gt;5,ROUND(E71*N71,2),5))</f>
        <v>0</v>
      </c>
      <c r="AB71" s="83">
        <f>IF(O71="Да",ROUND(E71*0.1111,2),0)</f>
        <v>0</v>
      </c>
      <c r="AC71" s="53">
        <f>V71+W71+T71+X71+Y71+Z71+AA71+AB71</f>
        <v>335</v>
      </c>
      <c r="AD71" s="8">
        <v>0</v>
      </c>
      <c r="AE71" s="36">
        <f>ROUND(E71*AD71,2)</f>
        <v>0</v>
      </c>
      <c r="AF71" s="6">
        <v>15</v>
      </c>
      <c r="AG71" s="6">
        <v>15</v>
      </c>
      <c r="AH71" s="59"/>
      <c r="AI71" s="57">
        <f>E71-AC71-AE71-AH71</f>
        <v>-335</v>
      </c>
      <c r="AJ71" s="17">
        <f>E71-AC71</f>
        <v>-335</v>
      </c>
      <c r="AK71" s="20" t="e">
        <f>ROUND(AI71/E71,2)</f>
        <v>#DIV/0!</v>
      </c>
      <c r="AL71" s="21" t="e">
        <f>ROUND(AI71/AH71,2)</f>
        <v>#DIV/0!</v>
      </c>
    </row>
    <row r="72" spans="1:38" x14ac:dyDescent="0.25">
      <c r="A72" s="27"/>
      <c r="B72" s="45"/>
      <c r="C72" s="31"/>
      <c r="D72" s="38">
        <v>0</v>
      </c>
      <c r="E72" s="50">
        <f t="shared" si="15"/>
        <v>0</v>
      </c>
      <c r="F72" s="24"/>
      <c r="G72" s="7">
        <v>0</v>
      </c>
      <c r="H72" s="7">
        <v>0</v>
      </c>
      <c r="I72" s="7">
        <v>0</v>
      </c>
      <c r="J72" s="78">
        <f t="shared" si="16"/>
        <v>0</v>
      </c>
      <c r="K72" s="2">
        <f t="shared" si="17"/>
        <v>0</v>
      </c>
      <c r="L72" s="8">
        <v>0</v>
      </c>
      <c r="M72" s="1">
        <f>IF(L72=0,0,IF(ROUND(E72*L72,0)&gt;20,ROUND(E72*L72,0),20))</f>
        <v>0</v>
      </c>
      <c r="N72" s="41">
        <v>0</v>
      </c>
      <c r="O72" s="84" t="s">
        <v>275</v>
      </c>
      <c r="P72" s="24" t="s">
        <v>562</v>
      </c>
      <c r="Q72" s="7" t="s">
        <v>557</v>
      </c>
      <c r="R72" s="7"/>
      <c r="S72" s="81">
        <v>0.09</v>
      </c>
      <c r="T72" s="7">
        <v>25</v>
      </c>
      <c r="U72" s="82"/>
      <c r="V72" s="83">
        <f>ROUNDUP(E72*S72,2)</f>
        <v>0</v>
      </c>
      <c r="W72" s="83">
        <f>ROUNDUP(E72*0.015,2)</f>
        <v>0</v>
      </c>
      <c r="X72" s="82">
        <f>MAX(MIN(SUMIFS(Логистика!$C$2:$C$38,Логистика!$A$2:$A$38,"&lt;="&amp;K72,Логистика!$B$2:$B$38,"&gt;="&amp;K72)*E72,SUMIFS(Логистика!$E$2:$E$38,Логистика!$A$2:$A$38,"&lt;="&amp;K72,Логистика!$B$2:$B$38,"&gt;="&amp;K72)),SUMIFS(Логистика!$D$2:$D$38,Логистика!$A$2:$A$38,"&lt;="&amp;K72,Логистика!$B$2:$B$38,"&gt;="&amp;K72))</f>
        <v>0</v>
      </c>
      <c r="Y72" s="83">
        <f>IF(AND(E72*0.055&gt;20,E72*0.055&lt;250),ROUNDUP(E72*0.055,2),IF(E72*0.055&lt;=20,20,250))</f>
        <v>20</v>
      </c>
      <c r="Z72" s="83">
        <f>ROUND(M72*0.05,2)</f>
        <v>0</v>
      </c>
      <c r="AA72" s="83">
        <f>IF(N72=0,0,IF(ROUND(E72*N72,2)&gt;5,ROUND(E72*N72,2),5))</f>
        <v>0</v>
      </c>
      <c r="AB72" s="83">
        <f>IF(O72="Да",ROUND(E72*0.1111,2),0)</f>
        <v>0</v>
      </c>
      <c r="AC72" s="53">
        <f>V72+W72+T72+X72+Y72+Z72+AA72+AB72</f>
        <v>45</v>
      </c>
      <c r="AD72" s="8">
        <v>0</v>
      </c>
      <c r="AE72" s="36">
        <f>ROUND(E72*AD72,2)</f>
        <v>0</v>
      </c>
      <c r="AF72" s="6">
        <v>15</v>
      </c>
      <c r="AG72" s="6">
        <v>15</v>
      </c>
      <c r="AH72" s="5"/>
      <c r="AI72" s="57">
        <f>E72-AC72-AE72-AH72</f>
        <v>-45</v>
      </c>
      <c r="AJ72" s="17">
        <f>E72-AC72</f>
        <v>-45</v>
      </c>
      <c r="AK72" s="20" t="e">
        <f>ROUND(AI72/E72,2)</f>
        <v>#DIV/0!</v>
      </c>
      <c r="AL72" s="21" t="e">
        <f>ROUND(AI72/AH72,2)</f>
        <v>#DIV/0!</v>
      </c>
    </row>
    <row r="73" spans="1:38" x14ac:dyDescent="0.25">
      <c r="A73" s="27" t="s">
        <v>396</v>
      </c>
      <c r="B73" s="45" t="s">
        <v>395</v>
      </c>
      <c r="C73" s="31">
        <v>1220</v>
      </c>
      <c r="D73" s="38">
        <v>0</v>
      </c>
      <c r="E73" s="50">
        <f t="shared" ref="E73:E93" si="18">ROUND(C73*(1-D73),0)</f>
        <v>1220</v>
      </c>
      <c r="F73" s="24">
        <v>0.1</v>
      </c>
      <c r="G73" s="7">
        <v>22</v>
      </c>
      <c r="H73" s="7">
        <v>22</v>
      </c>
      <c r="I73" s="7">
        <v>22</v>
      </c>
      <c r="J73" s="78">
        <f t="shared" si="16"/>
        <v>10.648</v>
      </c>
      <c r="K73" s="2">
        <f t="shared" si="17"/>
        <v>2.1</v>
      </c>
      <c r="L73" s="8">
        <v>0</v>
      </c>
      <c r="M73" s="1">
        <f t="shared" ref="M73:M94" si="19">IF(L73=0,0,IF(ROUND(E73*L73,0)&gt;20,ROUND(E73*L73,0),20))</f>
        <v>0</v>
      </c>
      <c r="N73" s="41">
        <v>0</v>
      </c>
      <c r="O73" s="84" t="s">
        <v>275</v>
      </c>
      <c r="P73" s="24" t="s">
        <v>562</v>
      </c>
      <c r="Q73" s="7" t="s">
        <v>557</v>
      </c>
      <c r="R73" s="7"/>
      <c r="S73" s="81">
        <v>0.09</v>
      </c>
      <c r="T73" s="7">
        <v>25</v>
      </c>
      <c r="U73" s="82"/>
      <c r="V73" s="83">
        <f>ROUNDUP(E73*S73,2)</f>
        <v>109.8</v>
      </c>
      <c r="W73" s="83">
        <f>ROUNDUP(E73*0.015,2)</f>
        <v>18.3</v>
      </c>
      <c r="X73" s="82">
        <f>MAX(MIN(SUMIFS(Логистика!$C$2:$C$38,Логистика!$A$2:$A$38,"&lt;="&amp;K73,Логистика!$B$2:$B$38,"&gt;="&amp;K73)*E73,SUMIFS(Логистика!$E$2:$E$38,Логистика!$A$2:$A$38,"&lt;="&amp;K73,Логистика!$B$2:$B$38,"&gt;="&amp;K73)),SUMIFS(Логистика!$D$2:$D$38,Логистика!$A$2:$A$38,"&lt;="&amp;K73,Логистика!$B$2:$B$38,"&gt;="&amp;K73))</f>
        <v>79</v>
      </c>
      <c r="Y73" s="83">
        <f>IF(AND(E73*0.055&gt;20,E73*0.055&lt;250),ROUNDUP(E73*0.055,2),IF(E73*0.055&lt;=20,20,250))</f>
        <v>67.099999999999994</v>
      </c>
      <c r="Z73" s="83">
        <f>ROUND(M73*0.05,2)</f>
        <v>0</v>
      </c>
      <c r="AA73" s="83">
        <f>IF(N73=0,0,IF(ROUND(E73*N73,2)&gt;5,ROUND(E73*N73,2),5))</f>
        <v>0</v>
      </c>
      <c r="AB73" s="83">
        <f>IF(O73="Да",ROUND(E73*0.1111,2),0)</f>
        <v>0</v>
      </c>
      <c r="AC73" s="53">
        <f>V73+W73+T73+X73+Y73+Z73+AA73+AB73</f>
        <v>299.2</v>
      </c>
      <c r="AD73" s="8">
        <v>0</v>
      </c>
      <c r="AE73" s="36">
        <f>ROUND(E73*AD73,2)</f>
        <v>0</v>
      </c>
      <c r="AF73" s="6">
        <v>15</v>
      </c>
      <c r="AG73" s="6">
        <v>15</v>
      </c>
      <c r="AH73" s="5">
        <v>580</v>
      </c>
      <c r="AI73" s="57">
        <f>E73-AC73-AE73-AH73</f>
        <v>340.79999999999995</v>
      </c>
      <c r="AJ73" s="17">
        <f>E73-AC73</f>
        <v>920.8</v>
      </c>
      <c r="AK73" s="20">
        <f>ROUND(AI73/E73,2)</f>
        <v>0.28000000000000003</v>
      </c>
      <c r="AL73" s="21">
        <f t="shared" ref="AL73:AL94" si="20">ROUND(AI73/AH73,2)</f>
        <v>0.59</v>
      </c>
    </row>
    <row r="74" spans="1:38" x14ac:dyDescent="0.25">
      <c r="A74" s="27" t="s">
        <v>397</v>
      </c>
      <c r="B74" s="45" t="s">
        <v>401</v>
      </c>
      <c r="C74" s="31">
        <v>2290</v>
      </c>
      <c r="D74" s="38">
        <v>0</v>
      </c>
      <c r="E74" s="50">
        <f t="shared" si="18"/>
        <v>2290</v>
      </c>
      <c r="F74" s="24">
        <v>0.2</v>
      </c>
      <c r="G74" s="7">
        <v>42</v>
      </c>
      <c r="H74" s="7">
        <v>22</v>
      </c>
      <c r="I74" s="7">
        <v>22</v>
      </c>
      <c r="J74" s="78">
        <f t="shared" si="16"/>
        <v>20.327999999999999</v>
      </c>
      <c r="K74" s="2">
        <f t="shared" si="17"/>
        <v>4.0999999999999996</v>
      </c>
      <c r="L74" s="8">
        <v>0</v>
      </c>
      <c r="M74" s="1">
        <f t="shared" si="19"/>
        <v>0</v>
      </c>
      <c r="N74" s="41">
        <v>0</v>
      </c>
      <c r="O74" s="84" t="s">
        <v>275</v>
      </c>
      <c r="P74" s="24" t="s">
        <v>562</v>
      </c>
      <c r="Q74" s="7" t="s">
        <v>557</v>
      </c>
      <c r="R74" s="7"/>
      <c r="S74" s="81">
        <v>0.09</v>
      </c>
      <c r="T74" s="7">
        <v>25</v>
      </c>
      <c r="U74" s="82"/>
      <c r="V74" s="83">
        <f>ROUNDUP(E74*S74,2)</f>
        <v>206.1</v>
      </c>
      <c r="W74" s="83">
        <f>ROUNDUP(E74*0.015,2)</f>
        <v>34.35</v>
      </c>
      <c r="X74" s="82">
        <f>MAX(MIN(SUMIFS(Логистика!$C$2:$C$38,Логистика!$A$2:$A$38,"&lt;="&amp;K74,Логистика!$B$2:$B$38,"&gt;="&amp;K74)*E74,SUMIFS(Логистика!$E$2:$E$38,Логистика!$A$2:$A$38,"&lt;="&amp;K74,Логистика!$B$2:$B$38,"&gt;="&amp;K74)),SUMIFS(Логистика!$D$2:$D$38,Логистика!$A$2:$A$38,"&lt;="&amp;K74,Логистика!$B$2:$B$38,"&gt;="&amp;K74))</f>
        <v>137.4</v>
      </c>
      <c r="Y74" s="83">
        <f>IF(AND(E74*0.055&gt;20,E74*0.055&lt;250),ROUNDUP(E74*0.055,2),IF(E74*0.055&lt;=20,20,250))</f>
        <v>125.95</v>
      </c>
      <c r="Z74" s="83">
        <f>ROUND(M74*0.05,2)</f>
        <v>0</v>
      </c>
      <c r="AA74" s="83">
        <f>IF(N74=0,0,IF(ROUND(E74*N74,2)&gt;5,ROUND(E74*N74,2),5))</f>
        <v>0</v>
      </c>
      <c r="AB74" s="83">
        <f>IF(O74="Да",ROUND(E74*0.1111,2),0)</f>
        <v>0</v>
      </c>
      <c r="AC74" s="53">
        <f>V74+W74+T74+X74+Y74+Z74+AA74+AB74</f>
        <v>528.80000000000007</v>
      </c>
      <c r="AD74" s="8">
        <v>0</v>
      </c>
      <c r="AE74" s="36">
        <f>ROUND(E74*AD74,2)</f>
        <v>0</v>
      </c>
      <c r="AF74" s="6">
        <v>15</v>
      </c>
      <c r="AG74" s="6">
        <v>15</v>
      </c>
      <c r="AH74" s="59">
        <f>AH73*2</f>
        <v>1160</v>
      </c>
      <c r="AI74" s="57">
        <f>E74-AC74-AE74-AH74</f>
        <v>601.19999999999982</v>
      </c>
      <c r="AJ74" s="17">
        <f>E74-AC74</f>
        <v>1761.1999999999998</v>
      </c>
      <c r="AK74" s="20">
        <f>ROUND(AI74/E74,2)</f>
        <v>0.26</v>
      </c>
      <c r="AL74" s="21">
        <f t="shared" si="20"/>
        <v>0.52</v>
      </c>
    </row>
    <row r="75" spans="1:38" x14ac:dyDescent="0.25">
      <c r="A75" s="27" t="s">
        <v>398</v>
      </c>
      <c r="B75" s="45" t="s">
        <v>402</v>
      </c>
      <c r="C75" s="31">
        <v>3390</v>
      </c>
      <c r="D75" s="38">
        <v>0</v>
      </c>
      <c r="E75" s="50">
        <f t="shared" si="18"/>
        <v>3390</v>
      </c>
      <c r="F75" s="24">
        <v>0.3</v>
      </c>
      <c r="G75" s="7">
        <v>62</v>
      </c>
      <c r="H75" s="7">
        <v>22</v>
      </c>
      <c r="I75" s="7">
        <v>22</v>
      </c>
      <c r="J75" s="78">
        <f t="shared" si="16"/>
        <v>30.007999999999999</v>
      </c>
      <c r="K75" s="2">
        <f t="shared" si="17"/>
        <v>6</v>
      </c>
      <c r="L75" s="8">
        <v>0</v>
      </c>
      <c r="M75" s="1">
        <f t="shared" si="19"/>
        <v>0</v>
      </c>
      <c r="N75" s="41">
        <v>0</v>
      </c>
      <c r="O75" s="84" t="s">
        <v>275</v>
      </c>
      <c r="P75" s="24" t="s">
        <v>562</v>
      </c>
      <c r="Q75" s="7" t="s">
        <v>557</v>
      </c>
      <c r="R75" s="7"/>
      <c r="S75" s="81">
        <v>0.09</v>
      </c>
      <c r="T75" s="7">
        <v>25</v>
      </c>
      <c r="U75" s="82"/>
      <c r="V75" s="83">
        <f>ROUNDUP(E75*S75,2)</f>
        <v>305.10000000000002</v>
      </c>
      <c r="W75" s="83">
        <f>ROUNDUP(E75*0.015,2)</f>
        <v>50.85</v>
      </c>
      <c r="X75" s="82">
        <f>MAX(MIN(SUMIFS(Логистика!$C$2:$C$38,Логистика!$A$2:$A$38,"&lt;="&amp;K75,Логистика!$B$2:$B$38,"&gt;="&amp;K75)*E75,SUMIFS(Логистика!$E$2:$E$38,Логистика!$A$2:$A$38,"&lt;="&amp;K75,Логистика!$B$2:$B$38,"&gt;="&amp;K75)),SUMIFS(Логистика!$D$2:$D$38,Логистика!$A$2:$A$38,"&lt;="&amp;K75,Логистика!$B$2:$B$38,"&gt;="&amp;K75))</f>
        <v>203.4</v>
      </c>
      <c r="Y75" s="83">
        <f>IF(AND(E75*0.055&gt;20,E75*0.055&lt;250),ROUNDUP(E75*0.055,2),IF(E75*0.055&lt;=20,20,250))</f>
        <v>186.45</v>
      </c>
      <c r="Z75" s="83">
        <f>ROUND(M75*0.05,2)</f>
        <v>0</v>
      </c>
      <c r="AA75" s="83">
        <f>IF(N75=0,0,IF(ROUND(E75*N75,2)&gt;5,ROUND(E75*N75,2),5))</f>
        <v>0</v>
      </c>
      <c r="AB75" s="83">
        <f>IF(O75="Да",ROUND(E75*0.1111,2),0)</f>
        <v>0</v>
      </c>
      <c r="AC75" s="53">
        <f>V75+W75+T75+X75+Y75+Z75+AA75+AB75</f>
        <v>770.8</v>
      </c>
      <c r="AD75" s="8">
        <v>0</v>
      </c>
      <c r="AE75" s="36">
        <f>ROUND(E75*AD75,2)</f>
        <v>0</v>
      </c>
      <c r="AF75" s="6">
        <v>15</v>
      </c>
      <c r="AG75" s="6">
        <v>15</v>
      </c>
      <c r="AH75" s="59">
        <f>AH73*3</f>
        <v>1740</v>
      </c>
      <c r="AI75" s="57">
        <f>E75-AC75-AE75-AH75</f>
        <v>879.19999999999982</v>
      </c>
      <c r="AJ75" s="17">
        <f>E75-AC75</f>
        <v>2619.1999999999998</v>
      </c>
      <c r="AK75" s="20">
        <f>ROUND(AI75/E75,2)</f>
        <v>0.26</v>
      </c>
      <c r="AL75" s="21">
        <f t="shared" si="20"/>
        <v>0.51</v>
      </c>
    </row>
    <row r="76" spans="1:38" x14ac:dyDescent="0.25">
      <c r="A76" s="27" t="s">
        <v>399</v>
      </c>
      <c r="B76" s="45" t="s">
        <v>403</v>
      </c>
      <c r="C76" s="31">
        <v>4490</v>
      </c>
      <c r="D76" s="38">
        <v>0</v>
      </c>
      <c r="E76" s="50">
        <f t="shared" si="18"/>
        <v>4490</v>
      </c>
      <c r="F76" s="24">
        <v>0.4</v>
      </c>
      <c r="G76" s="7">
        <v>42</v>
      </c>
      <c r="H76" s="7">
        <v>42</v>
      </c>
      <c r="I76" s="7">
        <v>22</v>
      </c>
      <c r="J76" s="78">
        <f t="shared" si="16"/>
        <v>38.808</v>
      </c>
      <c r="K76" s="2">
        <f t="shared" si="17"/>
        <v>7.8</v>
      </c>
      <c r="L76" s="8">
        <v>0</v>
      </c>
      <c r="M76" s="1">
        <f t="shared" si="19"/>
        <v>0</v>
      </c>
      <c r="N76" s="41">
        <v>0</v>
      </c>
      <c r="O76" s="84" t="s">
        <v>275</v>
      </c>
      <c r="P76" s="24" t="s">
        <v>562</v>
      </c>
      <c r="Q76" s="7" t="s">
        <v>557</v>
      </c>
      <c r="R76" s="7"/>
      <c r="S76" s="81">
        <v>0.09</v>
      </c>
      <c r="T76" s="7">
        <v>25</v>
      </c>
      <c r="U76" s="82"/>
      <c r="V76" s="83">
        <f>ROUNDUP(E76*S76,2)</f>
        <v>404.1</v>
      </c>
      <c r="W76" s="83">
        <f>ROUNDUP(E76*0.015,2)</f>
        <v>67.349999999999994</v>
      </c>
      <c r="X76" s="82">
        <f>MAX(MIN(SUMIFS(Логистика!$C$2:$C$38,Логистика!$A$2:$A$38,"&lt;="&amp;K76,Логистика!$B$2:$B$38,"&gt;="&amp;K76)*E76,SUMIFS(Логистика!$E$2:$E$38,Логистика!$A$2:$A$38,"&lt;="&amp;K76,Логистика!$B$2:$B$38,"&gt;="&amp;K76)),SUMIFS(Логистика!$D$2:$D$38,Логистика!$A$2:$A$38,"&lt;="&amp;K76,Логистика!$B$2:$B$38,"&gt;="&amp;K76))</f>
        <v>269.39999999999998</v>
      </c>
      <c r="Y76" s="83">
        <f>IF(AND(E76*0.055&gt;20,E76*0.055&lt;250),ROUNDUP(E76*0.055,2),IF(E76*0.055&lt;=20,20,250))</f>
        <v>246.95</v>
      </c>
      <c r="Z76" s="83">
        <f>ROUND(M76*0.05,2)</f>
        <v>0</v>
      </c>
      <c r="AA76" s="83">
        <f>IF(N76=0,0,IF(ROUND(E76*N76,2)&gt;5,ROUND(E76*N76,2),5))</f>
        <v>0</v>
      </c>
      <c r="AB76" s="83">
        <f>IF(O76="Да",ROUND(E76*0.1111,2),0)</f>
        <v>0</v>
      </c>
      <c r="AC76" s="53">
        <f>V76+W76+T76+X76+Y76+Z76+AA76+AB76</f>
        <v>1012.8</v>
      </c>
      <c r="AD76" s="8">
        <v>0</v>
      </c>
      <c r="AE76" s="36">
        <f>ROUND(E76*AD76,2)</f>
        <v>0</v>
      </c>
      <c r="AF76" s="6">
        <v>15</v>
      </c>
      <c r="AG76" s="6">
        <v>15</v>
      </c>
      <c r="AH76" s="59">
        <f>AH73*4</f>
        <v>2320</v>
      </c>
      <c r="AI76" s="57">
        <f>E76-AC76-AE76-AH76</f>
        <v>1157.1999999999998</v>
      </c>
      <c r="AJ76" s="17">
        <f>E76-AC76</f>
        <v>3477.2</v>
      </c>
      <c r="AK76" s="20">
        <f>ROUND(AI76/E76,2)</f>
        <v>0.26</v>
      </c>
      <c r="AL76" s="21">
        <f t="shared" si="20"/>
        <v>0.5</v>
      </c>
    </row>
    <row r="77" spans="1:38" x14ac:dyDescent="0.25">
      <c r="A77" s="27" t="s">
        <v>400</v>
      </c>
      <c r="B77" s="45" t="s">
        <v>404</v>
      </c>
      <c r="C77" s="31">
        <v>6590</v>
      </c>
      <c r="D77" s="38">
        <v>0</v>
      </c>
      <c r="E77" s="50">
        <f t="shared" si="18"/>
        <v>6590</v>
      </c>
      <c r="F77" s="24">
        <v>0.6</v>
      </c>
      <c r="G77" s="7">
        <v>62</v>
      </c>
      <c r="H77" s="7">
        <v>42</v>
      </c>
      <c r="I77" s="7">
        <v>22</v>
      </c>
      <c r="J77" s="78">
        <f t="shared" si="16"/>
        <v>57.287999999999997</v>
      </c>
      <c r="K77" s="2">
        <f t="shared" si="17"/>
        <v>11.5</v>
      </c>
      <c r="L77" s="8">
        <v>0</v>
      </c>
      <c r="M77" s="1">
        <f t="shared" si="19"/>
        <v>0</v>
      </c>
      <c r="N77" s="41">
        <v>0</v>
      </c>
      <c r="O77" s="84" t="s">
        <v>275</v>
      </c>
      <c r="P77" s="24" t="s">
        <v>562</v>
      </c>
      <c r="Q77" s="7" t="s">
        <v>557</v>
      </c>
      <c r="R77" s="7"/>
      <c r="S77" s="81">
        <v>0.09</v>
      </c>
      <c r="T77" s="7">
        <v>25</v>
      </c>
      <c r="U77" s="82"/>
      <c r="V77" s="83">
        <f>ROUNDUP(E77*S77,2)</f>
        <v>593.1</v>
      </c>
      <c r="W77" s="83">
        <f>ROUNDUP(E77*0.015,2)</f>
        <v>98.85</v>
      </c>
      <c r="X77" s="82">
        <f>MAX(MIN(SUMIFS(Логистика!$C$2:$C$38,Логистика!$A$2:$A$38,"&lt;="&amp;K77,Логистика!$B$2:$B$38,"&gt;="&amp;K77)*E77,SUMIFS(Логистика!$E$2:$E$38,Логистика!$A$2:$A$38,"&lt;="&amp;K77,Логистика!$B$2:$B$38,"&gt;="&amp;K77)),SUMIFS(Логистика!$D$2:$D$38,Логистика!$A$2:$A$38,"&lt;="&amp;K77,Логистика!$B$2:$B$38,"&gt;="&amp;K77))</f>
        <v>461.30000000000007</v>
      </c>
      <c r="Y77" s="83">
        <f>IF(AND(E77*0.055&gt;20,E77*0.055&lt;250),ROUNDUP(E77*0.055,2),IF(E77*0.055&lt;=20,20,250))</f>
        <v>250</v>
      </c>
      <c r="Z77" s="83">
        <f>ROUND(M77*0.05,2)</f>
        <v>0</v>
      </c>
      <c r="AA77" s="83">
        <f>IF(N77=0,0,IF(ROUND(E77*N77,2)&gt;5,ROUND(E77*N77,2),5))</f>
        <v>0</v>
      </c>
      <c r="AB77" s="83">
        <f>IF(O77="Да",ROUND(E77*0.1111,2),0)</f>
        <v>0</v>
      </c>
      <c r="AC77" s="53">
        <f>V77+W77+T77+X77+Y77+Z77+AA77+AB77</f>
        <v>1428.25</v>
      </c>
      <c r="AD77" s="8">
        <v>0</v>
      </c>
      <c r="AE77" s="36">
        <f>ROUND(E77*AD77,2)</f>
        <v>0</v>
      </c>
      <c r="AF77" s="6">
        <v>15</v>
      </c>
      <c r="AG77" s="6">
        <v>15</v>
      </c>
      <c r="AH77" s="59">
        <f>AH73*6</f>
        <v>3480</v>
      </c>
      <c r="AI77" s="57">
        <f>E77-AC77-AE77-AH77</f>
        <v>1681.75</v>
      </c>
      <c r="AJ77" s="17">
        <f>E77-AC77</f>
        <v>5161.75</v>
      </c>
      <c r="AK77" s="20">
        <f>ROUND(AI77/E77,2)</f>
        <v>0.26</v>
      </c>
      <c r="AL77" s="21">
        <f t="shared" si="20"/>
        <v>0.48</v>
      </c>
    </row>
    <row r="78" spans="1:38" x14ac:dyDescent="0.25">
      <c r="A78" s="27"/>
      <c r="B78" s="45"/>
      <c r="C78" s="31"/>
      <c r="D78" s="38">
        <v>0</v>
      </c>
      <c r="E78" s="50">
        <f t="shared" si="18"/>
        <v>0</v>
      </c>
      <c r="F78" s="24"/>
      <c r="G78" s="7">
        <v>0</v>
      </c>
      <c r="H78" s="7">
        <v>0</v>
      </c>
      <c r="I78" s="7">
        <v>0</v>
      </c>
      <c r="J78" s="78">
        <f t="shared" si="16"/>
        <v>0</v>
      </c>
      <c r="K78" s="2">
        <f t="shared" si="17"/>
        <v>0</v>
      </c>
      <c r="L78" s="8">
        <v>0</v>
      </c>
      <c r="M78" s="1">
        <f t="shared" si="19"/>
        <v>0</v>
      </c>
      <c r="N78" s="41">
        <v>0</v>
      </c>
      <c r="O78" s="84" t="s">
        <v>275</v>
      </c>
      <c r="P78" s="24" t="s">
        <v>562</v>
      </c>
      <c r="Q78" s="7" t="s">
        <v>557</v>
      </c>
      <c r="R78" s="7"/>
      <c r="S78" s="81">
        <v>0.09</v>
      </c>
      <c r="T78" s="7">
        <v>25</v>
      </c>
      <c r="U78" s="82"/>
      <c r="V78" s="83">
        <f>ROUNDUP(E78*S78,2)</f>
        <v>0</v>
      </c>
      <c r="W78" s="83">
        <f>ROUNDUP(E78*0.015,2)</f>
        <v>0</v>
      </c>
      <c r="X78" s="82">
        <f>MAX(MIN(SUMIFS(Логистика!$C$2:$C$38,Логистика!$A$2:$A$38,"&lt;="&amp;K78,Логистика!$B$2:$B$38,"&gt;="&amp;K78)*E78,SUMIFS(Логистика!$E$2:$E$38,Логистика!$A$2:$A$38,"&lt;="&amp;K78,Логистика!$B$2:$B$38,"&gt;="&amp;K78)),SUMIFS(Логистика!$D$2:$D$38,Логистика!$A$2:$A$38,"&lt;="&amp;K78,Логистика!$B$2:$B$38,"&gt;="&amp;K78))</f>
        <v>0</v>
      </c>
      <c r="Y78" s="83">
        <f>IF(AND(E78*0.055&gt;20,E78*0.055&lt;250),ROUNDUP(E78*0.055,2),IF(E78*0.055&lt;=20,20,250))</f>
        <v>20</v>
      </c>
      <c r="Z78" s="83">
        <f>ROUND(M78*0.05,2)</f>
        <v>0</v>
      </c>
      <c r="AA78" s="83">
        <f>IF(N78=0,0,IF(ROUND(E78*N78,2)&gt;5,ROUND(E78*N78,2),5))</f>
        <v>0</v>
      </c>
      <c r="AB78" s="83">
        <f>IF(O78="Да",ROUND(E78*0.1111,2),0)</f>
        <v>0</v>
      </c>
      <c r="AC78" s="53">
        <f>V78+W78+T78+X78+Y78+Z78+AA78+AB78</f>
        <v>45</v>
      </c>
      <c r="AD78" s="8">
        <v>0</v>
      </c>
      <c r="AE78" s="36">
        <f>ROUND(E78*AD78,2)</f>
        <v>0</v>
      </c>
      <c r="AF78" s="6">
        <v>15</v>
      </c>
      <c r="AG78" s="6">
        <v>15</v>
      </c>
      <c r="AH78" s="5"/>
      <c r="AI78" s="57">
        <f>E78-AC78-AE78-AH78</f>
        <v>-45</v>
      </c>
      <c r="AJ78" s="17">
        <f>E78-AC78</f>
        <v>-45</v>
      </c>
      <c r="AK78" s="20" t="e">
        <f>ROUND(AI78/E78,2)</f>
        <v>#DIV/0!</v>
      </c>
      <c r="AL78" s="21" t="e">
        <f t="shared" si="20"/>
        <v>#DIV/0!</v>
      </c>
    </row>
    <row r="79" spans="1:38" x14ac:dyDescent="0.25">
      <c r="A79" s="27" t="s">
        <v>406</v>
      </c>
      <c r="B79" s="45" t="s">
        <v>405</v>
      </c>
      <c r="C79" s="31">
        <v>1990</v>
      </c>
      <c r="D79" s="38">
        <v>0</v>
      </c>
      <c r="E79" s="50">
        <f t="shared" si="18"/>
        <v>1990</v>
      </c>
      <c r="F79" s="24">
        <v>0.15</v>
      </c>
      <c r="G79" s="7">
        <v>27</v>
      </c>
      <c r="H79" s="7">
        <v>27</v>
      </c>
      <c r="I79" s="7">
        <v>27</v>
      </c>
      <c r="J79" s="78">
        <f t="shared" si="16"/>
        <v>19.683</v>
      </c>
      <c r="K79" s="2">
        <f t="shared" si="17"/>
        <v>3.9</v>
      </c>
      <c r="L79" s="8">
        <v>0</v>
      </c>
      <c r="M79" s="1">
        <f t="shared" si="19"/>
        <v>0</v>
      </c>
      <c r="N79" s="41">
        <v>0</v>
      </c>
      <c r="O79" s="84" t="s">
        <v>275</v>
      </c>
      <c r="P79" s="24" t="s">
        <v>562</v>
      </c>
      <c r="Q79" s="7" t="s">
        <v>557</v>
      </c>
      <c r="R79" s="7"/>
      <c r="S79" s="81">
        <v>0.09</v>
      </c>
      <c r="T79" s="7">
        <v>25</v>
      </c>
      <c r="U79" s="82"/>
      <c r="V79" s="83">
        <f>ROUNDUP(E79*S79,2)</f>
        <v>179.1</v>
      </c>
      <c r="W79" s="83">
        <f>ROUNDUP(E79*0.015,2)</f>
        <v>29.85</v>
      </c>
      <c r="X79" s="82">
        <f>MAX(MIN(SUMIFS(Логистика!$C$2:$C$38,Логистика!$A$2:$A$38,"&lt;="&amp;K79,Логистика!$B$2:$B$38,"&gt;="&amp;K79)*E79,SUMIFS(Логистика!$E$2:$E$38,Логистика!$A$2:$A$38,"&lt;="&amp;K79,Логистика!$B$2:$B$38,"&gt;="&amp;K79)),SUMIFS(Логистика!$D$2:$D$38,Логистика!$A$2:$A$38,"&lt;="&amp;K79,Логистика!$B$2:$B$38,"&gt;="&amp;K79))</f>
        <v>119.39999999999999</v>
      </c>
      <c r="Y79" s="83">
        <f>IF(AND(E79*0.055&gt;20,E79*0.055&lt;250),ROUNDUP(E79*0.055,2),IF(E79*0.055&lt;=20,20,250))</f>
        <v>109.45</v>
      </c>
      <c r="Z79" s="83">
        <f>ROUND(M79*0.05,2)</f>
        <v>0</v>
      </c>
      <c r="AA79" s="83">
        <f>IF(N79=0,0,IF(ROUND(E79*N79,2)&gt;5,ROUND(E79*N79,2),5))</f>
        <v>0</v>
      </c>
      <c r="AB79" s="83">
        <f>IF(O79="Да",ROUND(E79*0.1111,2),0)</f>
        <v>0</v>
      </c>
      <c r="AC79" s="53">
        <f>V79+W79+T79+X79+Y79+Z79+AA79+AB79</f>
        <v>462.79999999999995</v>
      </c>
      <c r="AD79" s="8">
        <v>0</v>
      </c>
      <c r="AE79" s="36">
        <f>ROUND(E79*AD79,2)</f>
        <v>0</v>
      </c>
      <c r="AF79" s="6">
        <v>15</v>
      </c>
      <c r="AG79" s="6">
        <v>15</v>
      </c>
      <c r="AH79" s="5">
        <v>998</v>
      </c>
      <c r="AI79" s="57">
        <f>E79-AC79-AE79-AH79</f>
        <v>529.20000000000005</v>
      </c>
      <c r="AJ79" s="17">
        <f>E79-AC79</f>
        <v>1527.2</v>
      </c>
      <c r="AK79" s="20">
        <f>ROUND(AI79/E79,2)</f>
        <v>0.27</v>
      </c>
      <c r="AL79" s="21">
        <f t="shared" si="20"/>
        <v>0.53</v>
      </c>
    </row>
    <row r="80" spans="1:38" x14ac:dyDescent="0.25">
      <c r="A80" s="27" t="s">
        <v>407</v>
      </c>
      <c r="B80" s="45" t="s">
        <v>410</v>
      </c>
      <c r="C80" s="31">
        <v>3890</v>
      </c>
      <c r="D80" s="38">
        <v>0</v>
      </c>
      <c r="E80" s="50">
        <f t="shared" si="18"/>
        <v>3890</v>
      </c>
      <c r="F80" s="24">
        <v>0.3</v>
      </c>
      <c r="G80" s="7">
        <v>52</v>
      </c>
      <c r="H80" s="7">
        <v>27</v>
      </c>
      <c r="I80" s="7">
        <v>27</v>
      </c>
      <c r="J80" s="78">
        <f t="shared" si="16"/>
        <v>37.908000000000001</v>
      </c>
      <c r="K80" s="2">
        <f t="shared" si="17"/>
        <v>7.6</v>
      </c>
      <c r="L80" s="8">
        <v>0</v>
      </c>
      <c r="M80" s="1">
        <f t="shared" si="19"/>
        <v>0</v>
      </c>
      <c r="N80" s="41">
        <v>0</v>
      </c>
      <c r="O80" s="84" t="s">
        <v>275</v>
      </c>
      <c r="P80" s="24" t="s">
        <v>562</v>
      </c>
      <c r="Q80" s="7" t="s">
        <v>557</v>
      </c>
      <c r="R80" s="7"/>
      <c r="S80" s="81">
        <v>0.09</v>
      </c>
      <c r="T80" s="7">
        <v>25</v>
      </c>
      <c r="U80" s="82"/>
      <c r="V80" s="83">
        <f>ROUNDUP(E80*S80,2)</f>
        <v>350.1</v>
      </c>
      <c r="W80" s="83">
        <f>ROUNDUP(E80*0.015,2)</f>
        <v>58.35</v>
      </c>
      <c r="X80" s="82">
        <f>MAX(MIN(SUMIFS(Логистика!$C$2:$C$38,Логистика!$A$2:$A$38,"&lt;="&amp;K80,Логистика!$B$2:$B$38,"&gt;="&amp;K80)*E80,SUMIFS(Логистика!$E$2:$E$38,Логистика!$A$2:$A$38,"&lt;="&amp;K80,Логистика!$B$2:$B$38,"&gt;="&amp;K80)),SUMIFS(Логистика!$D$2:$D$38,Логистика!$A$2:$A$38,"&lt;="&amp;K80,Логистика!$B$2:$B$38,"&gt;="&amp;K80))</f>
        <v>233.39999999999998</v>
      </c>
      <c r="Y80" s="83">
        <f>IF(AND(E80*0.055&gt;20,E80*0.055&lt;250),ROUNDUP(E80*0.055,2),IF(E80*0.055&lt;=20,20,250))</f>
        <v>213.95</v>
      </c>
      <c r="Z80" s="83">
        <f>ROUND(M80*0.05,2)</f>
        <v>0</v>
      </c>
      <c r="AA80" s="83">
        <f>IF(N80=0,0,IF(ROUND(E80*N80,2)&gt;5,ROUND(E80*N80,2),5))</f>
        <v>0</v>
      </c>
      <c r="AB80" s="83">
        <f>IF(O80="Да",ROUND(E80*0.1111,2),0)</f>
        <v>0</v>
      </c>
      <c r="AC80" s="53">
        <f>V80+W80+T80+X80+Y80+Z80+AA80+AB80</f>
        <v>880.8</v>
      </c>
      <c r="AD80" s="8">
        <v>0</v>
      </c>
      <c r="AE80" s="36">
        <f>ROUND(E80*AD80,2)</f>
        <v>0</v>
      </c>
      <c r="AF80" s="6">
        <v>15</v>
      </c>
      <c r="AG80" s="6">
        <v>15</v>
      </c>
      <c r="AH80" s="59">
        <f>AH79*2</f>
        <v>1996</v>
      </c>
      <c r="AI80" s="57">
        <f>E80-AC80-AE80-AH80</f>
        <v>1013.1999999999998</v>
      </c>
      <c r="AJ80" s="17">
        <f>E80-AC80</f>
        <v>3009.2</v>
      </c>
      <c r="AK80" s="20">
        <f>ROUND(AI80/E80,2)</f>
        <v>0.26</v>
      </c>
      <c r="AL80" s="21">
        <f t="shared" si="20"/>
        <v>0.51</v>
      </c>
    </row>
    <row r="81" spans="1:38" x14ac:dyDescent="0.25">
      <c r="A81" s="27" t="s">
        <v>408</v>
      </c>
      <c r="B81" s="45" t="s">
        <v>411</v>
      </c>
      <c r="C81" s="31">
        <v>5790</v>
      </c>
      <c r="D81" s="38">
        <v>0</v>
      </c>
      <c r="E81" s="50">
        <f t="shared" si="18"/>
        <v>5790</v>
      </c>
      <c r="F81" s="24">
        <v>0.45</v>
      </c>
      <c r="G81" s="7">
        <v>77</v>
      </c>
      <c r="H81" s="7">
        <v>27</v>
      </c>
      <c r="I81" s="7">
        <v>27</v>
      </c>
      <c r="J81" s="78">
        <f t="shared" si="16"/>
        <v>56.133000000000003</v>
      </c>
      <c r="K81" s="2">
        <f t="shared" si="17"/>
        <v>11.2</v>
      </c>
      <c r="L81" s="8">
        <v>0</v>
      </c>
      <c r="M81" s="1">
        <f t="shared" si="19"/>
        <v>0</v>
      </c>
      <c r="N81" s="41">
        <v>0</v>
      </c>
      <c r="O81" s="84" t="s">
        <v>275</v>
      </c>
      <c r="P81" s="24" t="s">
        <v>562</v>
      </c>
      <c r="Q81" s="7" t="s">
        <v>557</v>
      </c>
      <c r="R81" s="7"/>
      <c r="S81" s="81">
        <v>0.09</v>
      </c>
      <c r="T81" s="7">
        <v>25</v>
      </c>
      <c r="U81" s="82"/>
      <c r="V81" s="83">
        <f>ROUNDUP(E81*S81,2)</f>
        <v>521.1</v>
      </c>
      <c r="W81" s="83">
        <f>ROUNDUP(E81*0.015,2)</f>
        <v>86.85</v>
      </c>
      <c r="X81" s="82">
        <f>MAX(MIN(SUMIFS(Логистика!$C$2:$C$38,Логистика!$A$2:$A$38,"&lt;="&amp;K81,Логистика!$B$2:$B$38,"&gt;="&amp;K81)*E81,SUMIFS(Логистика!$E$2:$E$38,Логистика!$A$2:$A$38,"&lt;="&amp;K81,Логистика!$B$2:$B$38,"&gt;="&amp;K81)),SUMIFS(Логистика!$D$2:$D$38,Логистика!$A$2:$A$38,"&lt;="&amp;K81,Логистика!$B$2:$B$38,"&gt;="&amp;K81))</f>
        <v>405.3</v>
      </c>
      <c r="Y81" s="83">
        <f>IF(AND(E81*0.055&gt;20,E81*0.055&lt;250),ROUNDUP(E81*0.055,2),IF(E81*0.055&lt;=20,20,250))</f>
        <v>250</v>
      </c>
      <c r="Z81" s="83">
        <f>ROUND(M81*0.05,2)</f>
        <v>0</v>
      </c>
      <c r="AA81" s="83">
        <f>IF(N81=0,0,IF(ROUND(E81*N81,2)&gt;5,ROUND(E81*N81,2),5))</f>
        <v>0</v>
      </c>
      <c r="AB81" s="83">
        <f>IF(O81="Да",ROUND(E81*0.1111,2),0)</f>
        <v>0</v>
      </c>
      <c r="AC81" s="53">
        <f>V81+W81+T81+X81+Y81+Z81+AA81+AB81</f>
        <v>1288.25</v>
      </c>
      <c r="AD81" s="8">
        <v>0</v>
      </c>
      <c r="AE81" s="36">
        <f>ROUND(E81*AD81,2)</f>
        <v>0</v>
      </c>
      <c r="AF81" s="6">
        <v>15</v>
      </c>
      <c r="AG81" s="6">
        <v>15</v>
      </c>
      <c r="AH81" s="59">
        <f>AH79*3</f>
        <v>2994</v>
      </c>
      <c r="AI81" s="57">
        <f>E81-AC81-AE81-AH81</f>
        <v>1507.75</v>
      </c>
      <c r="AJ81" s="17">
        <f>E81-AC81</f>
        <v>4501.75</v>
      </c>
      <c r="AK81" s="20">
        <f>ROUND(AI81/E81,2)</f>
        <v>0.26</v>
      </c>
      <c r="AL81" s="21">
        <f t="shared" si="20"/>
        <v>0.5</v>
      </c>
    </row>
    <row r="82" spans="1:38" x14ac:dyDescent="0.25">
      <c r="A82" s="27" t="s">
        <v>409</v>
      </c>
      <c r="B82" s="45" t="s">
        <v>412</v>
      </c>
      <c r="C82" s="31">
        <v>7490</v>
      </c>
      <c r="D82" s="38">
        <v>0</v>
      </c>
      <c r="E82" s="50">
        <f t="shared" si="18"/>
        <v>7490</v>
      </c>
      <c r="F82" s="24">
        <v>0.6</v>
      </c>
      <c r="G82" s="7">
        <v>52</v>
      </c>
      <c r="H82" s="7">
        <v>52</v>
      </c>
      <c r="I82" s="7">
        <v>27</v>
      </c>
      <c r="J82" s="78">
        <f t="shared" si="16"/>
        <v>73.007999999999996</v>
      </c>
      <c r="K82" s="2">
        <f t="shared" si="17"/>
        <v>14.6</v>
      </c>
      <c r="L82" s="8">
        <v>0</v>
      </c>
      <c r="M82" s="1">
        <f t="shared" si="19"/>
        <v>0</v>
      </c>
      <c r="N82" s="41">
        <v>0</v>
      </c>
      <c r="O82" s="84" t="s">
        <v>275</v>
      </c>
      <c r="P82" s="24" t="s">
        <v>562</v>
      </c>
      <c r="Q82" s="7" t="s">
        <v>557</v>
      </c>
      <c r="R82" s="7"/>
      <c r="S82" s="81">
        <v>0.09</v>
      </c>
      <c r="T82" s="7">
        <v>25</v>
      </c>
      <c r="U82" s="82"/>
      <c r="V82" s="83">
        <f>ROUNDUP(E82*S82,2)</f>
        <v>674.1</v>
      </c>
      <c r="W82" s="83">
        <f>ROUNDUP(E82*0.015,2)</f>
        <v>112.35</v>
      </c>
      <c r="X82" s="82">
        <f>MAX(MIN(SUMIFS(Логистика!$C$2:$C$38,Логистика!$A$2:$A$38,"&lt;="&amp;K82,Логистика!$B$2:$B$38,"&gt;="&amp;K82)*E82,SUMIFS(Логистика!$E$2:$E$38,Логистика!$A$2:$A$38,"&lt;="&amp;K82,Логистика!$B$2:$B$38,"&gt;="&amp;K82)),SUMIFS(Логистика!$D$2:$D$38,Логистика!$A$2:$A$38,"&lt;="&amp;K82,Логистика!$B$2:$B$38,"&gt;="&amp;K82))</f>
        <v>524.30000000000007</v>
      </c>
      <c r="Y82" s="83">
        <f>IF(AND(E82*0.055&gt;20,E82*0.055&lt;250),ROUNDUP(E82*0.055,2),IF(E82*0.055&lt;=20,20,250))</f>
        <v>250</v>
      </c>
      <c r="Z82" s="83">
        <f>ROUND(M82*0.05,2)</f>
        <v>0</v>
      </c>
      <c r="AA82" s="83">
        <f>IF(N82=0,0,IF(ROUND(E82*N82,2)&gt;5,ROUND(E82*N82,2),5))</f>
        <v>0</v>
      </c>
      <c r="AB82" s="83">
        <f>IF(O82="Да",ROUND(E82*0.1111,2),0)</f>
        <v>0</v>
      </c>
      <c r="AC82" s="53">
        <f>V82+W82+T82+X82+Y82+Z82+AA82+AB82</f>
        <v>1585.75</v>
      </c>
      <c r="AD82" s="8">
        <v>0</v>
      </c>
      <c r="AE82" s="36">
        <f>ROUND(E82*AD82,2)</f>
        <v>0</v>
      </c>
      <c r="AF82" s="6">
        <v>15</v>
      </c>
      <c r="AG82" s="6">
        <v>15</v>
      </c>
      <c r="AH82" s="59">
        <f>AH79*4</f>
        <v>3992</v>
      </c>
      <c r="AI82" s="57">
        <f>E82-AC82-AE82-AH82</f>
        <v>1912.25</v>
      </c>
      <c r="AJ82" s="17">
        <f>E82-AC82</f>
        <v>5904.25</v>
      </c>
      <c r="AK82" s="20">
        <f>ROUND(AI82/E82,2)</f>
        <v>0.26</v>
      </c>
      <c r="AL82" s="21">
        <f t="shared" si="20"/>
        <v>0.48</v>
      </c>
    </row>
    <row r="83" spans="1:38" x14ac:dyDescent="0.25">
      <c r="A83" s="27"/>
      <c r="B83" s="45"/>
      <c r="C83" s="31"/>
      <c r="D83" s="38">
        <v>0</v>
      </c>
      <c r="E83" s="50">
        <f t="shared" si="18"/>
        <v>0</v>
      </c>
      <c r="F83" s="24"/>
      <c r="G83" s="7">
        <v>0</v>
      </c>
      <c r="H83" s="7">
        <v>0</v>
      </c>
      <c r="I83" s="7">
        <v>0</v>
      </c>
      <c r="J83" s="78">
        <f t="shared" si="16"/>
        <v>0</v>
      </c>
      <c r="K83" s="2">
        <f t="shared" si="17"/>
        <v>0</v>
      </c>
      <c r="L83" s="8">
        <v>0</v>
      </c>
      <c r="M83" s="1">
        <f t="shared" si="19"/>
        <v>0</v>
      </c>
      <c r="N83" s="41">
        <v>0</v>
      </c>
      <c r="O83" s="84" t="s">
        <v>275</v>
      </c>
      <c r="P83" s="24" t="s">
        <v>562</v>
      </c>
      <c r="Q83" s="7" t="s">
        <v>557</v>
      </c>
      <c r="R83" s="7"/>
      <c r="S83" s="81">
        <v>0.09</v>
      </c>
      <c r="T83" s="7">
        <v>25</v>
      </c>
      <c r="U83" s="82"/>
      <c r="V83" s="83">
        <f>ROUNDUP(E83*S83,2)</f>
        <v>0</v>
      </c>
      <c r="W83" s="83">
        <f>ROUNDUP(E83*0.015,2)</f>
        <v>0</v>
      </c>
      <c r="X83" s="82">
        <f>MAX(MIN(SUMIFS(Логистика!$C$2:$C$38,Логистика!$A$2:$A$38,"&lt;="&amp;K83,Логистика!$B$2:$B$38,"&gt;="&amp;K83)*E83,SUMIFS(Логистика!$E$2:$E$38,Логистика!$A$2:$A$38,"&lt;="&amp;K83,Логистика!$B$2:$B$38,"&gt;="&amp;K83)),SUMIFS(Логистика!$D$2:$D$38,Логистика!$A$2:$A$38,"&lt;="&amp;K83,Логистика!$B$2:$B$38,"&gt;="&amp;K83))</f>
        <v>0</v>
      </c>
      <c r="Y83" s="83">
        <f>IF(AND(E83*0.055&gt;20,E83*0.055&lt;250),ROUNDUP(E83*0.055,2),IF(E83*0.055&lt;=20,20,250))</f>
        <v>20</v>
      </c>
      <c r="Z83" s="83">
        <f>ROUND(M83*0.05,2)</f>
        <v>0</v>
      </c>
      <c r="AA83" s="83">
        <f>IF(N83=0,0,IF(ROUND(E83*N83,2)&gt;5,ROUND(E83*N83,2),5))</f>
        <v>0</v>
      </c>
      <c r="AB83" s="83">
        <f>IF(O83="Да",ROUND(E83*0.1111,2),0)</f>
        <v>0</v>
      </c>
      <c r="AC83" s="53">
        <f>V83+W83+T83+X83+Y83+Z83+AA83+AB83</f>
        <v>45</v>
      </c>
      <c r="AD83" s="8">
        <v>0</v>
      </c>
      <c r="AE83" s="36">
        <f>ROUND(E83*AD83,2)</f>
        <v>0</v>
      </c>
      <c r="AF83" s="6">
        <v>15</v>
      </c>
      <c r="AG83" s="6">
        <v>15</v>
      </c>
      <c r="AH83" s="5"/>
      <c r="AI83" s="57">
        <f>E83-AC83-AE83-AH83</f>
        <v>-45</v>
      </c>
      <c r="AJ83" s="17">
        <f>E83-AC83</f>
        <v>-45</v>
      </c>
      <c r="AK83" s="20" t="e">
        <f>ROUND(AI83/E83,2)</f>
        <v>#DIV/0!</v>
      </c>
      <c r="AL83" s="21" t="e">
        <f t="shared" si="20"/>
        <v>#DIV/0!</v>
      </c>
    </row>
    <row r="84" spans="1:38" x14ac:dyDescent="0.25">
      <c r="A84" s="27" t="s">
        <v>413</v>
      </c>
      <c r="B84" s="45" t="s">
        <v>414</v>
      </c>
      <c r="C84" s="31">
        <v>3250</v>
      </c>
      <c r="D84" s="38">
        <v>0</v>
      </c>
      <c r="E84" s="50">
        <f t="shared" si="18"/>
        <v>3250</v>
      </c>
      <c r="F84" s="24">
        <v>0.2</v>
      </c>
      <c r="G84" s="7">
        <v>32</v>
      </c>
      <c r="H84" s="7">
        <v>32</v>
      </c>
      <c r="I84" s="7">
        <v>32</v>
      </c>
      <c r="J84" s="78">
        <f t="shared" si="16"/>
        <v>32.768000000000001</v>
      </c>
      <c r="K84" s="2">
        <f t="shared" si="17"/>
        <v>6.6</v>
      </c>
      <c r="L84" s="8">
        <v>0</v>
      </c>
      <c r="M84" s="1">
        <f t="shared" si="19"/>
        <v>0</v>
      </c>
      <c r="N84" s="41">
        <v>0</v>
      </c>
      <c r="O84" s="84" t="s">
        <v>275</v>
      </c>
      <c r="P84" s="24" t="s">
        <v>562</v>
      </c>
      <c r="Q84" s="7" t="s">
        <v>557</v>
      </c>
      <c r="R84" s="7"/>
      <c r="S84" s="81">
        <v>0.09</v>
      </c>
      <c r="T84" s="7">
        <v>25</v>
      </c>
      <c r="U84" s="82"/>
      <c r="V84" s="83">
        <f>ROUNDUP(E84*S84,2)</f>
        <v>292.5</v>
      </c>
      <c r="W84" s="83">
        <f>ROUNDUP(E84*0.015,2)</f>
        <v>48.75</v>
      </c>
      <c r="X84" s="82">
        <f>MAX(MIN(SUMIFS(Логистика!$C$2:$C$38,Логистика!$A$2:$A$38,"&lt;="&amp;K84,Логистика!$B$2:$B$38,"&gt;="&amp;K84)*E84,SUMIFS(Логистика!$E$2:$E$38,Логистика!$A$2:$A$38,"&lt;="&amp;K84,Логистика!$B$2:$B$38,"&gt;="&amp;K84)),SUMIFS(Логистика!$D$2:$D$38,Логистика!$A$2:$A$38,"&lt;="&amp;K84,Логистика!$B$2:$B$38,"&gt;="&amp;K84))</f>
        <v>195</v>
      </c>
      <c r="Y84" s="83">
        <f>IF(AND(E84*0.055&gt;20,E84*0.055&lt;250),ROUNDUP(E84*0.055,2),IF(E84*0.055&lt;=20,20,250))</f>
        <v>178.75</v>
      </c>
      <c r="Z84" s="83">
        <f>ROUND(M84*0.05,2)</f>
        <v>0</v>
      </c>
      <c r="AA84" s="83">
        <f>IF(N84=0,0,IF(ROUND(E84*N84,2)&gt;5,ROUND(E84*N84,2),5))</f>
        <v>0</v>
      </c>
      <c r="AB84" s="83">
        <f>IF(O84="Да",ROUND(E84*0.1111,2),0)</f>
        <v>0</v>
      </c>
      <c r="AC84" s="53">
        <f>V84+W84+T84+X84+Y84+Z84+AA84+AB84</f>
        <v>740</v>
      </c>
      <c r="AD84" s="8">
        <v>0</v>
      </c>
      <c r="AE84" s="36">
        <f>ROUND(E84*AD84,2)</f>
        <v>0</v>
      </c>
      <c r="AF84" s="6">
        <v>15</v>
      </c>
      <c r="AG84" s="6">
        <v>15</v>
      </c>
      <c r="AH84" s="5">
        <v>1630</v>
      </c>
      <c r="AI84" s="57">
        <f>E84-AC84-AE84-AH84</f>
        <v>880</v>
      </c>
      <c r="AJ84" s="17">
        <f>E84-AC84</f>
        <v>2510</v>
      </c>
      <c r="AK84" s="20">
        <f>ROUND(AI84/E84,2)</f>
        <v>0.27</v>
      </c>
      <c r="AL84" s="21">
        <f t="shared" si="20"/>
        <v>0.54</v>
      </c>
    </row>
    <row r="85" spans="1:38" x14ac:dyDescent="0.25">
      <c r="A85" s="27" t="s">
        <v>415</v>
      </c>
      <c r="B85" s="45" t="s">
        <v>418</v>
      </c>
      <c r="C85" s="31">
        <v>6250</v>
      </c>
      <c r="D85" s="38">
        <v>0</v>
      </c>
      <c r="E85" s="50">
        <f t="shared" si="18"/>
        <v>6250</v>
      </c>
      <c r="F85" s="24">
        <v>0.4</v>
      </c>
      <c r="G85" s="7">
        <v>62</v>
      </c>
      <c r="H85" s="7">
        <v>32</v>
      </c>
      <c r="I85" s="7">
        <v>32</v>
      </c>
      <c r="J85" s="78">
        <f t="shared" si="16"/>
        <v>63.488</v>
      </c>
      <c r="K85" s="2">
        <f t="shared" si="17"/>
        <v>12.7</v>
      </c>
      <c r="L85" s="8">
        <v>0</v>
      </c>
      <c r="M85" s="1">
        <f t="shared" si="19"/>
        <v>0</v>
      </c>
      <c r="N85" s="41">
        <v>0</v>
      </c>
      <c r="O85" s="84" t="s">
        <v>275</v>
      </c>
      <c r="P85" s="24" t="s">
        <v>562</v>
      </c>
      <c r="Q85" s="7" t="s">
        <v>557</v>
      </c>
      <c r="R85" s="7"/>
      <c r="S85" s="81">
        <v>0.09</v>
      </c>
      <c r="T85" s="7">
        <v>25</v>
      </c>
      <c r="U85" s="82"/>
      <c r="V85" s="83">
        <f>ROUNDUP(E85*S85,2)</f>
        <v>562.5</v>
      </c>
      <c r="W85" s="83">
        <f>ROUNDUP(E85*0.015,2)</f>
        <v>93.75</v>
      </c>
      <c r="X85" s="82">
        <f>MAX(MIN(SUMIFS(Логистика!$C$2:$C$38,Логистика!$A$2:$A$38,"&lt;="&amp;K85,Логистика!$B$2:$B$38,"&gt;="&amp;K85)*E85,SUMIFS(Логистика!$E$2:$E$38,Логистика!$A$2:$A$38,"&lt;="&amp;K85,Логистика!$B$2:$B$38,"&gt;="&amp;K85)),SUMIFS(Логистика!$D$2:$D$38,Логистика!$A$2:$A$38,"&lt;="&amp;K85,Логистика!$B$2:$B$38,"&gt;="&amp;K85))</f>
        <v>437.50000000000006</v>
      </c>
      <c r="Y85" s="83">
        <f>IF(AND(E85*0.055&gt;20,E85*0.055&lt;250),ROUNDUP(E85*0.055,2),IF(E85*0.055&lt;=20,20,250))</f>
        <v>250</v>
      </c>
      <c r="Z85" s="83">
        <f>ROUND(M85*0.05,2)</f>
        <v>0</v>
      </c>
      <c r="AA85" s="83">
        <f>IF(N85=0,0,IF(ROUND(E85*N85,2)&gt;5,ROUND(E85*N85,2),5))</f>
        <v>0</v>
      </c>
      <c r="AB85" s="83">
        <f>IF(O85="Да",ROUND(E85*0.1111,2),0)</f>
        <v>0</v>
      </c>
      <c r="AC85" s="53">
        <f>V85+W85+T85+X85+Y85+Z85+AA85+AB85</f>
        <v>1368.75</v>
      </c>
      <c r="AD85" s="8">
        <v>0</v>
      </c>
      <c r="AE85" s="36">
        <f>ROUND(E85*AD85,2)</f>
        <v>0</v>
      </c>
      <c r="AF85" s="6">
        <v>15</v>
      </c>
      <c r="AG85" s="6">
        <v>15</v>
      </c>
      <c r="AH85" s="59">
        <f>AH84*2</f>
        <v>3260</v>
      </c>
      <c r="AI85" s="57">
        <f>E85-AC85-AE85-AH85</f>
        <v>1621.25</v>
      </c>
      <c r="AJ85" s="17">
        <f>E85-AC85</f>
        <v>4881.25</v>
      </c>
      <c r="AK85" s="20">
        <f>ROUND(AI85/E85,2)</f>
        <v>0.26</v>
      </c>
      <c r="AL85" s="21">
        <f t="shared" si="20"/>
        <v>0.5</v>
      </c>
    </row>
    <row r="86" spans="1:38" x14ac:dyDescent="0.25">
      <c r="A86" s="27" t="s">
        <v>416</v>
      </c>
      <c r="B86" s="45" t="s">
        <v>419</v>
      </c>
      <c r="C86" s="31">
        <v>8850</v>
      </c>
      <c r="D86" s="38">
        <v>0</v>
      </c>
      <c r="E86" s="50">
        <f t="shared" si="18"/>
        <v>8850</v>
      </c>
      <c r="F86" s="24">
        <v>0.6</v>
      </c>
      <c r="G86" s="7">
        <v>92</v>
      </c>
      <c r="H86" s="7">
        <v>32</v>
      </c>
      <c r="I86" s="7">
        <v>32</v>
      </c>
      <c r="J86" s="78">
        <f t="shared" si="16"/>
        <v>94.207999999999998</v>
      </c>
      <c r="K86" s="2">
        <f t="shared" si="17"/>
        <v>18.8</v>
      </c>
      <c r="L86" s="8">
        <v>0</v>
      </c>
      <c r="M86" s="1">
        <f t="shared" si="19"/>
        <v>0</v>
      </c>
      <c r="N86" s="41">
        <v>0</v>
      </c>
      <c r="O86" s="84" t="s">
        <v>275</v>
      </c>
      <c r="P86" s="24" t="s">
        <v>562</v>
      </c>
      <c r="Q86" s="7" t="s">
        <v>557</v>
      </c>
      <c r="R86" s="7"/>
      <c r="S86" s="81">
        <v>0.09</v>
      </c>
      <c r="T86" s="7">
        <v>25</v>
      </c>
      <c r="U86" s="82"/>
      <c r="V86" s="83">
        <f>ROUNDUP(E86*S86,2)</f>
        <v>796.5</v>
      </c>
      <c r="W86" s="83">
        <f>ROUNDUP(E86*0.015,2)</f>
        <v>132.75</v>
      </c>
      <c r="X86" s="82">
        <f>MAX(MIN(SUMIFS(Логистика!$C$2:$C$38,Логистика!$A$2:$A$38,"&lt;="&amp;K86,Логистика!$B$2:$B$38,"&gt;="&amp;K86)*E86,SUMIFS(Логистика!$E$2:$E$38,Логистика!$A$2:$A$38,"&lt;="&amp;K86,Логистика!$B$2:$B$38,"&gt;="&amp;K86)),SUMIFS(Логистика!$D$2:$D$38,Логистика!$A$2:$A$38,"&lt;="&amp;K86,Логистика!$B$2:$B$38,"&gt;="&amp;K86))</f>
        <v>619.50000000000011</v>
      </c>
      <c r="Y86" s="83">
        <f>IF(AND(E86*0.055&gt;20,E86*0.055&lt;250),ROUNDUP(E86*0.055,2),IF(E86*0.055&lt;=20,20,250))</f>
        <v>250</v>
      </c>
      <c r="Z86" s="83">
        <f>ROUND(M86*0.05,2)</f>
        <v>0</v>
      </c>
      <c r="AA86" s="83">
        <f>IF(N86=0,0,IF(ROUND(E86*N86,2)&gt;5,ROUND(E86*N86,2),5))</f>
        <v>0</v>
      </c>
      <c r="AB86" s="83">
        <f>IF(O86="Да",ROUND(E86*0.1111,2),0)</f>
        <v>0</v>
      </c>
      <c r="AC86" s="53">
        <f>V86+W86+T86+X86+Y86+Z86+AA86+AB86</f>
        <v>1823.75</v>
      </c>
      <c r="AD86" s="8">
        <v>0</v>
      </c>
      <c r="AE86" s="36">
        <f>ROUND(E86*AD86,2)</f>
        <v>0</v>
      </c>
      <c r="AF86" s="6">
        <v>15</v>
      </c>
      <c r="AG86" s="6">
        <v>15</v>
      </c>
      <c r="AH86" s="59">
        <f>AH84*3</f>
        <v>4890</v>
      </c>
      <c r="AI86" s="57">
        <f>E86-AC86-AE86-AH86</f>
        <v>2136.25</v>
      </c>
      <c r="AJ86" s="17">
        <f>E86-AC86</f>
        <v>7026.25</v>
      </c>
      <c r="AK86" s="20">
        <f>ROUND(AI86/E86,2)</f>
        <v>0.24</v>
      </c>
      <c r="AL86" s="21">
        <f t="shared" si="20"/>
        <v>0.44</v>
      </c>
    </row>
    <row r="87" spans="1:38" x14ac:dyDescent="0.25">
      <c r="A87" s="27" t="s">
        <v>417</v>
      </c>
      <c r="B87" s="45" t="s">
        <v>420</v>
      </c>
      <c r="C87" s="31">
        <v>10950</v>
      </c>
      <c r="D87" s="38">
        <v>0</v>
      </c>
      <c r="E87" s="50">
        <f t="shared" si="18"/>
        <v>10950</v>
      </c>
      <c r="F87" s="24">
        <v>0.8</v>
      </c>
      <c r="G87" s="7">
        <v>62</v>
      </c>
      <c r="H87" s="7">
        <v>62</v>
      </c>
      <c r="I87" s="7">
        <v>32</v>
      </c>
      <c r="J87" s="78">
        <f t="shared" si="16"/>
        <v>123.008</v>
      </c>
      <c r="K87" s="2">
        <f t="shared" si="17"/>
        <v>24.6</v>
      </c>
      <c r="L87" s="8">
        <v>0</v>
      </c>
      <c r="M87" s="1">
        <f t="shared" si="19"/>
        <v>0</v>
      </c>
      <c r="N87" s="41">
        <v>0</v>
      </c>
      <c r="O87" s="84" t="s">
        <v>275</v>
      </c>
      <c r="P87" s="24" t="s">
        <v>562</v>
      </c>
      <c r="Q87" s="7" t="s">
        <v>557</v>
      </c>
      <c r="R87" s="7"/>
      <c r="S87" s="81">
        <v>0.09</v>
      </c>
      <c r="T87" s="7">
        <v>25</v>
      </c>
      <c r="U87" s="82"/>
      <c r="V87" s="83">
        <f>ROUNDUP(E87*S87,2)</f>
        <v>985.5</v>
      </c>
      <c r="W87" s="83">
        <f>ROUNDUP(E87*0.015,2)</f>
        <v>164.25</v>
      </c>
      <c r="X87" s="82">
        <f>MAX(MIN(SUMIFS(Логистика!$C$2:$C$38,Логистика!$A$2:$A$38,"&lt;="&amp;K87,Логистика!$B$2:$B$38,"&gt;="&amp;K87)*E87,SUMIFS(Логистика!$E$2:$E$38,Логистика!$A$2:$A$38,"&lt;="&amp;K87,Логистика!$B$2:$B$38,"&gt;="&amp;K87)),SUMIFS(Логистика!$D$2:$D$38,Логистика!$A$2:$A$38,"&lt;="&amp;K87,Логистика!$B$2:$B$38,"&gt;="&amp;K87))</f>
        <v>700</v>
      </c>
      <c r="Y87" s="83">
        <f>IF(AND(E87*0.055&gt;20,E87*0.055&lt;250),ROUNDUP(E87*0.055,2),IF(E87*0.055&lt;=20,20,250))</f>
        <v>250</v>
      </c>
      <c r="Z87" s="83">
        <f>ROUND(M87*0.05,2)</f>
        <v>0</v>
      </c>
      <c r="AA87" s="83">
        <f>IF(N87=0,0,IF(ROUND(E87*N87,2)&gt;5,ROUND(E87*N87,2),5))</f>
        <v>0</v>
      </c>
      <c r="AB87" s="83">
        <f>IF(O87="Да",ROUND(E87*0.1111,2),0)</f>
        <v>0</v>
      </c>
      <c r="AC87" s="53">
        <f>V87+W87+T87+X87+Y87+Z87+AA87+AB87</f>
        <v>2124.75</v>
      </c>
      <c r="AD87" s="8">
        <v>0</v>
      </c>
      <c r="AE87" s="36">
        <f>ROUND(E87*AD87,2)</f>
        <v>0</v>
      </c>
      <c r="AF87" s="6">
        <v>15</v>
      </c>
      <c r="AG87" s="6">
        <v>15</v>
      </c>
      <c r="AH87" s="59">
        <f>AH84*4</f>
        <v>6520</v>
      </c>
      <c r="AI87" s="57">
        <f>E87-AC87-AE87-AH87</f>
        <v>2305.25</v>
      </c>
      <c r="AJ87" s="17">
        <f>E87-AC87</f>
        <v>8825.25</v>
      </c>
      <c r="AK87" s="20">
        <f>ROUND(AI87/E87,2)</f>
        <v>0.21</v>
      </c>
      <c r="AL87" s="21">
        <f t="shared" si="20"/>
        <v>0.35</v>
      </c>
    </row>
    <row r="88" spans="1:38" x14ac:dyDescent="0.25">
      <c r="A88" s="27"/>
      <c r="B88" s="45"/>
      <c r="C88" s="31"/>
      <c r="D88" s="38">
        <v>0</v>
      </c>
      <c r="E88" s="50">
        <f t="shared" si="18"/>
        <v>0</v>
      </c>
      <c r="F88" s="24"/>
      <c r="G88" s="7">
        <v>0</v>
      </c>
      <c r="H88" s="7">
        <v>0</v>
      </c>
      <c r="I88" s="7">
        <v>0</v>
      </c>
      <c r="J88" s="78">
        <f t="shared" si="16"/>
        <v>0</v>
      </c>
      <c r="K88" s="2">
        <f t="shared" si="17"/>
        <v>0</v>
      </c>
      <c r="L88" s="8">
        <v>0</v>
      </c>
      <c r="M88" s="1">
        <f t="shared" si="19"/>
        <v>0</v>
      </c>
      <c r="N88" s="41">
        <v>0</v>
      </c>
      <c r="O88" s="84" t="s">
        <v>275</v>
      </c>
      <c r="P88" s="24" t="s">
        <v>562</v>
      </c>
      <c r="Q88" s="7" t="s">
        <v>557</v>
      </c>
      <c r="R88" s="7"/>
      <c r="S88" s="81">
        <v>0.09</v>
      </c>
      <c r="T88" s="7">
        <v>25</v>
      </c>
      <c r="U88" s="82"/>
      <c r="V88" s="83">
        <f>ROUNDUP(E88*S88,2)</f>
        <v>0</v>
      </c>
      <c r="W88" s="83">
        <f>ROUNDUP(E88*0.015,2)</f>
        <v>0</v>
      </c>
      <c r="X88" s="82">
        <f>MAX(MIN(SUMIFS(Логистика!$C$2:$C$38,Логистика!$A$2:$A$38,"&lt;="&amp;K88,Логистика!$B$2:$B$38,"&gt;="&amp;K88)*E88,SUMIFS(Логистика!$E$2:$E$38,Логистика!$A$2:$A$38,"&lt;="&amp;K88,Логистика!$B$2:$B$38,"&gt;="&amp;K88)),SUMIFS(Логистика!$D$2:$D$38,Логистика!$A$2:$A$38,"&lt;="&amp;K88,Логистика!$B$2:$B$38,"&gt;="&amp;K88))</f>
        <v>0</v>
      </c>
      <c r="Y88" s="83">
        <f>IF(AND(E88*0.055&gt;20,E88*0.055&lt;250),ROUNDUP(E88*0.055,2),IF(E88*0.055&lt;=20,20,250))</f>
        <v>20</v>
      </c>
      <c r="Z88" s="83">
        <f>ROUND(M88*0.05,2)</f>
        <v>0</v>
      </c>
      <c r="AA88" s="83">
        <f>IF(N88=0,0,IF(ROUND(E88*N88,2)&gt;5,ROUND(E88*N88,2),5))</f>
        <v>0</v>
      </c>
      <c r="AB88" s="83">
        <f>IF(O88="Да",ROUND(E88*0.1111,2),0)</f>
        <v>0</v>
      </c>
      <c r="AC88" s="53">
        <f>V88+W88+T88+X88+Y88+Z88+AA88+AB88</f>
        <v>45</v>
      </c>
      <c r="AD88" s="8">
        <v>0</v>
      </c>
      <c r="AE88" s="36">
        <f>ROUND(E88*AD88,2)</f>
        <v>0</v>
      </c>
      <c r="AF88" s="6">
        <v>15</v>
      </c>
      <c r="AG88" s="6">
        <v>15</v>
      </c>
      <c r="AH88" s="5"/>
      <c r="AI88" s="57">
        <f>E88-AC88-AE88-AH88</f>
        <v>-45</v>
      </c>
      <c r="AJ88" s="17">
        <f>E88-AC88</f>
        <v>-45</v>
      </c>
      <c r="AK88" s="20" t="e">
        <f>ROUND(AI88/E88,2)</f>
        <v>#DIV/0!</v>
      </c>
      <c r="AL88" s="21" t="e">
        <f t="shared" si="20"/>
        <v>#DIV/0!</v>
      </c>
    </row>
    <row r="89" spans="1:38" x14ac:dyDescent="0.25">
      <c r="A89" s="27"/>
      <c r="B89" s="45"/>
      <c r="C89" s="31"/>
      <c r="D89" s="38">
        <v>0</v>
      </c>
      <c r="E89" s="50">
        <f t="shared" si="18"/>
        <v>0</v>
      </c>
      <c r="F89" s="24"/>
      <c r="G89" s="7">
        <v>0</v>
      </c>
      <c r="H89" s="7">
        <v>0</v>
      </c>
      <c r="I89" s="7">
        <v>0</v>
      </c>
      <c r="J89" s="78">
        <f t="shared" si="16"/>
        <v>0</v>
      </c>
      <c r="K89" s="2">
        <f t="shared" si="17"/>
        <v>0</v>
      </c>
      <c r="L89" s="8">
        <v>0</v>
      </c>
      <c r="M89" s="1">
        <f t="shared" si="19"/>
        <v>0</v>
      </c>
      <c r="N89" s="41">
        <v>0</v>
      </c>
      <c r="O89" s="84" t="s">
        <v>275</v>
      </c>
      <c r="P89" s="24" t="s">
        <v>562</v>
      </c>
      <c r="Q89" s="7" t="s">
        <v>557</v>
      </c>
      <c r="R89" s="7"/>
      <c r="S89" s="81">
        <v>0.09</v>
      </c>
      <c r="T89" s="7">
        <v>25</v>
      </c>
      <c r="U89" s="82"/>
      <c r="V89" s="83">
        <f>ROUNDUP(E89*S89,2)</f>
        <v>0</v>
      </c>
      <c r="W89" s="83">
        <f>ROUNDUP(E89*0.015,2)</f>
        <v>0</v>
      </c>
      <c r="X89" s="82">
        <f>MAX(MIN(SUMIFS(Логистика!$C$2:$C$38,Логистика!$A$2:$A$38,"&lt;="&amp;K89,Логистика!$B$2:$B$38,"&gt;="&amp;K89)*E89,SUMIFS(Логистика!$E$2:$E$38,Логистика!$A$2:$A$38,"&lt;="&amp;K89,Логистика!$B$2:$B$38,"&gt;="&amp;K89)),SUMIFS(Логистика!$D$2:$D$38,Логистика!$A$2:$A$38,"&lt;="&amp;K89,Логистика!$B$2:$B$38,"&gt;="&amp;K89))</f>
        <v>0</v>
      </c>
      <c r="Y89" s="83">
        <f>IF(AND(E89*0.055&gt;20,E89*0.055&lt;250),ROUNDUP(E89*0.055,2),IF(E89*0.055&lt;=20,20,250))</f>
        <v>20</v>
      </c>
      <c r="Z89" s="83">
        <f>ROUND(M89*0.05,2)</f>
        <v>0</v>
      </c>
      <c r="AA89" s="83">
        <f>IF(N89=0,0,IF(ROUND(E89*N89,2)&gt;5,ROUND(E89*N89,2),5))</f>
        <v>0</v>
      </c>
      <c r="AB89" s="83">
        <f>IF(O89="Да",ROUND(E89*0.1111,2),0)</f>
        <v>0</v>
      </c>
      <c r="AC89" s="53">
        <f>V89+W89+T89+X89+Y89+Z89+AA89+AB89</f>
        <v>45</v>
      </c>
      <c r="AD89" s="8">
        <v>0</v>
      </c>
      <c r="AE89" s="36">
        <f>ROUND(E89*AD89,2)</f>
        <v>0</v>
      </c>
      <c r="AF89" s="6">
        <v>15</v>
      </c>
      <c r="AG89" s="6">
        <v>15</v>
      </c>
      <c r="AH89" s="5"/>
      <c r="AI89" s="57">
        <f>E89-AC89-AE89-AH89</f>
        <v>-45</v>
      </c>
      <c r="AJ89" s="17">
        <f>E89-AC89</f>
        <v>-45</v>
      </c>
      <c r="AK89" s="20" t="e">
        <f>ROUND(AI89/E89,2)</f>
        <v>#DIV/0!</v>
      </c>
      <c r="AL89" s="21" t="e">
        <f t="shared" si="20"/>
        <v>#DIV/0!</v>
      </c>
    </row>
    <row r="90" spans="1:38" x14ac:dyDescent="0.25">
      <c r="A90" s="27"/>
      <c r="B90" s="45"/>
      <c r="C90" s="31"/>
      <c r="D90" s="38">
        <v>0</v>
      </c>
      <c r="E90" s="50">
        <f t="shared" si="18"/>
        <v>0</v>
      </c>
      <c r="F90" s="24"/>
      <c r="G90" s="7">
        <v>0</v>
      </c>
      <c r="H90" s="7">
        <v>0</v>
      </c>
      <c r="I90" s="7">
        <v>0</v>
      </c>
      <c r="J90" s="78">
        <f t="shared" si="16"/>
        <v>0</v>
      </c>
      <c r="K90" s="2">
        <f t="shared" si="17"/>
        <v>0</v>
      </c>
      <c r="L90" s="8">
        <v>0</v>
      </c>
      <c r="M90" s="1">
        <f t="shared" si="19"/>
        <v>0</v>
      </c>
      <c r="N90" s="41">
        <v>0</v>
      </c>
      <c r="O90" s="84" t="s">
        <v>275</v>
      </c>
      <c r="P90" s="24" t="s">
        <v>562</v>
      </c>
      <c r="Q90" s="7" t="s">
        <v>557</v>
      </c>
      <c r="R90" s="7"/>
      <c r="S90" s="81">
        <v>0.09</v>
      </c>
      <c r="T90" s="7">
        <v>25</v>
      </c>
      <c r="U90" s="82"/>
      <c r="V90" s="83">
        <f>ROUNDUP(E90*S90,2)</f>
        <v>0</v>
      </c>
      <c r="W90" s="83">
        <f>ROUNDUP(E90*0.015,2)</f>
        <v>0</v>
      </c>
      <c r="X90" s="82">
        <f>MAX(MIN(SUMIFS(Логистика!$C$2:$C$38,Логистика!$A$2:$A$38,"&lt;="&amp;K90,Логистика!$B$2:$B$38,"&gt;="&amp;K90)*E90,SUMIFS(Логистика!$E$2:$E$38,Логистика!$A$2:$A$38,"&lt;="&amp;K90,Логистика!$B$2:$B$38,"&gt;="&amp;K90)),SUMIFS(Логистика!$D$2:$D$38,Логистика!$A$2:$A$38,"&lt;="&amp;K90,Логистика!$B$2:$B$38,"&gt;="&amp;K90))</f>
        <v>0</v>
      </c>
      <c r="Y90" s="83">
        <f>IF(AND(E90*0.055&gt;20,E90*0.055&lt;250),ROUNDUP(E90*0.055,2),IF(E90*0.055&lt;=20,20,250))</f>
        <v>20</v>
      </c>
      <c r="Z90" s="83">
        <f>ROUND(M90*0.05,2)</f>
        <v>0</v>
      </c>
      <c r="AA90" s="83">
        <f>IF(N90=0,0,IF(ROUND(E90*N90,2)&gt;5,ROUND(E90*N90,2),5))</f>
        <v>0</v>
      </c>
      <c r="AB90" s="83">
        <f>IF(O90="Да",ROUND(E90*0.1111,2),0)</f>
        <v>0</v>
      </c>
      <c r="AC90" s="53">
        <f>V90+W90+T90+X90+Y90+Z90+AA90+AB90</f>
        <v>45</v>
      </c>
      <c r="AD90" s="8">
        <v>0</v>
      </c>
      <c r="AE90" s="36">
        <f>ROUND(E90*AD90,2)</f>
        <v>0</v>
      </c>
      <c r="AF90" s="6">
        <v>15</v>
      </c>
      <c r="AG90" s="6">
        <v>15</v>
      </c>
      <c r="AH90" s="5"/>
      <c r="AI90" s="57">
        <f>E90-AC90-AE90-AH90</f>
        <v>-45</v>
      </c>
      <c r="AJ90" s="17">
        <f>E90-AC90</f>
        <v>-45</v>
      </c>
      <c r="AK90" s="20" t="e">
        <f>ROUND(AI90/E90,2)</f>
        <v>#DIV/0!</v>
      </c>
      <c r="AL90" s="21" t="e">
        <f t="shared" si="20"/>
        <v>#DIV/0!</v>
      </c>
    </row>
    <row r="91" spans="1:38" x14ac:dyDescent="0.25">
      <c r="A91" s="27"/>
      <c r="B91" s="45"/>
      <c r="C91" s="31"/>
      <c r="D91" s="38">
        <v>0</v>
      </c>
      <c r="E91" s="50">
        <f t="shared" si="18"/>
        <v>0</v>
      </c>
      <c r="F91" s="24"/>
      <c r="G91" s="7">
        <v>0</v>
      </c>
      <c r="H91" s="7">
        <v>0</v>
      </c>
      <c r="I91" s="7">
        <v>0</v>
      </c>
      <c r="J91" s="78">
        <f t="shared" si="16"/>
        <v>0</v>
      </c>
      <c r="K91" s="2">
        <f t="shared" si="17"/>
        <v>0</v>
      </c>
      <c r="L91" s="8">
        <v>0</v>
      </c>
      <c r="M91" s="1">
        <f t="shared" si="19"/>
        <v>0</v>
      </c>
      <c r="N91" s="41">
        <v>0</v>
      </c>
      <c r="O91" s="84" t="s">
        <v>275</v>
      </c>
      <c r="P91" s="24" t="s">
        <v>562</v>
      </c>
      <c r="Q91" s="7" t="s">
        <v>557</v>
      </c>
      <c r="R91" s="7"/>
      <c r="S91" s="81">
        <v>0.09</v>
      </c>
      <c r="T91" s="7">
        <v>25</v>
      </c>
      <c r="U91" s="82"/>
      <c r="V91" s="83">
        <f>ROUNDUP(E91*S91,2)</f>
        <v>0</v>
      </c>
      <c r="W91" s="83">
        <f>ROUNDUP(E91*0.015,2)</f>
        <v>0</v>
      </c>
      <c r="X91" s="82">
        <f>MAX(MIN(SUMIFS(Логистика!$C$2:$C$38,Логистика!$A$2:$A$38,"&lt;="&amp;K91,Логистика!$B$2:$B$38,"&gt;="&amp;K91)*E91,SUMIFS(Логистика!$E$2:$E$38,Логистика!$A$2:$A$38,"&lt;="&amp;K91,Логистика!$B$2:$B$38,"&gt;="&amp;K91)),SUMIFS(Логистика!$D$2:$D$38,Логистика!$A$2:$A$38,"&lt;="&amp;K91,Логистика!$B$2:$B$38,"&gt;="&amp;K91))</f>
        <v>0</v>
      </c>
      <c r="Y91" s="83">
        <f>IF(AND(E91*0.055&gt;20,E91*0.055&lt;250),ROUNDUP(E91*0.055,2),IF(E91*0.055&lt;=20,20,250))</f>
        <v>20</v>
      </c>
      <c r="Z91" s="83">
        <f>ROUND(M91*0.05,2)</f>
        <v>0</v>
      </c>
      <c r="AA91" s="83">
        <f>IF(N91=0,0,IF(ROUND(E91*N91,2)&gt;5,ROUND(E91*N91,2),5))</f>
        <v>0</v>
      </c>
      <c r="AB91" s="83">
        <f>IF(O91="Да",ROUND(E91*0.1111,2),0)</f>
        <v>0</v>
      </c>
      <c r="AC91" s="53">
        <f>V91+W91+T91+X91+Y91+Z91+AA91+AB91</f>
        <v>45</v>
      </c>
      <c r="AD91" s="8">
        <v>0</v>
      </c>
      <c r="AE91" s="36">
        <f>ROUND(E91*AD91,2)</f>
        <v>0</v>
      </c>
      <c r="AF91" s="6">
        <v>15</v>
      </c>
      <c r="AG91" s="6">
        <v>15</v>
      </c>
      <c r="AH91" s="5"/>
      <c r="AI91" s="57">
        <f>E91-AC91-AE91-AH91</f>
        <v>-45</v>
      </c>
      <c r="AJ91" s="17">
        <f>E91-AC91</f>
        <v>-45</v>
      </c>
      <c r="AK91" s="20" t="e">
        <f>ROUND(AI91/E91,2)</f>
        <v>#DIV/0!</v>
      </c>
      <c r="AL91" s="21" t="e">
        <f t="shared" si="20"/>
        <v>#DIV/0!</v>
      </c>
    </row>
    <row r="92" spans="1:38" x14ac:dyDescent="0.25">
      <c r="A92" s="27"/>
      <c r="B92" s="45"/>
      <c r="C92" s="31"/>
      <c r="D92" s="38">
        <v>0</v>
      </c>
      <c r="E92" s="50">
        <f t="shared" si="18"/>
        <v>0</v>
      </c>
      <c r="F92" s="24"/>
      <c r="G92" s="7">
        <v>0</v>
      </c>
      <c r="H92" s="7">
        <v>0</v>
      </c>
      <c r="I92" s="7">
        <v>0</v>
      </c>
      <c r="J92" s="78">
        <f t="shared" si="16"/>
        <v>0</v>
      </c>
      <c r="K92" s="2">
        <f t="shared" si="17"/>
        <v>0</v>
      </c>
      <c r="L92" s="8">
        <v>0</v>
      </c>
      <c r="M92" s="1">
        <f t="shared" si="19"/>
        <v>0</v>
      </c>
      <c r="N92" s="41">
        <v>0</v>
      </c>
      <c r="O92" s="84" t="s">
        <v>275</v>
      </c>
      <c r="P92" s="24" t="s">
        <v>562</v>
      </c>
      <c r="Q92" s="7" t="s">
        <v>557</v>
      </c>
      <c r="R92" s="7"/>
      <c r="S92" s="81">
        <v>0.09</v>
      </c>
      <c r="T92" s="7">
        <v>25</v>
      </c>
      <c r="U92" s="82"/>
      <c r="V92" s="83">
        <f>ROUNDUP(E92*S92,2)</f>
        <v>0</v>
      </c>
      <c r="W92" s="83">
        <f>ROUNDUP(E92*0.015,2)</f>
        <v>0</v>
      </c>
      <c r="X92" s="82">
        <f>MAX(MIN(SUMIFS(Логистика!$C$2:$C$38,Логистика!$A$2:$A$38,"&lt;="&amp;K92,Логистика!$B$2:$B$38,"&gt;="&amp;K92)*E92,SUMIFS(Логистика!$E$2:$E$38,Логистика!$A$2:$A$38,"&lt;="&amp;K92,Логистика!$B$2:$B$38,"&gt;="&amp;K92)),SUMIFS(Логистика!$D$2:$D$38,Логистика!$A$2:$A$38,"&lt;="&amp;K92,Логистика!$B$2:$B$38,"&gt;="&amp;K92))</f>
        <v>0</v>
      </c>
      <c r="Y92" s="83">
        <f>IF(AND(E92*0.055&gt;20,E92*0.055&lt;250),ROUNDUP(E92*0.055,2),IF(E92*0.055&lt;=20,20,250))</f>
        <v>20</v>
      </c>
      <c r="Z92" s="83">
        <f>ROUND(M92*0.05,2)</f>
        <v>0</v>
      </c>
      <c r="AA92" s="83">
        <f>IF(N92=0,0,IF(ROUND(E92*N92,2)&gt;5,ROUND(E92*N92,2),5))</f>
        <v>0</v>
      </c>
      <c r="AB92" s="83">
        <f>IF(O92="Да",ROUND(E92*0.1111,2),0)</f>
        <v>0</v>
      </c>
      <c r="AC92" s="53">
        <f>V92+W92+T92+X92+Y92+Z92+AA92+AB92</f>
        <v>45</v>
      </c>
      <c r="AD92" s="8">
        <v>0</v>
      </c>
      <c r="AE92" s="36">
        <f>ROUND(E92*AD92,2)</f>
        <v>0</v>
      </c>
      <c r="AF92" s="6">
        <v>15</v>
      </c>
      <c r="AG92" s="6">
        <v>15</v>
      </c>
      <c r="AH92" s="5"/>
      <c r="AI92" s="57">
        <f>E92-AC92-AE92-AH92</f>
        <v>-45</v>
      </c>
      <c r="AJ92" s="17">
        <f>E92-AC92</f>
        <v>-45</v>
      </c>
      <c r="AK92" s="20" t="e">
        <f>ROUND(AI92/E92,2)</f>
        <v>#DIV/0!</v>
      </c>
      <c r="AL92" s="21" t="e">
        <f t="shared" si="20"/>
        <v>#DIV/0!</v>
      </c>
    </row>
    <row r="93" spans="1:38" x14ac:dyDescent="0.25">
      <c r="A93" s="27"/>
      <c r="B93" s="45"/>
      <c r="C93" s="31"/>
      <c r="D93" s="38">
        <v>0</v>
      </c>
      <c r="E93" s="50">
        <f t="shared" si="18"/>
        <v>0</v>
      </c>
      <c r="F93" s="24"/>
      <c r="G93" s="7">
        <v>0</v>
      </c>
      <c r="H93" s="7">
        <v>0</v>
      </c>
      <c r="I93" s="7">
        <v>0</v>
      </c>
      <c r="J93" s="78">
        <f t="shared" si="16"/>
        <v>0</v>
      </c>
      <c r="K93" s="2">
        <f t="shared" si="17"/>
        <v>0</v>
      </c>
      <c r="L93" s="8">
        <v>0</v>
      </c>
      <c r="M93" s="1">
        <f t="shared" si="19"/>
        <v>0</v>
      </c>
      <c r="N93" s="41">
        <v>0</v>
      </c>
      <c r="O93" s="84" t="s">
        <v>275</v>
      </c>
      <c r="P93" s="24" t="s">
        <v>562</v>
      </c>
      <c r="Q93" s="7" t="s">
        <v>557</v>
      </c>
      <c r="R93" s="7"/>
      <c r="S93" s="81">
        <v>0.09</v>
      </c>
      <c r="T93" s="7">
        <v>25</v>
      </c>
      <c r="U93" s="82"/>
      <c r="V93" s="83">
        <f>ROUNDUP(E93*S93,2)</f>
        <v>0</v>
      </c>
      <c r="W93" s="83">
        <f>ROUNDUP(E93*0.015,2)</f>
        <v>0</v>
      </c>
      <c r="X93" s="82">
        <f>MAX(MIN(SUMIFS(Логистика!$C$2:$C$38,Логистика!$A$2:$A$38,"&lt;="&amp;K93,Логистика!$B$2:$B$38,"&gt;="&amp;K93)*E93,SUMIFS(Логистика!$E$2:$E$38,Логистика!$A$2:$A$38,"&lt;="&amp;K93,Логистика!$B$2:$B$38,"&gt;="&amp;K93)),SUMIFS(Логистика!$D$2:$D$38,Логистика!$A$2:$A$38,"&lt;="&amp;K93,Логистика!$B$2:$B$38,"&gt;="&amp;K93))</f>
        <v>0</v>
      </c>
      <c r="Y93" s="83">
        <f>IF(AND(E93*0.055&gt;20,E93*0.055&lt;250),ROUNDUP(E93*0.055,2),IF(E93*0.055&lt;=20,20,250))</f>
        <v>20</v>
      </c>
      <c r="Z93" s="83">
        <f>ROUND(M93*0.05,2)</f>
        <v>0</v>
      </c>
      <c r="AA93" s="83">
        <f>IF(N93=0,0,IF(ROUND(E93*N93,2)&gt;5,ROUND(E93*N93,2),5))</f>
        <v>0</v>
      </c>
      <c r="AB93" s="83">
        <f>IF(O93="Да",ROUND(E93*0.1111,2),0)</f>
        <v>0</v>
      </c>
      <c r="AC93" s="53">
        <f>V93+W93+T93+X93+Y93+Z93+AA93+AB93</f>
        <v>45</v>
      </c>
      <c r="AD93" s="8">
        <v>0</v>
      </c>
      <c r="AE93" s="36">
        <f>ROUND(E93*AD93,2)</f>
        <v>0</v>
      </c>
      <c r="AF93" s="6">
        <v>15</v>
      </c>
      <c r="AG93" s="6">
        <v>15</v>
      </c>
      <c r="AH93" s="5"/>
      <c r="AI93" s="57">
        <f>E93-AC93-AE93-AH93</f>
        <v>-45</v>
      </c>
      <c r="AJ93" s="17">
        <f>E93-AC93</f>
        <v>-45</v>
      </c>
      <c r="AK93" s="20" t="e">
        <f>ROUND(AI93/E93,2)</f>
        <v>#DIV/0!</v>
      </c>
      <c r="AL93" s="21" t="e">
        <f t="shared" si="20"/>
        <v>#DIV/0!</v>
      </c>
    </row>
    <row r="94" spans="1:38" x14ac:dyDescent="0.25">
      <c r="A94" s="27"/>
      <c r="B94" s="45"/>
      <c r="C94" s="31"/>
      <c r="D94" s="38">
        <v>0</v>
      </c>
      <c r="E94" s="50">
        <f t="shared" si="15"/>
        <v>0</v>
      </c>
      <c r="F94" s="24"/>
      <c r="G94" s="7">
        <v>0</v>
      </c>
      <c r="H94" s="7">
        <v>0</v>
      </c>
      <c r="I94" s="7">
        <v>0</v>
      </c>
      <c r="J94" s="78">
        <f t="shared" si="16"/>
        <v>0</v>
      </c>
      <c r="K94" s="2">
        <f t="shared" si="17"/>
        <v>0</v>
      </c>
      <c r="L94" s="8">
        <v>0</v>
      </c>
      <c r="M94" s="1">
        <f t="shared" si="19"/>
        <v>0</v>
      </c>
      <c r="N94" s="41">
        <v>0</v>
      </c>
      <c r="O94" s="84" t="s">
        <v>275</v>
      </c>
      <c r="P94" s="24" t="s">
        <v>562</v>
      </c>
      <c r="Q94" s="7" t="s">
        <v>557</v>
      </c>
      <c r="R94" s="7"/>
      <c r="S94" s="81">
        <v>0.09</v>
      </c>
      <c r="T94" s="7">
        <v>25</v>
      </c>
      <c r="U94" s="82"/>
      <c r="V94" s="83">
        <f>ROUNDUP(E94*S94,2)</f>
        <v>0</v>
      </c>
      <c r="W94" s="83">
        <f>ROUNDUP(E94*0.015,2)</f>
        <v>0</v>
      </c>
      <c r="X94" s="82">
        <f>MAX(MIN(SUMIFS(Логистика!$C$2:$C$38,Логистика!$A$2:$A$38,"&lt;="&amp;K94,Логистика!$B$2:$B$38,"&gt;="&amp;K94)*E94,SUMIFS(Логистика!$E$2:$E$38,Логистика!$A$2:$A$38,"&lt;="&amp;K94,Логистика!$B$2:$B$38,"&gt;="&amp;K94)),SUMIFS(Логистика!$D$2:$D$38,Логистика!$A$2:$A$38,"&lt;="&amp;K94,Логистика!$B$2:$B$38,"&gt;="&amp;K94))</f>
        <v>0</v>
      </c>
      <c r="Y94" s="83">
        <f>IF(AND(E94*0.055&gt;20,E94*0.055&lt;250),ROUNDUP(E94*0.055,2),IF(E94*0.055&lt;=20,20,250))</f>
        <v>20</v>
      </c>
      <c r="Z94" s="83">
        <f>ROUND(M94*0.05,2)</f>
        <v>0</v>
      </c>
      <c r="AA94" s="83">
        <f>IF(N94=0,0,IF(ROUND(E94*N94,2)&gt;5,ROUND(E94*N94,2),5))</f>
        <v>0</v>
      </c>
      <c r="AB94" s="83">
        <f>IF(O94="Да",ROUND(E94*0.1111,2),0)</f>
        <v>0</v>
      </c>
      <c r="AC94" s="53">
        <f>V94+W94+T94+X94+Y94+Z94+AA94+AB94</f>
        <v>45</v>
      </c>
      <c r="AD94" s="8">
        <v>0</v>
      </c>
      <c r="AE94" s="36">
        <f>ROUND(E94*AD94,2)</f>
        <v>0</v>
      </c>
      <c r="AF94" s="6">
        <v>15</v>
      </c>
      <c r="AG94" s="6">
        <v>15</v>
      </c>
      <c r="AH94" s="5"/>
      <c r="AI94" s="57">
        <f>E94-AC94-AE94-AH94</f>
        <v>-45</v>
      </c>
      <c r="AJ94" s="17">
        <f>E94-AC94</f>
        <v>-45</v>
      </c>
      <c r="AK94" s="20" t="e">
        <f>ROUND(AI94/E94,2)</f>
        <v>#DIV/0!</v>
      </c>
      <c r="AL94" s="21" t="e">
        <f t="shared" si="20"/>
        <v>#DIV/0!</v>
      </c>
    </row>
    <row r="95" spans="1:38" x14ac:dyDescent="0.25">
      <c r="A95" s="27" t="s">
        <v>300</v>
      </c>
      <c r="B95" s="45" t="s">
        <v>299</v>
      </c>
      <c r="C95" s="31"/>
      <c r="D95" s="38">
        <v>0</v>
      </c>
      <c r="E95" s="50">
        <f t="shared" si="15"/>
        <v>0</v>
      </c>
      <c r="F95" s="24">
        <v>0.1</v>
      </c>
      <c r="G95" s="7">
        <v>17</v>
      </c>
      <c r="H95" s="7">
        <v>17</v>
      </c>
      <c r="I95" s="7">
        <v>5</v>
      </c>
      <c r="J95" s="78">
        <f t="shared" si="16"/>
        <v>1.4450000000000001</v>
      </c>
      <c r="K95" s="2">
        <f t="shared" si="17"/>
        <v>0.3</v>
      </c>
      <c r="L95" s="8">
        <v>0</v>
      </c>
      <c r="M95" s="1">
        <f t="shared" si="13"/>
        <v>0</v>
      </c>
      <c r="N95" s="41">
        <v>0</v>
      </c>
      <c r="O95" s="84" t="s">
        <v>275</v>
      </c>
      <c r="P95" s="24" t="s">
        <v>562</v>
      </c>
      <c r="Q95" s="7" t="s">
        <v>557</v>
      </c>
      <c r="R95" s="7"/>
      <c r="S95" s="81">
        <v>0.09</v>
      </c>
      <c r="T95" s="7">
        <v>25</v>
      </c>
      <c r="U95" s="82"/>
      <c r="V95" s="83">
        <f>ROUNDUP(E95*S95,2)</f>
        <v>0</v>
      </c>
      <c r="W95" s="83">
        <f>ROUNDUP(E95*0.015,2)</f>
        <v>0</v>
      </c>
      <c r="X95" s="82">
        <f>MAX(MIN(SUMIFS(Логистика!$C$2:$C$38,Логистика!$A$2:$A$38,"&lt;="&amp;K95,Логистика!$B$2:$B$38,"&gt;="&amp;K95)*E95,SUMIFS(Логистика!$E$2:$E$38,Логистика!$A$2:$A$38,"&lt;="&amp;K95,Логистика!$B$2:$B$38,"&gt;="&amp;K95)),SUMIFS(Логистика!$D$2:$D$38,Логистика!$A$2:$A$38,"&lt;="&amp;K95,Логистика!$B$2:$B$38,"&gt;="&amp;K95))</f>
        <v>42</v>
      </c>
      <c r="Y95" s="83">
        <f>IF(AND(E95*0.055&gt;20,E95*0.055&lt;250),ROUNDUP(E95*0.055,2),IF(E95*0.055&lt;=20,20,250))</f>
        <v>20</v>
      </c>
      <c r="Z95" s="83">
        <f>ROUND(M95*0.05,2)</f>
        <v>0</v>
      </c>
      <c r="AA95" s="83">
        <f>IF(N95=0,0,IF(ROUND(E95*N95,2)&gt;5,ROUND(E95*N95,2),5))</f>
        <v>0</v>
      </c>
      <c r="AB95" s="83">
        <f>IF(O95="Да",ROUND(E95*0.1111,2),0)</f>
        <v>0</v>
      </c>
      <c r="AC95" s="53">
        <f>V95+W95+T95+X95+Y95+Z95+AA95+AB95</f>
        <v>87</v>
      </c>
      <c r="AD95" s="8">
        <v>0</v>
      </c>
      <c r="AE95" s="36">
        <f>ROUND(E95*AD95,2)</f>
        <v>0</v>
      </c>
      <c r="AF95" s="6">
        <v>15</v>
      </c>
      <c r="AG95" s="6">
        <v>15</v>
      </c>
      <c r="AH95" s="5"/>
      <c r="AI95" s="57">
        <f>E95-AC95-AE95-AH95</f>
        <v>-87</v>
      </c>
      <c r="AJ95" s="17">
        <f>E95-AC95</f>
        <v>-87</v>
      </c>
      <c r="AK95" s="20" t="e">
        <f>ROUND(AI95/E95,2)</f>
        <v>#DIV/0!</v>
      </c>
      <c r="AL95" s="21" t="e">
        <f t="shared" si="14"/>
        <v>#DIV/0!</v>
      </c>
    </row>
    <row r="96" spans="1:38" x14ac:dyDescent="0.25">
      <c r="A96" s="27" t="s">
        <v>301</v>
      </c>
      <c r="B96" s="45" t="s">
        <v>302</v>
      </c>
      <c r="C96" s="31"/>
      <c r="D96" s="38">
        <v>0</v>
      </c>
      <c r="E96" s="50">
        <f t="shared" si="15"/>
        <v>0</v>
      </c>
      <c r="F96" s="24">
        <v>0.2</v>
      </c>
      <c r="G96" s="7">
        <v>17</v>
      </c>
      <c r="H96" s="7">
        <v>17</v>
      </c>
      <c r="I96" s="7">
        <v>8</v>
      </c>
      <c r="J96" s="78">
        <f t="shared" si="16"/>
        <v>2.3119999999999998</v>
      </c>
      <c r="K96" s="2">
        <f t="shared" si="17"/>
        <v>0.5</v>
      </c>
      <c r="L96" s="8">
        <v>0</v>
      </c>
      <c r="M96" s="1">
        <f t="shared" si="13"/>
        <v>0</v>
      </c>
      <c r="N96" s="41">
        <v>0</v>
      </c>
      <c r="O96" s="84" t="s">
        <v>275</v>
      </c>
      <c r="P96" s="24" t="s">
        <v>562</v>
      </c>
      <c r="Q96" s="7" t="s">
        <v>557</v>
      </c>
      <c r="R96" s="7"/>
      <c r="S96" s="81">
        <v>0.09</v>
      </c>
      <c r="T96" s="7">
        <v>25</v>
      </c>
      <c r="U96" s="82"/>
      <c r="V96" s="83">
        <f>ROUNDUP(E96*S96,2)</f>
        <v>0</v>
      </c>
      <c r="W96" s="83">
        <f>ROUNDUP(E96*0.015,2)</f>
        <v>0</v>
      </c>
      <c r="X96" s="82">
        <f>MAX(MIN(SUMIFS(Логистика!$C$2:$C$38,Логистика!$A$2:$A$38,"&lt;="&amp;K96,Логистика!$B$2:$B$38,"&gt;="&amp;K96)*E96,SUMIFS(Логистика!$E$2:$E$38,Логистика!$A$2:$A$38,"&lt;="&amp;K96,Логистика!$B$2:$B$38,"&gt;="&amp;K96)),SUMIFS(Логистика!$D$2:$D$38,Логистика!$A$2:$A$38,"&lt;="&amp;K96,Логистика!$B$2:$B$38,"&gt;="&amp;K96))</f>
        <v>43</v>
      </c>
      <c r="Y96" s="83">
        <f>IF(AND(E96*0.055&gt;20,E96*0.055&lt;250),ROUNDUP(E96*0.055,2),IF(E96*0.055&lt;=20,20,250))</f>
        <v>20</v>
      </c>
      <c r="Z96" s="83">
        <f>ROUND(M96*0.05,2)</f>
        <v>0</v>
      </c>
      <c r="AA96" s="83">
        <f>IF(N96=0,0,IF(ROUND(E96*N96,2)&gt;5,ROUND(E96*N96,2),5))</f>
        <v>0</v>
      </c>
      <c r="AB96" s="83">
        <f>IF(O96="Да",ROUND(E96*0.1111,2),0)</f>
        <v>0</v>
      </c>
      <c r="AC96" s="53">
        <f>V96+W96+T96+X96+Y96+Z96+AA96+AB96</f>
        <v>88</v>
      </c>
      <c r="AD96" s="8">
        <v>0</v>
      </c>
      <c r="AE96" s="36">
        <f>ROUND(E96*AD96,2)</f>
        <v>0</v>
      </c>
      <c r="AF96" s="6">
        <v>15</v>
      </c>
      <c r="AG96" s="6">
        <v>15</v>
      </c>
      <c r="AH96" s="59"/>
      <c r="AI96" s="57">
        <f>E96-AC96-AE96-AH96</f>
        <v>-88</v>
      </c>
      <c r="AJ96" s="17">
        <f>E96-AC96</f>
        <v>-88</v>
      </c>
      <c r="AK96" s="20" t="e">
        <f>ROUND(AI96/E96,2)</f>
        <v>#DIV/0!</v>
      </c>
      <c r="AL96" s="21" t="e">
        <f t="shared" si="14"/>
        <v>#DIV/0!</v>
      </c>
    </row>
    <row r="97" spans="1:38" x14ac:dyDescent="0.25">
      <c r="A97" s="27" t="s">
        <v>303</v>
      </c>
      <c r="B97" s="45" t="s">
        <v>307</v>
      </c>
      <c r="C97" s="31"/>
      <c r="D97" s="38">
        <v>0</v>
      </c>
      <c r="E97" s="50">
        <f t="shared" si="15"/>
        <v>0</v>
      </c>
      <c r="F97" s="24">
        <v>0.3</v>
      </c>
      <c r="G97" s="7">
        <v>17</v>
      </c>
      <c r="H97" s="7">
        <v>17</v>
      </c>
      <c r="I97" s="7">
        <v>11</v>
      </c>
      <c r="J97" s="78">
        <f t="shared" si="16"/>
        <v>3.1789999999999998</v>
      </c>
      <c r="K97" s="2">
        <f t="shared" si="17"/>
        <v>0.6</v>
      </c>
      <c r="L97" s="8">
        <v>0</v>
      </c>
      <c r="M97" s="1">
        <f t="shared" si="13"/>
        <v>0</v>
      </c>
      <c r="N97" s="41">
        <v>0</v>
      </c>
      <c r="O97" s="84" t="s">
        <v>275</v>
      </c>
      <c r="P97" s="24" t="s">
        <v>562</v>
      </c>
      <c r="Q97" s="7" t="s">
        <v>557</v>
      </c>
      <c r="R97" s="7"/>
      <c r="S97" s="81">
        <v>0.09</v>
      </c>
      <c r="T97" s="7">
        <v>25</v>
      </c>
      <c r="U97" s="82"/>
      <c r="V97" s="83">
        <f>ROUNDUP(E97*S97,2)</f>
        <v>0</v>
      </c>
      <c r="W97" s="83">
        <f>ROUNDUP(E97*0.015,2)</f>
        <v>0</v>
      </c>
      <c r="X97" s="82">
        <f>MAX(MIN(SUMIFS(Логистика!$C$2:$C$38,Логистика!$A$2:$A$38,"&lt;="&amp;K97,Логистика!$B$2:$B$38,"&gt;="&amp;K97)*E97,SUMIFS(Логистика!$E$2:$E$38,Логистика!$A$2:$A$38,"&lt;="&amp;K97,Логистика!$B$2:$B$38,"&gt;="&amp;K97)),SUMIFS(Логистика!$D$2:$D$38,Логистика!$A$2:$A$38,"&lt;="&amp;K97,Логистика!$B$2:$B$38,"&gt;="&amp;K97))</f>
        <v>45</v>
      </c>
      <c r="Y97" s="83">
        <f>IF(AND(E97*0.055&gt;20,E97*0.055&lt;250),ROUNDUP(E97*0.055,2),IF(E97*0.055&lt;=20,20,250))</f>
        <v>20</v>
      </c>
      <c r="Z97" s="83">
        <f>ROUND(M97*0.05,2)</f>
        <v>0</v>
      </c>
      <c r="AA97" s="83">
        <f>IF(N97=0,0,IF(ROUND(E97*N97,2)&gt;5,ROUND(E97*N97,2),5))</f>
        <v>0</v>
      </c>
      <c r="AB97" s="83">
        <f>IF(O97="Да",ROUND(E97*0.1111,2),0)</f>
        <v>0</v>
      </c>
      <c r="AC97" s="53">
        <f>V97+W97+T97+X97+Y97+Z97+AA97+AB97</f>
        <v>90</v>
      </c>
      <c r="AD97" s="8">
        <v>0</v>
      </c>
      <c r="AE97" s="36">
        <f>ROUND(E97*AD97,2)</f>
        <v>0</v>
      </c>
      <c r="AF97" s="6">
        <v>15</v>
      </c>
      <c r="AG97" s="6">
        <v>15</v>
      </c>
      <c r="AH97" s="59"/>
      <c r="AI97" s="57">
        <f>E97-AC97-AE97-AH97</f>
        <v>-90</v>
      </c>
      <c r="AJ97" s="17">
        <f>E97-AC97</f>
        <v>-90</v>
      </c>
      <c r="AK97" s="20" t="e">
        <f>ROUND(AI97/E97,2)</f>
        <v>#DIV/0!</v>
      </c>
      <c r="AL97" s="21" t="e">
        <f t="shared" si="14"/>
        <v>#DIV/0!</v>
      </c>
    </row>
    <row r="98" spans="1:38" x14ac:dyDescent="0.25">
      <c r="A98" s="27" t="s">
        <v>304</v>
      </c>
      <c r="B98" s="45" t="s">
        <v>308</v>
      </c>
      <c r="C98" s="31"/>
      <c r="D98" s="38">
        <v>0</v>
      </c>
      <c r="E98" s="50">
        <f t="shared" si="15"/>
        <v>0</v>
      </c>
      <c r="F98" s="24">
        <v>0.4</v>
      </c>
      <c r="G98" s="7">
        <v>17</v>
      </c>
      <c r="H98" s="7">
        <v>17</v>
      </c>
      <c r="I98" s="7">
        <v>14.000000000000002</v>
      </c>
      <c r="J98" s="78">
        <f t="shared" si="16"/>
        <v>4.0460000000000003</v>
      </c>
      <c r="K98" s="2">
        <f t="shared" si="17"/>
        <v>0.8</v>
      </c>
      <c r="L98" s="8">
        <v>0</v>
      </c>
      <c r="M98" s="1">
        <f t="shared" si="13"/>
        <v>0</v>
      </c>
      <c r="N98" s="41">
        <v>0</v>
      </c>
      <c r="O98" s="84" t="s">
        <v>275</v>
      </c>
      <c r="P98" s="24" t="s">
        <v>562</v>
      </c>
      <c r="Q98" s="7" t="s">
        <v>557</v>
      </c>
      <c r="R98" s="7"/>
      <c r="S98" s="81">
        <v>0.09</v>
      </c>
      <c r="T98" s="7">
        <v>25</v>
      </c>
      <c r="U98" s="82"/>
      <c r="V98" s="83">
        <f>ROUNDUP(E98*S98,2)</f>
        <v>0</v>
      </c>
      <c r="W98" s="83">
        <f>ROUNDUP(E98*0.015,2)</f>
        <v>0</v>
      </c>
      <c r="X98" s="82">
        <f>MAX(MIN(SUMIFS(Логистика!$C$2:$C$38,Логистика!$A$2:$A$38,"&lt;="&amp;K98,Логистика!$B$2:$B$38,"&gt;="&amp;K98)*E98,SUMIFS(Логистика!$E$2:$E$38,Логистика!$A$2:$A$38,"&lt;="&amp;K98,Логистика!$B$2:$B$38,"&gt;="&amp;K98)),SUMIFS(Логистика!$D$2:$D$38,Логистика!$A$2:$A$38,"&lt;="&amp;K98,Логистика!$B$2:$B$38,"&gt;="&amp;K98))</f>
        <v>47</v>
      </c>
      <c r="Y98" s="83">
        <f>IF(AND(E98*0.055&gt;20,E98*0.055&lt;250),ROUNDUP(E98*0.055,2),IF(E98*0.055&lt;=20,20,250))</f>
        <v>20</v>
      </c>
      <c r="Z98" s="83">
        <f>ROUND(M98*0.05,2)</f>
        <v>0</v>
      </c>
      <c r="AA98" s="83">
        <f>IF(N98=0,0,IF(ROUND(E98*N98,2)&gt;5,ROUND(E98*N98,2),5))</f>
        <v>0</v>
      </c>
      <c r="AB98" s="83">
        <f>IF(O98="Да",ROUND(E98*0.1111,2),0)</f>
        <v>0</v>
      </c>
      <c r="AC98" s="53">
        <f>V98+W98+T98+X98+Y98+Z98+AA98+AB98</f>
        <v>92</v>
      </c>
      <c r="AD98" s="8">
        <v>0</v>
      </c>
      <c r="AE98" s="36">
        <f>ROUND(E98*AD98,2)</f>
        <v>0</v>
      </c>
      <c r="AF98" s="6">
        <v>15</v>
      </c>
      <c r="AG98" s="6">
        <v>15</v>
      </c>
      <c r="AH98" s="59"/>
      <c r="AI98" s="57">
        <f>E98-AC98-AE98-AH98</f>
        <v>-92</v>
      </c>
      <c r="AJ98" s="17">
        <f>E98-AC98</f>
        <v>-92</v>
      </c>
      <c r="AK98" s="20" t="e">
        <f>ROUND(AI98/E98,2)</f>
        <v>#DIV/0!</v>
      </c>
      <c r="AL98" s="21" t="e">
        <f t="shared" si="14"/>
        <v>#DIV/0!</v>
      </c>
    </row>
    <row r="99" spans="1:38" x14ac:dyDescent="0.25">
      <c r="A99" s="27" t="s">
        <v>305</v>
      </c>
      <c r="B99" s="45" t="s">
        <v>309</v>
      </c>
      <c r="C99" s="31"/>
      <c r="D99" s="38">
        <v>0</v>
      </c>
      <c r="E99" s="50">
        <f t="shared" si="15"/>
        <v>0</v>
      </c>
      <c r="F99" s="24">
        <v>0.5</v>
      </c>
      <c r="G99" s="7">
        <v>17</v>
      </c>
      <c r="H99" s="7">
        <v>17</v>
      </c>
      <c r="I99" s="7">
        <v>17</v>
      </c>
      <c r="J99" s="78">
        <f t="shared" si="16"/>
        <v>4.9130000000000003</v>
      </c>
      <c r="K99" s="2">
        <f t="shared" si="17"/>
        <v>1</v>
      </c>
      <c r="L99" s="8">
        <v>0</v>
      </c>
      <c r="M99" s="1">
        <f t="shared" si="13"/>
        <v>0</v>
      </c>
      <c r="N99" s="41">
        <v>0</v>
      </c>
      <c r="O99" s="84" t="s">
        <v>275</v>
      </c>
      <c r="P99" s="24" t="s">
        <v>562</v>
      </c>
      <c r="Q99" s="7" t="s">
        <v>557</v>
      </c>
      <c r="R99" s="7"/>
      <c r="S99" s="81">
        <v>0.09</v>
      </c>
      <c r="T99" s="7">
        <v>25</v>
      </c>
      <c r="U99" s="82"/>
      <c r="V99" s="83">
        <f>ROUNDUP(E99*S99,2)</f>
        <v>0</v>
      </c>
      <c r="W99" s="83">
        <f>ROUNDUP(E99*0.015,2)</f>
        <v>0</v>
      </c>
      <c r="X99" s="82">
        <f>MAX(MIN(SUMIFS(Логистика!$C$2:$C$38,Логистика!$A$2:$A$38,"&lt;="&amp;K99,Логистика!$B$2:$B$38,"&gt;="&amp;K99)*E99,SUMIFS(Логистика!$E$2:$E$38,Логистика!$A$2:$A$38,"&lt;="&amp;K99,Логистика!$B$2:$B$38,"&gt;="&amp;K99)),SUMIFS(Логистика!$D$2:$D$38,Логистика!$A$2:$A$38,"&lt;="&amp;K99,Логистика!$B$2:$B$38,"&gt;="&amp;K99))</f>
        <v>51</v>
      </c>
      <c r="Y99" s="83">
        <f>IF(AND(E99*0.055&gt;20,E99*0.055&lt;250),ROUNDUP(E99*0.055,2),IF(E99*0.055&lt;=20,20,250))</f>
        <v>20</v>
      </c>
      <c r="Z99" s="83">
        <f>ROUND(M99*0.05,2)</f>
        <v>0</v>
      </c>
      <c r="AA99" s="83">
        <f>IF(N99=0,0,IF(ROUND(E99*N99,2)&gt;5,ROUND(E99*N99,2),5))</f>
        <v>0</v>
      </c>
      <c r="AB99" s="83">
        <f>IF(O99="Да",ROUND(E99*0.1111,2),0)</f>
        <v>0</v>
      </c>
      <c r="AC99" s="53">
        <f>V99+W99+T99+X99+Y99+Z99+AA99+AB99</f>
        <v>96</v>
      </c>
      <c r="AD99" s="8">
        <v>0</v>
      </c>
      <c r="AE99" s="36">
        <f>ROUND(E99*AD99,2)</f>
        <v>0</v>
      </c>
      <c r="AF99" s="6">
        <v>15</v>
      </c>
      <c r="AG99" s="6">
        <v>15</v>
      </c>
      <c r="AH99" s="59"/>
      <c r="AI99" s="57">
        <f>E99-AC99-AE99-AH99</f>
        <v>-96</v>
      </c>
      <c r="AJ99" s="17">
        <f>E99-AC99</f>
        <v>-96</v>
      </c>
      <c r="AK99" s="20" t="e">
        <f>ROUND(AI99/E99,2)</f>
        <v>#DIV/0!</v>
      </c>
      <c r="AL99" s="21" t="e">
        <f t="shared" si="14"/>
        <v>#DIV/0!</v>
      </c>
    </row>
    <row r="100" spans="1:38" x14ac:dyDescent="0.25">
      <c r="A100" s="27" t="s">
        <v>306</v>
      </c>
      <c r="B100" s="45" t="s">
        <v>310</v>
      </c>
      <c r="C100" s="31"/>
      <c r="D100" s="38">
        <v>0</v>
      </c>
      <c r="E100" s="50">
        <f t="shared" si="15"/>
        <v>0</v>
      </c>
      <c r="F100" s="24">
        <v>0.6</v>
      </c>
      <c r="G100" s="7">
        <v>17</v>
      </c>
      <c r="H100" s="7">
        <v>17</v>
      </c>
      <c r="I100" s="7">
        <v>20</v>
      </c>
      <c r="J100" s="78">
        <f t="shared" si="16"/>
        <v>5.78</v>
      </c>
      <c r="K100" s="2">
        <f t="shared" si="17"/>
        <v>1.2</v>
      </c>
      <c r="L100" s="8">
        <v>0</v>
      </c>
      <c r="M100" s="1">
        <f t="shared" si="13"/>
        <v>0</v>
      </c>
      <c r="N100" s="41">
        <v>0</v>
      </c>
      <c r="O100" s="84" t="s">
        <v>275</v>
      </c>
      <c r="P100" s="24" t="s">
        <v>562</v>
      </c>
      <c r="Q100" s="7" t="s">
        <v>557</v>
      </c>
      <c r="R100" s="7"/>
      <c r="S100" s="81">
        <v>0.09</v>
      </c>
      <c r="T100" s="7">
        <v>25</v>
      </c>
      <c r="U100" s="82"/>
      <c r="V100" s="83">
        <f>ROUNDUP(E100*S100,2)</f>
        <v>0</v>
      </c>
      <c r="W100" s="83">
        <f>ROUNDUP(E100*0.015,2)</f>
        <v>0</v>
      </c>
      <c r="X100" s="82">
        <f>MAX(MIN(SUMIFS(Логистика!$C$2:$C$38,Логистика!$A$2:$A$38,"&lt;="&amp;K100,Логистика!$B$2:$B$38,"&gt;="&amp;K100)*E100,SUMIFS(Логистика!$E$2:$E$38,Логистика!$A$2:$A$38,"&lt;="&amp;K100,Логистика!$B$2:$B$38,"&gt;="&amp;K100)),SUMIFS(Логистика!$D$2:$D$38,Логистика!$A$2:$A$38,"&lt;="&amp;K100,Логистика!$B$2:$B$38,"&gt;="&amp;K100))</f>
        <v>57</v>
      </c>
      <c r="Y100" s="83">
        <f>IF(AND(E100*0.055&gt;20,E100*0.055&lt;250),ROUNDUP(E100*0.055,2),IF(E100*0.055&lt;=20,20,250))</f>
        <v>20</v>
      </c>
      <c r="Z100" s="83">
        <f>ROUND(M100*0.05,2)</f>
        <v>0</v>
      </c>
      <c r="AA100" s="83">
        <f>IF(N100=0,0,IF(ROUND(E100*N100,2)&gt;5,ROUND(E100*N100,2),5))</f>
        <v>0</v>
      </c>
      <c r="AB100" s="83">
        <f>IF(O100="Да",ROUND(E100*0.1111,2),0)</f>
        <v>0</v>
      </c>
      <c r="AC100" s="53">
        <f>V100+W100+T100+X100+Y100+Z100+AA100+AB100</f>
        <v>102</v>
      </c>
      <c r="AD100" s="8">
        <v>0</v>
      </c>
      <c r="AE100" s="36">
        <f>ROUND(E100*AD100,2)</f>
        <v>0</v>
      </c>
      <c r="AF100" s="6">
        <v>15</v>
      </c>
      <c r="AG100" s="6">
        <v>15</v>
      </c>
      <c r="AH100" s="59"/>
      <c r="AI100" s="57">
        <f>E100-AC100-AE100-AH100</f>
        <v>-102</v>
      </c>
      <c r="AJ100" s="17">
        <f>E100-AC100</f>
        <v>-102</v>
      </c>
      <c r="AK100" s="20" t="e">
        <f>ROUND(AI100/E100,2)</f>
        <v>#DIV/0!</v>
      </c>
      <c r="AL100" s="21" t="e">
        <f t="shared" si="14"/>
        <v>#DIV/0!</v>
      </c>
    </row>
    <row r="101" spans="1:38" x14ac:dyDescent="0.25">
      <c r="A101" s="27"/>
      <c r="B101" s="45"/>
      <c r="C101" s="31"/>
      <c r="D101" s="38">
        <v>0</v>
      </c>
      <c r="E101" s="50">
        <f t="shared" si="15"/>
        <v>0</v>
      </c>
      <c r="F101" s="24"/>
      <c r="G101" s="7">
        <v>0</v>
      </c>
      <c r="H101" s="7">
        <v>0</v>
      </c>
      <c r="I101" s="7">
        <v>0</v>
      </c>
      <c r="J101" s="78">
        <f t="shared" si="16"/>
        <v>0</v>
      </c>
      <c r="K101" s="2">
        <f t="shared" si="17"/>
        <v>0</v>
      </c>
      <c r="L101" s="8">
        <v>0</v>
      </c>
      <c r="M101" s="1">
        <f t="shared" si="13"/>
        <v>0</v>
      </c>
      <c r="N101" s="41">
        <v>0</v>
      </c>
      <c r="O101" s="84" t="s">
        <v>275</v>
      </c>
      <c r="P101" s="24" t="s">
        <v>562</v>
      </c>
      <c r="Q101" s="7" t="s">
        <v>557</v>
      </c>
      <c r="R101" s="7"/>
      <c r="S101" s="81">
        <v>0.09</v>
      </c>
      <c r="T101" s="7">
        <v>25</v>
      </c>
      <c r="U101" s="82"/>
      <c r="V101" s="83">
        <f>ROUNDUP(E101*S101,2)</f>
        <v>0</v>
      </c>
      <c r="W101" s="83">
        <f>ROUNDUP(E101*0.015,2)</f>
        <v>0</v>
      </c>
      <c r="X101" s="82">
        <f>MAX(MIN(SUMIFS(Логистика!$C$2:$C$38,Логистика!$A$2:$A$38,"&lt;="&amp;K101,Логистика!$B$2:$B$38,"&gt;="&amp;K101)*E101,SUMIFS(Логистика!$E$2:$E$38,Логистика!$A$2:$A$38,"&lt;="&amp;K101,Логистика!$B$2:$B$38,"&gt;="&amp;K101)),SUMIFS(Логистика!$D$2:$D$38,Логистика!$A$2:$A$38,"&lt;="&amp;K101,Логистика!$B$2:$B$38,"&gt;="&amp;K101))</f>
        <v>0</v>
      </c>
      <c r="Y101" s="83">
        <f>IF(AND(E101*0.055&gt;20,E101*0.055&lt;250),ROUNDUP(E101*0.055,2),IF(E101*0.055&lt;=20,20,250))</f>
        <v>20</v>
      </c>
      <c r="Z101" s="83">
        <f>ROUND(M101*0.05,2)</f>
        <v>0</v>
      </c>
      <c r="AA101" s="83">
        <f>IF(N101=0,0,IF(ROUND(E101*N101,2)&gt;5,ROUND(E101*N101,2),5))</f>
        <v>0</v>
      </c>
      <c r="AB101" s="83">
        <f>IF(O101="Да",ROUND(E101*0.1111,2),0)</f>
        <v>0</v>
      </c>
      <c r="AC101" s="53">
        <f>V101+W101+T101+X101+Y101+Z101+AA101+AB101</f>
        <v>45</v>
      </c>
      <c r="AD101" s="8">
        <v>0</v>
      </c>
      <c r="AE101" s="36">
        <f>ROUND(E101*AD101,2)</f>
        <v>0</v>
      </c>
      <c r="AF101" s="6">
        <v>15</v>
      </c>
      <c r="AG101" s="6">
        <v>15</v>
      </c>
      <c r="AH101" s="5"/>
      <c r="AI101" s="57">
        <f>E101-AC101-AE101-AH101</f>
        <v>-45</v>
      </c>
      <c r="AJ101" s="17">
        <f>E101-AC101</f>
        <v>-45</v>
      </c>
      <c r="AK101" s="20" t="e">
        <f>ROUND(AI101/E101,2)</f>
        <v>#DIV/0!</v>
      </c>
      <c r="AL101" s="21" t="e">
        <f t="shared" si="14"/>
        <v>#DIV/0!</v>
      </c>
    </row>
    <row r="102" spans="1:38" x14ac:dyDescent="0.25">
      <c r="A102" s="27" t="s">
        <v>312</v>
      </c>
      <c r="B102" s="45" t="s">
        <v>311</v>
      </c>
      <c r="C102" s="31">
        <v>530</v>
      </c>
      <c r="D102" s="38">
        <v>0</v>
      </c>
      <c r="E102" s="50">
        <f t="shared" si="15"/>
        <v>530</v>
      </c>
      <c r="F102" s="24">
        <v>0.1</v>
      </c>
      <c r="G102" s="7">
        <v>19</v>
      </c>
      <c r="H102" s="7">
        <v>19</v>
      </c>
      <c r="I102" s="7">
        <v>5</v>
      </c>
      <c r="J102" s="78">
        <f t="shared" si="16"/>
        <v>1.8049999999999999</v>
      </c>
      <c r="K102" s="2">
        <f t="shared" si="17"/>
        <v>0.4</v>
      </c>
      <c r="L102" s="8">
        <v>0</v>
      </c>
      <c r="M102" s="1">
        <f t="shared" si="13"/>
        <v>0</v>
      </c>
      <c r="N102" s="41">
        <v>0</v>
      </c>
      <c r="O102" s="84" t="s">
        <v>275</v>
      </c>
      <c r="P102" s="24" t="s">
        <v>562</v>
      </c>
      <c r="Q102" s="7" t="s">
        <v>557</v>
      </c>
      <c r="R102" s="7"/>
      <c r="S102" s="81">
        <v>0.09</v>
      </c>
      <c r="T102" s="7">
        <v>25</v>
      </c>
      <c r="U102" s="82"/>
      <c r="V102" s="83">
        <f>ROUNDUP(E102*S102,2)</f>
        <v>47.7</v>
      </c>
      <c r="W102" s="83">
        <f>ROUNDUP(E102*0.015,2)</f>
        <v>7.95</v>
      </c>
      <c r="X102" s="82">
        <f>MAX(MIN(SUMIFS(Логистика!$C$2:$C$38,Логистика!$A$2:$A$38,"&lt;="&amp;K102,Логистика!$B$2:$B$38,"&gt;="&amp;K102)*E102,SUMIFS(Логистика!$E$2:$E$38,Логистика!$A$2:$A$38,"&lt;="&amp;K102,Логистика!$B$2:$B$38,"&gt;="&amp;K102)),SUMIFS(Логистика!$D$2:$D$38,Логистика!$A$2:$A$38,"&lt;="&amp;K102,Логистика!$B$2:$B$38,"&gt;="&amp;K102))</f>
        <v>43</v>
      </c>
      <c r="Y102" s="83">
        <f>IF(AND(E102*0.055&gt;20,E102*0.055&lt;250),ROUNDUP(E102*0.055,2),IF(E102*0.055&lt;=20,20,250))</f>
        <v>29.15</v>
      </c>
      <c r="Z102" s="83">
        <f>ROUND(M102*0.05,2)</f>
        <v>0</v>
      </c>
      <c r="AA102" s="83">
        <f>IF(N102=0,0,IF(ROUND(E102*N102,2)&gt;5,ROUND(E102*N102,2),5))</f>
        <v>0</v>
      </c>
      <c r="AB102" s="83">
        <f>IF(O102="Да",ROUND(E102*0.1111,2),0)</f>
        <v>0</v>
      </c>
      <c r="AC102" s="53">
        <f>V102+W102+T102+X102+Y102+Z102+AA102+AB102</f>
        <v>152.80000000000001</v>
      </c>
      <c r="AD102" s="8">
        <v>0</v>
      </c>
      <c r="AE102" s="36">
        <f>ROUND(E102*AD102,2)</f>
        <v>0</v>
      </c>
      <c r="AF102" s="6">
        <v>15</v>
      </c>
      <c r="AG102" s="6">
        <v>15</v>
      </c>
      <c r="AH102" s="5">
        <v>230</v>
      </c>
      <c r="AI102" s="57">
        <f>E102-AC102-AE102-AH102</f>
        <v>147.19999999999999</v>
      </c>
      <c r="AJ102" s="17">
        <f>E102-AC102</f>
        <v>377.2</v>
      </c>
      <c r="AK102" s="20">
        <f>ROUND(AI102/E102,2)</f>
        <v>0.28000000000000003</v>
      </c>
      <c r="AL102" s="21">
        <f t="shared" si="14"/>
        <v>0.64</v>
      </c>
    </row>
    <row r="103" spans="1:38" x14ac:dyDescent="0.25">
      <c r="A103" s="27" t="s">
        <v>313</v>
      </c>
      <c r="B103" s="45" t="s">
        <v>318</v>
      </c>
      <c r="C103" s="31">
        <v>950</v>
      </c>
      <c r="D103" s="38">
        <v>0</v>
      </c>
      <c r="E103" s="50">
        <f t="shared" si="15"/>
        <v>950</v>
      </c>
      <c r="F103" s="24">
        <v>0.2</v>
      </c>
      <c r="G103" s="7">
        <v>19</v>
      </c>
      <c r="H103" s="7">
        <v>19</v>
      </c>
      <c r="I103" s="7">
        <v>8</v>
      </c>
      <c r="J103" s="78">
        <f t="shared" si="16"/>
        <v>2.8879999999999999</v>
      </c>
      <c r="K103" s="2">
        <f t="shared" si="17"/>
        <v>0.6</v>
      </c>
      <c r="L103" s="8">
        <v>0</v>
      </c>
      <c r="M103" s="1">
        <f t="shared" si="13"/>
        <v>0</v>
      </c>
      <c r="N103" s="41">
        <v>0</v>
      </c>
      <c r="O103" s="84" t="s">
        <v>275</v>
      </c>
      <c r="P103" s="24" t="s">
        <v>562</v>
      </c>
      <c r="Q103" s="7" t="s">
        <v>557</v>
      </c>
      <c r="R103" s="7"/>
      <c r="S103" s="81">
        <v>0.09</v>
      </c>
      <c r="T103" s="7">
        <v>25</v>
      </c>
      <c r="U103" s="82"/>
      <c r="V103" s="83">
        <f>ROUNDUP(E103*S103,2)</f>
        <v>85.5</v>
      </c>
      <c r="W103" s="83">
        <f>ROUNDUP(E103*0.015,2)</f>
        <v>14.25</v>
      </c>
      <c r="X103" s="82">
        <f>MAX(MIN(SUMIFS(Логистика!$C$2:$C$38,Логистика!$A$2:$A$38,"&lt;="&amp;K103,Логистика!$B$2:$B$38,"&gt;="&amp;K103)*E103,SUMIFS(Логистика!$E$2:$E$38,Логистика!$A$2:$A$38,"&lt;="&amp;K103,Логистика!$B$2:$B$38,"&gt;="&amp;K103)),SUMIFS(Логистика!$D$2:$D$38,Логистика!$A$2:$A$38,"&lt;="&amp;K103,Логистика!$B$2:$B$38,"&gt;="&amp;K103))</f>
        <v>47.5</v>
      </c>
      <c r="Y103" s="83">
        <f>IF(AND(E103*0.055&gt;20,E103*0.055&lt;250),ROUNDUP(E103*0.055,2),IF(E103*0.055&lt;=20,20,250))</f>
        <v>52.25</v>
      </c>
      <c r="Z103" s="83">
        <f>ROUND(M103*0.05,2)</f>
        <v>0</v>
      </c>
      <c r="AA103" s="83">
        <f>IF(N103=0,0,IF(ROUND(E103*N103,2)&gt;5,ROUND(E103*N103,2),5))</f>
        <v>0</v>
      </c>
      <c r="AB103" s="83">
        <f>IF(O103="Да",ROUND(E103*0.1111,2),0)</f>
        <v>0</v>
      </c>
      <c r="AC103" s="53">
        <f>V103+W103+T103+X103+Y103+Z103+AA103+AB103</f>
        <v>224.5</v>
      </c>
      <c r="AD103" s="8">
        <v>0</v>
      </c>
      <c r="AE103" s="36">
        <f>ROUND(E103*AD103,2)</f>
        <v>0</v>
      </c>
      <c r="AF103" s="6">
        <v>15</v>
      </c>
      <c r="AG103" s="6">
        <v>15</v>
      </c>
      <c r="AH103" s="59">
        <f>AH102*2</f>
        <v>460</v>
      </c>
      <c r="AI103" s="57">
        <f>E103-AC103-AE103-AH103</f>
        <v>265.5</v>
      </c>
      <c r="AJ103" s="17">
        <f>E103-AC103</f>
        <v>725.5</v>
      </c>
      <c r="AK103" s="20">
        <f>ROUND(AI103/E103,2)</f>
        <v>0.28000000000000003</v>
      </c>
      <c r="AL103" s="21">
        <f t="shared" si="14"/>
        <v>0.57999999999999996</v>
      </c>
    </row>
    <row r="104" spans="1:38" x14ac:dyDescent="0.25">
      <c r="A104" s="27" t="s">
        <v>314</v>
      </c>
      <c r="B104" s="45" t="s">
        <v>319</v>
      </c>
      <c r="C104" s="31">
        <v>1370</v>
      </c>
      <c r="D104" s="38">
        <v>0</v>
      </c>
      <c r="E104" s="50">
        <f t="shared" si="15"/>
        <v>1370</v>
      </c>
      <c r="F104" s="24">
        <v>0.3</v>
      </c>
      <c r="G104" s="7">
        <v>19</v>
      </c>
      <c r="H104" s="7">
        <v>19</v>
      </c>
      <c r="I104" s="7">
        <v>11</v>
      </c>
      <c r="J104" s="78">
        <f t="shared" si="16"/>
        <v>3.9710000000000001</v>
      </c>
      <c r="K104" s="2">
        <f t="shared" si="17"/>
        <v>0.8</v>
      </c>
      <c r="L104" s="8">
        <v>0</v>
      </c>
      <c r="M104" s="1">
        <f t="shared" si="13"/>
        <v>0</v>
      </c>
      <c r="N104" s="41">
        <v>0</v>
      </c>
      <c r="O104" s="84" t="s">
        <v>275</v>
      </c>
      <c r="P104" s="24" t="s">
        <v>562</v>
      </c>
      <c r="Q104" s="7" t="s">
        <v>557</v>
      </c>
      <c r="R104" s="7"/>
      <c r="S104" s="81">
        <v>0.09</v>
      </c>
      <c r="T104" s="7">
        <v>25</v>
      </c>
      <c r="U104" s="82"/>
      <c r="V104" s="83">
        <f>ROUNDUP(E104*S104,2)</f>
        <v>123.3</v>
      </c>
      <c r="W104" s="83">
        <f>ROUNDUP(E104*0.015,2)</f>
        <v>20.55</v>
      </c>
      <c r="X104" s="82">
        <f>MAX(MIN(SUMIFS(Логистика!$C$2:$C$38,Логистика!$A$2:$A$38,"&lt;="&amp;K104,Логистика!$B$2:$B$38,"&gt;="&amp;K104)*E104,SUMIFS(Логистика!$E$2:$E$38,Логистика!$A$2:$A$38,"&lt;="&amp;K104,Логистика!$B$2:$B$38,"&gt;="&amp;K104)),SUMIFS(Логистика!$D$2:$D$38,Логистика!$A$2:$A$38,"&lt;="&amp;K104,Логистика!$B$2:$B$38,"&gt;="&amp;K104))</f>
        <v>68.5</v>
      </c>
      <c r="Y104" s="83">
        <f>IF(AND(E104*0.055&gt;20,E104*0.055&lt;250),ROUNDUP(E104*0.055,2),IF(E104*0.055&lt;=20,20,250))</f>
        <v>75.349999999999994</v>
      </c>
      <c r="Z104" s="83">
        <f>ROUND(M104*0.05,2)</f>
        <v>0</v>
      </c>
      <c r="AA104" s="83">
        <f>IF(N104=0,0,IF(ROUND(E104*N104,2)&gt;5,ROUND(E104*N104,2),5))</f>
        <v>0</v>
      </c>
      <c r="AB104" s="83">
        <f>IF(O104="Да",ROUND(E104*0.1111,2),0)</f>
        <v>0</v>
      </c>
      <c r="AC104" s="53">
        <f>V104+W104+T104+X104+Y104+Z104+AA104+AB104</f>
        <v>312.7</v>
      </c>
      <c r="AD104" s="8">
        <v>0</v>
      </c>
      <c r="AE104" s="36">
        <f>ROUND(E104*AD104,2)</f>
        <v>0</v>
      </c>
      <c r="AF104" s="6">
        <v>15</v>
      </c>
      <c r="AG104" s="6">
        <v>15</v>
      </c>
      <c r="AH104" s="59">
        <f>AH102*3</f>
        <v>690</v>
      </c>
      <c r="AI104" s="57">
        <f>E104-AC104-AE104-AH104</f>
        <v>367.29999999999995</v>
      </c>
      <c r="AJ104" s="17">
        <f>E104-AC104</f>
        <v>1057.3</v>
      </c>
      <c r="AK104" s="20">
        <f>ROUND(AI104/E104,2)</f>
        <v>0.27</v>
      </c>
      <c r="AL104" s="21">
        <f t="shared" si="14"/>
        <v>0.53</v>
      </c>
    </row>
    <row r="105" spans="1:38" x14ac:dyDescent="0.25">
      <c r="A105" s="27" t="s">
        <v>315</v>
      </c>
      <c r="B105" s="45" t="s">
        <v>320</v>
      </c>
      <c r="C105" s="31">
        <v>1830</v>
      </c>
      <c r="D105" s="38">
        <v>0</v>
      </c>
      <c r="E105" s="50">
        <f t="shared" si="15"/>
        <v>1830</v>
      </c>
      <c r="F105" s="24">
        <v>0.4</v>
      </c>
      <c r="G105" s="7">
        <v>19</v>
      </c>
      <c r="H105" s="7">
        <v>19</v>
      </c>
      <c r="I105" s="7">
        <v>14.000000000000002</v>
      </c>
      <c r="J105" s="78">
        <f t="shared" si="16"/>
        <v>5.0540000000000012</v>
      </c>
      <c r="K105" s="2">
        <f t="shared" si="17"/>
        <v>1</v>
      </c>
      <c r="L105" s="8">
        <v>0</v>
      </c>
      <c r="M105" s="1">
        <f t="shared" si="13"/>
        <v>0</v>
      </c>
      <c r="N105" s="41">
        <v>0</v>
      </c>
      <c r="O105" s="84" t="s">
        <v>275</v>
      </c>
      <c r="P105" s="24" t="s">
        <v>562</v>
      </c>
      <c r="Q105" s="7" t="s">
        <v>557</v>
      </c>
      <c r="R105" s="7"/>
      <c r="S105" s="81">
        <v>0.09</v>
      </c>
      <c r="T105" s="7">
        <v>25</v>
      </c>
      <c r="U105" s="82"/>
      <c r="V105" s="83">
        <f>ROUNDUP(E105*S105,2)</f>
        <v>164.7</v>
      </c>
      <c r="W105" s="83">
        <f>ROUNDUP(E105*0.015,2)</f>
        <v>27.45</v>
      </c>
      <c r="X105" s="82">
        <f>MAX(MIN(SUMIFS(Логистика!$C$2:$C$38,Логистика!$A$2:$A$38,"&lt;="&amp;K105,Логистика!$B$2:$B$38,"&gt;="&amp;K105)*E105,SUMIFS(Логистика!$E$2:$E$38,Логистика!$A$2:$A$38,"&lt;="&amp;K105,Логистика!$B$2:$B$38,"&gt;="&amp;K105)),SUMIFS(Логистика!$D$2:$D$38,Логистика!$A$2:$A$38,"&lt;="&amp;K105,Логистика!$B$2:$B$38,"&gt;="&amp;K105))</f>
        <v>109.8</v>
      </c>
      <c r="Y105" s="83">
        <f>IF(AND(E105*0.055&gt;20,E105*0.055&lt;250),ROUNDUP(E105*0.055,2),IF(E105*0.055&lt;=20,20,250))</f>
        <v>100.65</v>
      </c>
      <c r="Z105" s="83">
        <f>ROUND(M105*0.05,2)</f>
        <v>0</v>
      </c>
      <c r="AA105" s="83">
        <f>IF(N105=0,0,IF(ROUND(E105*N105,2)&gt;5,ROUND(E105*N105,2),5))</f>
        <v>0</v>
      </c>
      <c r="AB105" s="83">
        <f>IF(O105="Да",ROUND(E105*0.1111,2),0)</f>
        <v>0</v>
      </c>
      <c r="AC105" s="53">
        <f>V105+W105+T105+X105+Y105+Z105+AA105+AB105</f>
        <v>427.6</v>
      </c>
      <c r="AD105" s="8">
        <v>0</v>
      </c>
      <c r="AE105" s="36">
        <f>ROUND(E105*AD105,2)</f>
        <v>0</v>
      </c>
      <c r="AF105" s="6">
        <v>15</v>
      </c>
      <c r="AG105" s="6">
        <v>15</v>
      </c>
      <c r="AH105" s="59">
        <f>AH102*4</f>
        <v>920</v>
      </c>
      <c r="AI105" s="57">
        <f>E105-AC105-AE105-AH105</f>
        <v>482.40000000000009</v>
      </c>
      <c r="AJ105" s="17">
        <f>E105-AC105</f>
        <v>1402.4</v>
      </c>
      <c r="AK105" s="20">
        <f>ROUND(AI105/E105,2)</f>
        <v>0.26</v>
      </c>
      <c r="AL105" s="21">
        <f t="shared" si="14"/>
        <v>0.52</v>
      </c>
    </row>
    <row r="106" spans="1:38" x14ac:dyDescent="0.25">
      <c r="A106" s="27" t="s">
        <v>316</v>
      </c>
      <c r="B106" s="45" t="s">
        <v>321</v>
      </c>
      <c r="C106" s="31">
        <v>2260</v>
      </c>
      <c r="D106" s="38">
        <v>0</v>
      </c>
      <c r="E106" s="50">
        <f t="shared" si="15"/>
        <v>2260</v>
      </c>
      <c r="F106" s="24">
        <v>0.5</v>
      </c>
      <c r="G106" s="7">
        <v>19</v>
      </c>
      <c r="H106" s="7">
        <v>19</v>
      </c>
      <c r="I106" s="7">
        <v>17</v>
      </c>
      <c r="J106" s="78">
        <f t="shared" si="16"/>
        <v>6.1369999999999996</v>
      </c>
      <c r="K106" s="2">
        <f t="shared" si="17"/>
        <v>1.2</v>
      </c>
      <c r="L106" s="8">
        <v>0</v>
      </c>
      <c r="M106" s="1">
        <f t="shared" si="13"/>
        <v>0</v>
      </c>
      <c r="N106" s="41">
        <v>0</v>
      </c>
      <c r="O106" s="84" t="s">
        <v>275</v>
      </c>
      <c r="P106" s="24" t="s">
        <v>562</v>
      </c>
      <c r="Q106" s="7" t="s">
        <v>557</v>
      </c>
      <c r="R106" s="7"/>
      <c r="S106" s="81">
        <v>0.09</v>
      </c>
      <c r="T106" s="7">
        <v>25</v>
      </c>
      <c r="U106" s="82"/>
      <c r="V106" s="83">
        <f>ROUNDUP(E106*S106,2)</f>
        <v>203.4</v>
      </c>
      <c r="W106" s="83">
        <f>ROUNDUP(E106*0.015,2)</f>
        <v>33.9</v>
      </c>
      <c r="X106" s="82">
        <f>MAX(MIN(SUMIFS(Логистика!$C$2:$C$38,Логистика!$A$2:$A$38,"&lt;="&amp;K106,Логистика!$B$2:$B$38,"&gt;="&amp;K106)*E106,SUMIFS(Логистика!$E$2:$E$38,Логистика!$A$2:$A$38,"&lt;="&amp;K106,Логистика!$B$2:$B$38,"&gt;="&amp;K106)),SUMIFS(Логистика!$D$2:$D$38,Логистика!$A$2:$A$38,"&lt;="&amp;K106,Логистика!$B$2:$B$38,"&gt;="&amp;K106))</f>
        <v>135.6</v>
      </c>
      <c r="Y106" s="83">
        <f>IF(AND(E106*0.055&gt;20,E106*0.055&lt;250),ROUNDUP(E106*0.055,2),IF(E106*0.055&lt;=20,20,250))</f>
        <v>124.3</v>
      </c>
      <c r="Z106" s="83">
        <f>ROUND(M106*0.05,2)</f>
        <v>0</v>
      </c>
      <c r="AA106" s="83">
        <f>IF(N106=0,0,IF(ROUND(E106*N106,2)&gt;5,ROUND(E106*N106,2),5))</f>
        <v>0</v>
      </c>
      <c r="AB106" s="83">
        <f>IF(O106="Да",ROUND(E106*0.1111,2),0)</f>
        <v>0</v>
      </c>
      <c r="AC106" s="53">
        <f>V106+W106+T106+X106+Y106+Z106+AA106+AB106</f>
        <v>522.19999999999993</v>
      </c>
      <c r="AD106" s="8">
        <v>0</v>
      </c>
      <c r="AE106" s="36">
        <f>ROUND(E106*AD106,2)</f>
        <v>0</v>
      </c>
      <c r="AF106" s="6">
        <v>15</v>
      </c>
      <c r="AG106" s="6">
        <v>15</v>
      </c>
      <c r="AH106" s="59">
        <f>AH102*5</f>
        <v>1150</v>
      </c>
      <c r="AI106" s="57">
        <f>E106-AC106-AE106-AH106</f>
        <v>587.80000000000018</v>
      </c>
      <c r="AJ106" s="17">
        <f>E106-AC106</f>
        <v>1737.8000000000002</v>
      </c>
      <c r="AK106" s="20">
        <f>ROUND(AI106/E106,2)</f>
        <v>0.26</v>
      </c>
      <c r="AL106" s="21">
        <f t="shared" si="14"/>
        <v>0.51</v>
      </c>
    </row>
    <row r="107" spans="1:38" x14ac:dyDescent="0.25">
      <c r="A107" s="27" t="s">
        <v>317</v>
      </c>
      <c r="B107" s="45" t="s">
        <v>322</v>
      </c>
      <c r="C107" s="31">
        <v>2690</v>
      </c>
      <c r="D107" s="38">
        <v>0</v>
      </c>
      <c r="E107" s="50">
        <f t="shared" si="15"/>
        <v>2690</v>
      </c>
      <c r="F107" s="24">
        <v>0.6</v>
      </c>
      <c r="G107" s="7">
        <v>19</v>
      </c>
      <c r="H107" s="7">
        <v>19</v>
      </c>
      <c r="I107" s="7">
        <v>20</v>
      </c>
      <c r="J107" s="78">
        <f t="shared" si="16"/>
        <v>7.22</v>
      </c>
      <c r="K107" s="2">
        <f t="shared" si="17"/>
        <v>1.4</v>
      </c>
      <c r="L107" s="8">
        <v>0</v>
      </c>
      <c r="M107" s="1">
        <f t="shared" si="13"/>
        <v>0</v>
      </c>
      <c r="N107" s="41">
        <v>0</v>
      </c>
      <c r="O107" s="84" t="s">
        <v>275</v>
      </c>
      <c r="P107" s="24" t="s">
        <v>562</v>
      </c>
      <c r="Q107" s="7" t="s">
        <v>557</v>
      </c>
      <c r="R107" s="7"/>
      <c r="S107" s="81">
        <v>0.09</v>
      </c>
      <c r="T107" s="7">
        <v>25</v>
      </c>
      <c r="U107" s="82"/>
      <c r="V107" s="83">
        <f>ROUNDUP(E107*S107,2)</f>
        <v>242.1</v>
      </c>
      <c r="W107" s="83">
        <f>ROUNDUP(E107*0.015,2)</f>
        <v>40.35</v>
      </c>
      <c r="X107" s="82">
        <f>MAX(MIN(SUMIFS(Логистика!$C$2:$C$38,Логистика!$A$2:$A$38,"&lt;="&amp;K107,Логистика!$B$2:$B$38,"&gt;="&amp;K107)*E107,SUMIFS(Логистика!$E$2:$E$38,Логистика!$A$2:$A$38,"&lt;="&amp;K107,Логистика!$B$2:$B$38,"&gt;="&amp;K107)),SUMIFS(Логистика!$D$2:$D$38,Логистика!$A$2:$A$38,"&lt;="&amp;K107,Логистика!$B$2:$B$38,"&gt;="&amp;K107))</f>
        <v>161.4</v>
      </c>
      <c r="Y107" s="83">
        <f>IF(AND(E107*0.055&gt;20,E107*0.055&lt;250),ROUNDUP(E107*0.055,2),IF(E107*0.055&lt;=20,20,250))</f>
        <v>147.94999999999999</v>
      </c>
      <c r="Z107" s="83">
        <f>ROUND(M107*0.05,2)</f>
        <v>0</v>
      </c>
      <c r="AA107" s="83">
        <f>IF(N107=0,0,IF(ROUND(E107*N107,2)&gt;5,ROUND(E107*N107,2),5))</f>
        <v>0</v>
      </c>
      <c r="AB107" s="83">
        <f>IF(O107="Да",ROUND(E107*0.1111,2),0)</f>
        <v>0</v>
      </c>
      <c r="AC107" s="53">
        <f>V107+W107+T107+X107+Y107+Z107+AA107+AB107</f>
        <v>616.79999999999995</v>
      </c>
      <c r="AD107" s="8">
        <v>0</v>
      </c>
      <c r="AE107" s="36">
        <f>ROUND(E107*AD107,2)</f>
        <v>0</v>
      </c>
      <c r="AF107" s="6">
        <v>15</v>
      </c>
      <c r="AG107" s="6">
        <v>15</v>
      </c>
      <c r="AH107" s="59">
        <f>AH102*6</f>
        <v>1380</v>
      </c>
      <c r="AI107" s="57">
        <f>E107-AC107-AE107-AH107</f>
        <v>693.19999999999982</v>
      </c>
      <c r="AJ107" s="17">
        <f>E107-AC107</f>
        <v>2073.1999999999998</v>
      </c>
      <c r="AK107" s="20">
        <f>ROUND(AI107/E107,2)</f>
        <v>0.26</v>
      </c>
      <c r="AL107" s="21">
        <f t="shared" si="14"/>
        <v>0.5</v>
      </c>
    </row>
    <row r="108" spans="1:38" x14ac:dyDescent="0.25">
      <c r="A108" s="27"/>
      <c r="B108" s="45"/>
      <c r="C108" s="31"/>
      <c r="D108" s="38">
        <v>0</v>
      </c>
      <c r="E108" s="50">
        <f t="shared" si="15"/>
        <v>0</v>
      </c>
      <c r="F108" s="24"/>
      <c r="G108" s="7">
        <v>0</v>
      </c>
      <c r="H108" s="7">
        <v>0</v>
      </c>
      <c r="I108" s="7">
        <v>0</v>
      </c>
      <c r="J108" s="78">
        <f t="shared" si="16"/>
        <v>0</v>
      </c>
      <c r="K108" s="2">
        <f t="shared" si="17"/>
        <v>0</v>
      </c>
      <c r="L108" s="8">
        <v>0</v>
      </c>
      <c r="M108" s="1">
        <f t="shared" si="13"/>
        <v>0</v>
      </c>
      <c r="N108" s="41">
        <v>0</v>
      </c>
      <c r="O108" s="84" t="s">
        <v>275</v>
      </c>
      <c r="P108" s="24" t="s">
        <v>562</v>
      </c>
      <c r="Q108" s="7" t="s">
        <v>557</v>
      </c>
      <c r="R108" s="7"/>
      <c r="S108" s="81">
        <v>0.09</v>
      </c>
      <c r="T108" s="7">
        <v>25</v>
      </c>
      <c r="U108" s="82"/>
      <c r="V108" s="83">
        <f>ROUNDUP(E108*S108,2)</f>
        <v>0</v>
      </c>
      <c r="W108" s="83">
        <f>ROUNDUP(E108*0.015,2)</f>
        <v>0</v>
      </c>
      <c r="X108" s="82">
        <f>MAX(MIN(SUMIFS(Логистика!$C$2:$C$38,Логистика!$A$2:$A$38,"&lt;="&amp;K108,Логистика!$B$2:$B$38,"&gt;="&amp;K108)*E108,SUMIFS(Логистика!$E$2:$E$38,Логистика!$A$2:$A$38,"&lt;="&amp;K108,Логистика!$B$2:$B$38,"&gt;="&amp;K108)),SUMIFS(Логистика!$D$2:$D$38,Логистика!$A$2:$A$38,"&lt;="&amp;K108,Логистика!$B$2:$B$38,"&gt;="&amp;K108))</f>
        <v>0</v>
      </c>
      <c r="Y108" s="83">
        <f>IF(AND(E108*0.055&gt;20,E108*0.055&lt;250),ROUNDUP(E108*0.055,2),IF(E108*0.055&lt;=20,20,250))</f>
        <v>20</v>
      </c>
      <c r="Z108" s="83">
        <f>ROUND(M108*0.05,2)</f>
        <v>0</v>
      </c>
      <c r="AA108" s="83">
        <f>IF(N108=0,0,IF(ROUND(E108*N108,2)&gt;5,ROUND(E108*N108,2),5))</f>
        <v>0</v>
      </c>
      <c r="AB108" s="83">
        <f>IF(O108="Да",ROUND(E108*0.1111,2),0)</f>
        <v>0</v>
      </c>
      <c r="AC108" s="53">
        <f>V108+W108+T108+X108+Y108+Z108+AA108+AB108</f>
        <v>45</v>
      </c>
      <c r="AD108" s="8">
        <v>0</v>
      </c>
      <c r="AE108" s="36">
        <f>ROUND(E108*AD108,2)</f>
        <v>0</v>
      </c>
      <c r="AF108" s="6">
        <v>15</v>
      </c>
      <c r="AG108" s="6">
        <v>15</v>
      </c>
      <c r="AH108" s="5"/>
      <c r="AI108" s="57">
        <f>E108-AC108-AE108-AH108</f>
        <v>-45</v>
      </c>
      <c r="AJ108" s="17">
        <f>E108-AC108</f>
        <v>-45</v>
      </c>
      <c r="AK108" s="20" t="e">
        <f>ROUND(AI108/E108,2)</f>
        <v>#DIV/0!</v>
      </c>
      <c r="AL108" s="21" t="e">
        <f t="shared" si="14"/>
        <v>#DIV/0!</v>
      </c>
    </row>
    <row r="109" spans="1:38" x14ac:dyDescent="0.25">
      <c r="A109" s="27" t="s">
        <v>324</v>
      </c>
      <c r="B109" s="45" t="s">
        <v>323</v>
      </c>
      <c r="C109" s="31">
        <v>620</v>
      </c>
      <c r="D109" s="38">
        <v>0</v>
      </c>
      <c r="E109" s="50">
        <f t="shared" si="15"/>
        <v>620</v>
      </c>
      <c r="F109" s="24">
        <v>0.1</v>
      </c>
      <c r="G109" s="7">
        <v>22</v>
      </c>
      <c r="H109" s="7">
        <v>22</v>
      </c>
      <c r="I109" s="7">
        <v>6</v>
      </c>
      <c r="J109" s="78">
        <f t="shared" si="16"/>
        <v>2.9039999999999999</v>
      </c>
      <c r="K109" s="2">
        <f t="shared" si="17"/>
        <v>0.6</v>
      </c>
      <c r="L109" s="8">
        <v>0</v>
      </c>
      <c r="M109" s="1">
        <f t="shared" si="13"/>
        <v>0</v>
      </c>
      <c r="N109" s="41">
        <v>0</v>
      </c>
      <c r="O109" s="84" t="s">
        <v>275</v>
      </c>
      <c r="P109" s="24" t="s">
        <v>562</v>
      </c>
      <c r="Q109" s="7" t="s">
        <v>557</v>
      </c>
      <c r="R109" s="7"/>
      <c r="S109" s="81">
        <v>0.09</v>
      </c>
      <c r="T109" s="7">
        <v>25</v>
      </c>
      <c r="U109" s="82"/>
      <c r="V109" s="83">
        <f>ROUNDUP(E109*S109,2)</f>
        <v>55.8</v>
      </c>
      <c r="W109" s="83">
        <f>ROUNDUP(E109*0.015,2)</f>
        <v>9.3000000000000007</v>
      </c>
      <c r="X109" s="82">
        <f>MAX(MIN(SUMIFS(Логистика!$C$2:$C$38,Логистика!$A$2:$A$38,"&lt;="&amp;K109,Логистика!$B$2:$B$38,"&gt;="&amp;K109)*E109,SUMIFS(Логистика!$E$2:$E$38,Логистика!$A$2:$A$38,"&lt;="&amp;K109,Логистика!$B$2:$B$38,"&gt;="&amp;K109)),SUMIFS(Логистика!$D$2:$D$38,Логистика!$A$2:$A$38,"&lt;="&amp;K109,Логистика!$B$2:$B$38,"&gt;="&amp;K109))</f>
        <v>45</v>
      </c>
      <c r="Y109" s="83">
        <f>IF(AND(E109*0.055&gt;20,E109*0.055&lt;250),ROUNDUP(E109*0.055,2),IF(E109*0.055&lt;=20,20,250))</f>
        <v>34.1</v>
      </c>
      <c r="Z109" s="83">
        <f>ROUND(M109*0.05,2)</f>
        <v>0</v>
      </c>
      <c r="AA109" s="83">
        <f>IF(N109=0,0,IF(ROUND(E109*N109,2)&gt;5,ROUND(E109*N109,2),5))</f>
        <v>0</v>
      </c>
      <c r="AB109" s="83">
        <f>IF(O109="Да",ROUND(E109*0.1111,2),0)</f>
        <v>0</v>
      </c>
      <c r="AC109" s="53">
        <f>V109+W109+T109+X109+Y109+Z109+AA109+AB109</f>
        <v>169.2</v>
      </c>
      <c r="AD109" s="8">
        <v>0</v>
      </c>
      <c r="AE109" s="36">
        <f>ROUND(E109*AD109,2)</f>
        <v>0</v>
      </c>
      <c r="AF109" s="6">
        <v>15</v>
      </c>
      <c r="AG109" s="6">
        <v>15</v>
      </c>
      <c r="AH109" s="5">
        <v>280</v>
      </c>
      <c r="AI109" s="57">
        <f>E109-AC109-AE109-AH109</f>
        <v>170.8</v>
      </c>
      <c r="AJ109" s="17">
        <f>E109-AC109</f>
        <v>450.8</v>
      </c>
      <c r="AK109" s="20">
        <f>ROUND(AI109/E109,2)</f>
        <v>0.28000000000000003</v>
      </c>
      <c r="AL109" s="21">
        <f t="shared" si="14"/>
        <v>0.61</v>
      </c>
    </row>
    <row r="110" spans="1:38" x14ac:dyDescent="0.25">
      <c r="A110" s="27" t="s">
        <v>325</v>
      </c>
      <c r="B110" s="45" t="s">
        <v>330</v>
      </c>
      <c r="C110" s="31">
        <v>1150</v>
      </c>
      <c r="D110" s="38">
        <v>0</v>
      </c>
      <c r="E110" s="50">
        <f t="shared" si="15"/>
        <v>1150</v>
      </c>
      <c r="F110" s="24">
        <v>0.2</v>
      </c>
      <c r="G110" s="7">
        <v>22</v>
      </c>
      <c r="H110" s="7">
        <v>22</v>
      </c>
      <c r="I110" s="7">
        <v>10</v>
      </c>
      <c r="J110" s="78">
        <f t="shared" si="16"/>
        <v>4.84</v>
      </c>
      <c r="K110" s="2">
        <f t="shared" si="17"/>
        <v>1</v>
      </c>
      <c r="L110" s="8">
        <v>0</v>
      </c>
      <c r="M110" s="1">
        <f t="shared" si="13"/>
        <v>0</v>
      </c>
      <c r="N110" s="41">
        <v>0</v>
      </c>
      <c r="O110" s="84" t="s">
        <v>275</v>
      </c>
      <c r="P110" s="24" t="s">
        <v>562</v>
      </c>
      <c r="Q110" s="7" t="s">
        <v>557</v>
      </c>
      <c r="R110" s="7"/>
      <c r="S110" s="81">
        <v>0.09</v>
      </c>
      <c r="T110" s="7">
        <v>25</v>
      </c>
      <c r="U110" s="82"/>
      <c r="V110" s="83">
        <f>ROUNDUP(E110*S110,2)</f>
        <v>103.5</v>
      </c>
      <c r="W110" s="83">
        <f>ROUNDUP(E110*0.015,2)</f>
        <v>17.25</v>
      </c>
      <c r="X110" s="82">
        <f>MAX(MIN(SUMIFS(Логистика!$C$2:$C$38,Логистика!$A$2:$A$38,"&lt;="&amp;K110,Логистика!$B$2:$B$38,"&gt;="&amp;K110)*E110,SUMIFS(Логистика!$E$2:$E$38,Логистика!$A$2:$A$38,"&lt;="&amp;K110,Логистика!$B$2:$B$38,"&gt;="&amp;K110)),SUMIFS(Логистика!$D$2:$D$38,Логистика!$A$2:$A$38,"&lt;="&amp;K110,Логистика!$B$2:$B$38,"&gt;="&amp;K110))</f>
        <v>69</v>
      </c>
      <c r="Y110" s="83">
        <f>IF(AND(E110*0.055&gt;20,E110*0.055&lt;250),ROUNDUP(E110*0.055,2),IF(E110*0.055&lt;=20,20,250))</f>
        <v>63.25</v>
      </c>
      <c r="Z110" s="83">
        <f>ROUND(M110*0.05,2)</f>
        <v>0</v>
      </c>
      <c r="AA110" s="83">
        <f>IF(N110=0,0,IF(ROUND(E110*N110,2)&gt;5,ROUND(E110*N110,2),5))</f>
        <v>0</v>
      </c>
      <c r="AB110" s="83">
        <f>IF(O110="Да",ROUND(E110*0.1111,2),0)</f>
        <v>0</v>
      </c>
      <c r="AC110" s="53">
        <f>V110+W110+T110+X110+Y110+Z110+AA110+AB110</f>
        <v>278</v>
      </c>
      <c r="AD110" s="8">
        <v>0</v>
      </c>
      <c r="AE110" s="36">
        <f>ROUND(E110*AD110,2)</f>
        <v>0</v>
      </c>
      <c r="AF110" s="6">
        <v>15</v>
      </c>
      <c r="AG110" s="6">
        <v>15</v>
      </c>
      <c r="AH110" s="59">
        <f>AH109*2</f>
        <v>560</v>
      </c>
      <c r="AI110" s="57">
        <f>E110-AC110-AE110-AH110</f>
        <v>312</v>
      </c>
      <c r="AJ110" s="17">
        <f>E110-AC110</f>
        <v>872</v>
      </c>
      <c r="AK110" s="20">
        <f>ROUND(AI110/E110,2)</f>
        <v>0.27</v>
      </c>
      <c r="AL110" s="21">
        <f t="shared" si="14"/>
        <v>0.56000000000000005</v>
      </c>
    </row>
    <row r="111" spans="1:38" x14ac:dyDescent="0.25">
      <c r="A111" s="27" t="s">
        <v>326</v>
      </c>
      <c r="B111" s="45" t="s">
        <v>331</v>
      </c>
      <c r="C111" s="31">
        <v>1690</v>
      </c>
      <c r="D111" s="38">
        <v>0</v>
      </c>
      <c r="E111" s="50">
        <f t="shared" si="15"/>
        <v>1690</v>
      </c>
      <c r="F111" s="24">
        <v>0.3</v>
      </c>
      <c r="G111" s="7">
        <v>22</v>
      </c>
      <c r="H111" s="7">
        <v>22</v>
      </c>
      <c r="I111" s="7">
        <v>14.000000000000002</v>
      </c>
      <c r="J111" s="78">
        <f t="shared" si="16"/>
        <v>6.7760000000000007</v>
      </c>
      <c r="K111" s="2">
        <f t="shared" si="17"/>
        <v>1.4</v>
      </c>
      <c r="L111" s="8">
        <v>0</v>
      </c>
      <c r="M111" s="1">
        <f t="shared" si="13"/>
        <v>0</v>
      </c>
      <c r="N111" s="41">
        <v>0</v>
      </c>
      <c r="O111" s="84" t="s">
        <v>275</v>
      </c>
      <c r="P111" s="24" t="s">
        <v>562</v>
      </c>
      <c r="Q111" s="7" t="s">
        <v>557</v>
      </c>
      <c r="R111" s="7"/>
      <c r="S111" s="81">
        <v>0.09</v>
      </c>
      <c r="T111" s="7">
        <v>25</v>
      </c>
      <c r="U111" s="82"/>
      <c r="V111" s="83">
        <f>ROUNDUP(E111*S111,2)</f>
        <v>152.1</v>
      </c>
      <c r="W111" s="83">
        <f>ROUNDUP(E111*0.015,2)</f>
        <v>25.35</v>
      </c>
      <c r="X111" s="82">
        <f>MAX(MIN(SUMIFS(Логистика!$C$2:$C$38,Логистика!$A$2:$A$38,"&lt;="&amp;K111,Логистика!$B$2:$B$38,"&gt;="&amp;K111)*E111,SUMIFS(Логистика!$E$2:$E$38,Логистика!$A$2:$A$38,"&lt;="&amp;K111,Логистика!$B$2:$B$38,"&gt;="&amp;K111)),SUMIFS(Логистика!$D$2:$D$38,Логистика!$A$2:$A$38,"&lt;="&amp;K111,Логистика!$B$2:$B$38,"&gt;="&amp;K111))</f>
        <v>101.39999999999999</v>
      </c>
      <c r="Y111" s="83">
        <f>IF(AND(E111*0.055&gt;20,E111*0.055&lt;250),ROUNDUP(E111*0.055,2),IF(E111*0.055&lt;=20,20,250))</f>
        <v>92.95</v>
      </c>
      <c r="Z111" s="83">
        <f>ROUND(M111*0.05,2)</f>
        <v>0</v>
      </c>
      <c r="AA111" s="83">
        <f>IF(N111=0,0,IF(ROUND(E111*N111,2)&gt;5,ROUND(E111*N111,2),5))</f>
        <v>0</v>
      </c>
      <c r="AB111" s="83">
        <f>IF(O111="Да",ROUND(E111*0.1111,2),0)</f>
        <v>0</v>
      </c>
      <c r="AC111" s="53">
        <f>V111+W111+T111+X111+Y111+Z111+AA111+AB111</f>
        <v>396.79999999999995</v>
      </c>
      <c r="AD111" s="8">
        <v>0</v>
      </c>
      <c r="AE111" s="36">
        <f>ROUND(E111*AD111,2)</f>
        <v>0</v>
      </c>
      <c r="AF111" s="6">
        <v>15</v>
      </c>
      <c r="AG111" s="6">
        <v>15</v>
      </c>
      <c r="AH111" s="59">
        <f>AH109*3</f>
        <v>840</v>
      </c>
      <c r="AI111" s="57">
        <f>E111-AC111-AE111-AH111</f>
        <v>453.20000000000005</v>
      </c>
      <c r="AJ111" s="17">
        <f>E111-AC111</f>
        <v>1293.2</v>
      </c>
      <c r="AK111" s="20">
        <f>ROUND(AI111/E111,2)</f>
        <v>0.27</v>
      </c>
      <c r="AL111" s="21">
        <f t="shared" si="14"/>
        <v>0.54</v>
      </c>
    </row>
    <row r="112" spans="1:38" x14ac:dyDescent="0.25">
      <c r="A112" s="27" t="s">
        <v>327</v>
      </c>
      <c r="B112" s="45" t="s">
        <v>332</v>
      </c>
      <c r="C112" s="31">
        <v>2190</v>
      </c>
      <c r="D112" s="38">
        <v>0</v>
      </c>
      <c r="E112" s="50">
        <f t="shared" si="15"/>
        <v>2190</v>
      </c>
      <c r="F112" s="24">
        <v>0.4</v>
      </c>
      <c r="G112" s="7">
        <v>22</v>
      </c>
      <c r="H112" s="7">
        <v>22</v>
      </c>
      <c r="I112" s="7">
        <v>18</v>
      </c>
      <c r="J112" s="78">
        <f t="shared" si="16"/>
        <v>8.7119999999999997</v>
      </c>
      <c r="K112" s="2">
        <f t="shared" si="17"/>
        <v>1.7</v>
      </c>
      <c r="L112" s="8">
        <v>0</v>
      </c>
      <c r="M112" s="1">
        <f t="shared" si="13"/>
        <v>0</v>
      </c>
      <c r="N112" s="41">
        <v>0</v>
      </c>
      <c r="O112" s="84" t="s">
        <v>275</v>
      </c>
      <c r="P112" s="24" t="s">
        <v>562</v>
      </c>
      <c r="Q112" s="7" t="s">
        <v>557</v>
      </c>
      <c r="R112" s="7"/>
      <c r="S112" s="81">
        <v>0.09</v>
      </c>
      <c r="T112" s="7">
        <v>25</v>
      </c>
      <c r="U112" s="82"/>
      <c r="V112" s="83">
        <f>ROUNDUP(E112*S112,2)</f>
        <v>197.1</v>
      </c>
      <c r="W112" s="83">
        <f>ROUNDUP(E112*0.015,2)</f>
        <v>32.85</v>
      </c>
      <c r="X112" s="82">
        <f>MAX(MIN(SUMIFS(Логистика!$C$2:$C$38,Логистика!$A$2:$A$38,"&lt;="&amp;K112,Логистика!$B$2:$B$38,"&gt;="&amp;K112)*E112,SUMIFS(Логистика!$E$2:$E$38,Логистика!$A$2:$A$38,"&lt;="&amp;K112,Логистика!$B$2:$B$38,"&gt;="&amp;K112)),SUMIFS(Логистика!$D$2:$D$38,Логистика!$A$2:$A$38,"&lt;="&amp;K112,Логистика!$B$2:$B$38,"&gt;="&amp;K112))</f>
        <v>131.4</v>
      </c>
      <c r="Y112" s="83">
        <f>IF(AND(E112*0.055&gt;20,E112*0.055&lt;250),ROUNDUP(E112*0.055,2),IF(E112*0.055&lt;=20,20,250))</f>
        <v>120.45</v>
      </c>
      <c r="Z112" s="83">
        <f>ROUND(M112*0.05,2)</f>
        <v>0</v>
      </c>
      <c r="AA112" s="83">
        <f>IF(N112=0,0,IF(ROUND(E112*N112,2)&gt;5,ROUND(E112*N112,2),5))</f>
        <v>0</v>
      </c>
      <c r="AB112" s="83">
        <f>IF(O112="Да",ROUND(E112*0.1111,2),0)</f>
        <v>0</v>
      </c>
      <c r="AC112" s="53">
        <f>V112+W112+T112+X112+Y112+Z112+AA112+AB112</f>
        <v>506.8</v>
      </c>
      <c r="AD112" s="8">
        <v>0</v>
      </c>
      <c r="AE112" s="36">
        <f>ROUND(E112*AD112,2)</f>
        <v>0</v>
      </c>
      <c r="AF112" s="6">
        <v>15</v>
      </c>
      <c r="AG112" s="6">
        <v>15</v>
      </c>
      <c r="AH112" s="59">
        <f>AH109*4</f>
        <v>1120</v>
      </c>
      <c r="AI112" s="57">
        <f>E112-AC112-AE112-AH112</f>
        <v>563.20000000000005</v>
      </c>
      <c r="AJ112" s="17">
        <f>E112-AC112</f>
        <v>1683.2</v>
      </c>
      <c r="AK112" s="20">
        <f>ROUND(AI112/E112,2)</f>
        <v>0.26</v>
      </c>
      <c r="AL112" s="21">
        <f t="shared" si="14"/>
        <v>0.5</v>
      </c>
    </row>
    <row r="113" spans="1:38" x14ac:dyDescent="0.25">
      <c r="A113" s="27" t="s">
        <v>328</v>
      </c>
      <c r="B113" s="45" t="s">
        <v>333</v>
      </c>
      <c r="C113" s="31">
        <v>2690</v>
      </c>
      <c r="D113" s="38">
        <v>0</v>
      </c>
      <c r="E113" s="50">
        <f t="shared" si="15"/>
        <v>2690</v>
      </c>
      <c r="F113" s="24">
        <v>0.5</v>
      </c>
      <c r="G113" s="7">
        <v>22</v>
      </c>
      <c r="H113" s="7">
        <v>22</v>
      </c>
      <c r="I113" s="7">
        <v>22</v>
      </c>
      <c r="J113" s="78">
        <f t="shared" si="16"/>
        <v>10.648</v>
      </c>
      <c r="K113" s="2">
        <f t="shared" si="17"/>
        <v>2.1</v>
      </c>
      <c r="L113" s="8">
        <v>0</v>
      </c>
      <c r="M113" s="1">
        <f t="shared" si="13"/>
        <v>0</v>
      </c>
      <c r="N113" s="41">
        <v>0</v>
      </c>
      <c r="O113" s="84" t="s">
        <v>275</v>
      </c>
      <c r="P113" s="24" t="s">
        <v>562</v>
      </c>
      <c r="Q113" s="7" t="s">
        <v>557</v>
      </c>
      <c r="R113" s="7"/>
      <c r="S113" s="81">
        <v>0.09</v>
      </c>
      <c r="T113" s="7">
        <v>25</v>
      </c>
      <c r="U113" s="82"/>
      <c r="V113" s="83">
        <f>ROUNDUP(E113*S113,2)</f>
        <v>242.1</v>
      </c>
      <c r="W113" s="83">
        <f>ROUNDUP(E113*0.015,2)</f>
        <v>40.35</v>
      </c>
      <c r="X113" s="82">
        <f>MAX(MIN(SUMIFS(Логистика!$C$2:$C$38,Логистика!$A$2:$A$38,"&lt;="&amp;K113,Логистика!$B$2:$B$38,"&gt;="&amp;K113)*E113,SUMIFS(Логистика!$E$2:$E$38,Логистика!$A$2:$A$38,"&lt;="&amp;K113,Логистика!$B$2:$B$38,"&gt;="&amp;K113)),SUMIFS(Логистика!$D$2:$D$38,Логистика!$A$2:$A$38,"&lt;="&amp;K113,Логистика!$B$2:$B$38,"&gt;="&amp;K113))</f>
        <v>161.4</v>
      </c>
      <c r="Y113" s="83">
        <f>IF(AND(E113*0.055&gt;20,E113*0.055&lt;250),ROUNDUP(E113*0.055,2),IF(E113*0.055&lt;=20,20,250))</f>
        <v>147.94999999999999</v>
      </c>
      <c r="Z113" s="83">
        <f>ROUND(M113*0.05,2)</f>
        <v>0</v>
      </c>
      <c r="AA113" s="83">
        <f>IF(N113=0,0,IF(ROUND(E113*N113,2)&gt;5,ROUND(E113*N113,2),5))</f>
        <v>0</v>
      </c>
      <c r="AB113" s="83">
        <f>IF(O113="Да",ROUND(E113*0.1111,2),0)</f>
        <v>0</v>
      </c>
      <c r="AC113" s="53">
        <f>V113+W113+T113+X113+Y113+Z113+AA113+AB113</f>
        <v>616.79999999999995</v>
      </c>
      <c r="AD113" s="8">
        <v>0</v>
      </c>
      <c r="AE113" s="36">
        <f>ROUND(E113*AD113,2)</f>
        <v>0</v>
      </c>
      <c r="AF113" s="6">
        <v>15</v>
      </c>
      <c r="AG113" s="6">
        <v>15</v>
      </c>
      <c r="AH113" s="59">
        <f>AH109*5</f>
        <v>1400</v>
      </c>
      <c r="AI113" s="57">
        <f>E113-AC113-AE113-AH113</f>
        <v>673.19999999999982</v>
      </c>
      <c r="AJ113" s="17">
        <f>E113-AC113</f>
        <v>2073.1999999999998</v>
      </c>
      <c r="AK113" s="20">
        <f>ROUND(AI113/E113,2)</f>
        <v>0.25</v>
      </c>
      <c r="AL113" s="21">
        <f t="shared" si="14"/>
        <v>0.48</v>
      </c>
    </row>
    <row r="114" spans="1:38" x14ac:dyDescent="0.25">
      <c r="A114" s="27" t="s">
        <v>329</v>
      </c>
      <c r="B114" s="45" t="s">
        <v>334</v>
      </c>
      <c r="C114" s="31">
        <v>3190</v>
      </c>
      <c r="D114" s="38">
        <v>0</v>
      </c>
      <c r="E114" s="50">
        <f t="shared" si="15"/>
        <v>3190</v>
      </c>
      <c r="F114" s="24">
        <v>0.6</v>
      </c>
      <c r="G114" s="7">
        <v>22</v>
      </c>
      <c r="H114" s="7">
        <v>22</v>
      </c>
      <c r="I114" s="7">
        <v>26</v>
      </c>
      <c r="J114" s="78">
        <f t="shared" si="16"/>
        <v>12.584</v>
      </c>
      <c r="K114" s="2">
        <f t="shared" si="17"/>
        <v>2.5</v>
      </c>
      <c r="L114" s="8">
        <v>0</v>
      </c>
      <c r="M114" s="1">
        <f t="shared" si="13"/>
        <v>0</v>
      </c>
      <c r="N114" s="41">
        <v>0</v>
      </c>
      <c r="O114" s="84" t="s">
        <v>275</v>
      </c>
      <c r="P114" s="24" t="s">
        <v>562</v>
      </c>
      <c r="Q114" s="7" t="s">
        <v>557</v>
      </c>
      <c r="R114" s="7"/>
      <c r="S114" s="81">
        <v>0.09</v>
      </c>
      <c r="T114" s="7">
        <v>25</v>
      </c>
      <c r="U114" s="82"/>
      <c r="V114" s="83">
        <f>ROUNDUP(E114*S114,2)</f>
        <v>287.10000000000002</v>
      </c>
      <c r="W114" s="83">
        <f>ROUNDUP(E114*0.015,2)</f>
        <v>47.85</v>
      </c>
      <c r="X114" s="82">
        <f>MAX(MIN(SUMIFS(Логистика!$C$2:$C$38,Логистика!$A$2:$A$38,"&lt;="&amp;K114,Логистика!$B$2:$B$38,"&gt;="&amp;K114)*E114,SUMIFS(Логистика!$E$2:$E$38,Логистика!$A$2:$A$38,"&lt;="&amp;K114,Логистика!$B$2:$B$38,"&gt;="&amp;K114)),SUMIFS(Логистика!$D$2:$D$38,Логистика!$A$2:$A$38,"&lt;="&amp;K114,Логистика!$B$2:$B$38,"&gt;="&amp;K114))</f>
        <v>191.4</v>
      </c>
      <c r="Y114" s="83">
        <f>IF(AND(E114*0.055&gt;20,E114*0.055&lt;250),ROUNDUP(E114*0.055,2),IF(E114*0.055&lt;=20,20,250))</f>
        <v>175.45</v>
      </c>
      <c r="Z114" s="83">
        <f>ROUND(M114*0.05,2)</f>
        <v>0</v>
      </c>
      <c r="AA114" s="83">
        <f>IF(N114=0,0,IF(ROUND(E114*N114,2)&gt;5,ROUND(E114*N114,2),5))</f>
        <v>0</v>
      </c>
      <c r="AB114" s="83">
        <f>IF(O114="Да",ROUND(E114*0.1111,2),0)</f>
        <v>0</v>
      </c>
      <c r="AC114" s="53">
        <f>V114+W114+T114+X114+Y114+Z114+AA114+AB114</f>
        <v>726.8</v>
      </c>
      <c r="AD114" s="8">
        <v>0</v>
      </c>
      <c r="AE114" s="36">
        <f>ROUND(E114*AD114,2)</f>
        <v>0</v>
      </c>
      <c r="AF114" s="6">
        <v>15</v>
      </c>
      <c r="AG114" s="6">
        <v>15</v>
      </c>
      <c r="AH114" s="59">
        <f>AH109*6</f>
        <v>1680</v>
      </c>
      <c r="AI114" s="57">
        <f>E114-AC114-AE114-AH114</f>
        <v>783.19999999999982</v>
      </c>
      <c r="AJ114" s="17">
        <f>E114-AC114</f>
        <v>2463.1999999999998</v>
      </c>
      <c r="AK114" s="20">
        <f>ROUND(AI114/E114,2)</f>
        <v>0.25</v>
      </c>
      <c r="AL114" s="21">
        <f t="shared" si="14"/>
        <v>0.47</v>
      </c>
    </row>
    <row r="115" spans="1:38" x14ac:dyDescent="0.25">
      <c r="A115" s="27"/>
      <c r="B115" s="45"/>
      <c r="C115" s="31"/>
      <c r="D115" s="38">
        <v>0</v>
      </c>
      <c r="E115" s="50">
        <f t="shared" si="15"/>
        <v>0</v>
      </c>
      <c r="F115" s="24"/>
      <c r="G115" s="7">
        <v>0</v>
      </c>
      <c r="H115" s="7">
        <v>0</v>
      </c>
      <c r="I115" s="7">
        <v>0</v>
      </c>
      <c r="J115" s="78">
        <f t="shared" si="16"/>
        <v>0</v>
      </c>
      <c r="K115" s="2">
        <f t="shared" si="17"/>
        <v>0</v>
      </c>
      <c r="L115" s="8">
        <v>0</v>
      </c>
      <c r="M115" s="1">
        <f t="shared" si="13"/>
        <v>0</v>
      </c>
      <c r="N115" s="41">
        <v>0</v>
      </c>
      <c r="O115" s="84" t="s">
        <v>275</v>
      </c>
      <c r="P115" s="24" t="s">
        <v>562</v>
      </c>
      <c r="Q115" s="7" t="s">
        <v>557</v>
      </c>
      <c r="R115" s="7"/>
      <c r="S115" s="81">
        <v>0.09</v>
      </c>
      <c r="T115" s="7">
        <v>25</v>
      </c>
      <c r="U115" s="82"/>
      <c r="V115" s="83">
        <f>ROUNDUP(E115*S115,2)</f>
        <v>0</v>
      </c>
      <c r="W115" s="83">
        <f>ROUNDUP(E115*0.015,2)</f>
        <v>0</v>
      </c>
      <c r="X115" s="82">
        <f>MAX(MIN(SUMIFS(Логистика!$C$2:$C$38,Логистика!$A$2:$A$38,"&lt;="&amp;K115,Логистика!$B$2:$B$38,"&gt;="&amp;K115)*E115,SUMIFS(Логистика!$E$2:$E$38,Логистика!$A$2:$A$38,"&lt;="&amp;K115,Логистика!$B$2:$B$38,"&gt;="&amp;K115)),SUMIFS(Логистика!$D$2:$D$38,Логистика!$A$2:$A$38,"&lt;="&amp;K115,Логистика!$B$2:$B$38,"&gt;="&amp;K115))</f>
        <v>0</v>
      </c>
      <c r="Y115" s="83">
        <f>IF(AND(E115*0.055&gt;20,E115*0.055&lt;250),ROUNDUP(E115*0.055,2),IF(E115*0.055&lt;=20,20,250))</f>
        <v>20</v>
      </c>
      <c r="Z115" s="83">
        <f>ROUND(M115*0.05,2)</f>
        <v>0</v>
      </c>
      <c r="AA115" s="83">
        <f>IF(N115=0,0,IF(ROUND(E115*N115,2)&gt;5,ROUND(E115*N115,2),5))</f>
        <v>0</v>
      </c>
      <c r="AB115" s="83">
        <f>IF(O115="Да",ROUND(E115*0.1111,2),0)</f>
        <v>0</v>
      </c>
      <c r="AC115" s="53">
        <f>V115+W115+T115+X115+Y115+Z115+AA115+AB115</f>
        <v>45</v>
      </c>
      <c r="AD115" s="8">
        <v>0</v>
      </c>
      <c r="AE115" s="36">
        <f>ROUND(E115*AD115,2)</f>
        <v>0</v>
      </c>
      <c r="AF115" s="6">
        <v>15</v>
      </c>
      <c r="AG115" s="6">
        <v>15</v>
      </c>
      <c r="AH115" s="5"/>
      <c r="AI115" s="57">
        <f>E115-AC115-AE115-AH115</f>
        <v>-45</v>
      </c>
      <c r="AJ115" s="17">
        <f>E115-AC115</f>
        <v>-45</v>
      </c>
      <c r="AK115" s="20" t="e">
        <f>ROUND(AI115/E115,2)</f>
        <v>#DIV/0!</v>
      </c>
      <c r="AL115" s="21" t="e">
        <f t="shared" si="14"/>
        <v>#DIV/0!</v>
      </c>
    </row>
    <row r="116" spans="1:38" x14ac:dyDescent="0.25">
      <c r="A116" s="27" t="s">
        <v>336</v>
      </c>
      <c r="B116" s="45" t="s">
        <v>335</v>
      </c>
      <c r="C116" s="31">
        <v>730</v>
      </c>
      <c r="D116" s="38">
        <v>0</v>
      </c>
      <c r="E116" s="50">
        <f t="shared" si="15"/>
        <v>730</v>
      </c>
      <c r="F116" s="24">
        <v>0.1</v>
      </c>
      <c r="G116" s="7">
        <v>27</v>
      </c>
      <c r="H116" s="7">
        <v>27</v>
      </c>
      <c r="I116" s="7">
        <v>6</v>
      </c>
      <c r="J116" s="78">
        <f t="shared" si="16"/>
        <v>4.3739999999999997</v>
      </c>
      <c r="K116" s="2">
        <f t="shared" si="17"/>
        <v>0.9</v>
      </c>
      <c r="L116" s="8">
        <v>0</v>
      </c>
      <c r="M116" s="1">
        <f t="shared" si="13"/>
        <v>0</v>
      </c>
      <c r="N116" s="41">
        <v>0</v>
      </c>
      <c r="O116" s="84" t="s">
        <v>275</v>
      </c>
      <c r="P116" s="24" t="s">
        <v>562</v>
      </c>
      <c r="Q116" s="7" t="s">
        <v>557</v>
      </c>
      <c r="R116" s="7"/>
      <c r="S116" s="81">
        <v>0.09</v>
      </c>
      <c r="T116" s="7">
        <v>25</v>
      </c>
      <c r="U116" s="82"/>
      <c r="V116" s="83">
        <f>ROUNDUP(E116*S116,2)</f>
        <v>65.7</v>
      </c>
      <c r="W116" s="83">
        <f>ROUNDUP(E116*0.015,2)</f>
        <v>10.95</v>
      </c>
      <c r="X116" s="82">
        <f>MAX(MIN(SUMIFS(Логистика!$C$2:$C$38,Логистика!$A$2:$A$38,"&lt;="&amp;K116,Логистика!$B$2:$B$38,"&gt;="&amp;K116)*E116,SUMIFS(Логистика!$E$2:$E$38,Логистика!$A$2:$A$38,"&lt;="&amp;K116,Логистика!$B$2:$B$38,"&gt;="&amp;K116)),SUMIFS(Логистика!$D$2:$D$38,Логистика!$A$2:$A$38,"&lt;="&amp;K116,Логистика!$B$2:$B$38,"&gt;="&amp;K116))</f>
        <v>49</v>
      </c>
      <c r="Y116" s="83">
        <f>IF(AND(E116*0.055&gt;20,E116*0.055&lt;250),ROUNDUP(E116*0.055,2),IF(E116*0.055&lt;=20,20,250))</f>
        <v>40.15</v>
      </c>
      <c r="Z116" s="83">
        <f>ROUND(M116*0.05,2)</f>
        <v>0</v>
      </c>
      <c r="AA116" s="83">
        <f>IF(N116=0,0,IF(ROUND(E116*N116,2)&gt;5,ROUND(E116*N116,2),5))</f>
        <v>0</v>
      </c>
      <c r="AB116" s="83">
        <f>IF(O116="Да",ROUND(E116*0.1111,2),0)</f>
        <v>0</v>
      </c>
      <c r="AC116" s="53">
        <f>V116+W116+T116+X116+Y116+Z116+AA116+AB116</f>
        <v>190.8</v>
      </c>
      <c r="AD116" s="8">
        <v>0</v>
      </c>
      <c r="AE116" s="36">
        <f>ROUND(E116*AD116,2)</f>
        <v>0</v>
      </c>
      <c r="AF116" s="6">
        <v>15</v>
      </c>
      <c r="AG116" s="6">
        <v>15</v>
      </c>
      <c r="AH116" s="5">
        <v>340</v>
      </c>
      <c r="AI116" s="57">
        <f>E116-AC116-AE116-AH116</f>
        <v>199.20000000000005</v>
      </c>
      <c r="AJ116" s="17">
        <f>E116-AC116</f>
        <v>539.20000000000005</v>
      </c>
      <c r="AK116" s="20">
        <f>ROUND(AI116/E116,2)</f>
        <v>0.27</v>
      </c>
      <c r="AL116" s="21">
        <f t="shared" si="14"/>
        <v>0.59</v>
      </c>
    </row>
    <row r="117" spans="1:38" x14ac:dyDescent="0.25">
      <c r="A117" s="27" t="s">
        <v>337</v>
      </c>
      <c r="B117" s="45" t="s">
        <v>342</v>
      </c>
      <c r="C117" s="31">
        <v>1390</v>
      </c>
      <c r="D117" s="38">
        <v>0</v>
      </c>
      <c r="E117" s="50">
        <f t="shared" si="15"/>
        <v>1390</v>
      </c>
      <c r="F117" s="24">
        <v>0.2</v>
      </c>
      <c r="G117" s="7">
        <v>27</v>
      </c>
      <c r="H117" s="7">
        <v>27</v>
      </c>
      <c r="I117" s="7">
        <v>10</v>
      </c>
      <c r="J117" s="78">
        <f t="shared" si="16"/>
        <v>7.29</v>
      </c>
      <c r="K117" s="2">
        <f t="shared" si="17"/>
        <v>1.5</v>
      </c>
      <c r="L117" s="8">
        <v>0</v>
      </c>
      <c r="M117" s="1">
        <f t="shared" si="13"/>
        <v>0</v>
      </c>
      <c r="N117" s="41">
        <v>0</v>
      </c>
      <c r="O117" s="84" t="s">
        <v>275</v>
      </c>
      <c r="P117" s="24" t="s">
        <v>562</v>
      </c>
      <c r="Q117" s="7" t="s">
        <v>557</v>
      </c>
      <c r="R117" s="7"/>
      <c r="S117" s="81">
        <v>0.09</v>
      </c>
      <c r="T117" s="7">
        <v>25</v>
      </c>
      <c r="U117" s="82"/>
      <c r="V117" s="83">
        <f>ROUNDUP(E117*S117,2)</f>
        <v>125.1</v>
      </c>
      <c r="W117" s="83">
        <f>ROUNDUP(E117*0.015,2)</f>
        <v>20.85</v>
      </c>
      <c r="X117" s="82">
        <f>MAX(MIN(SUMIFS(Логистика!$C$2:$C$38,Логистика!$A$2:$A$38,"&lt;="&amp;K117,Логистика!$B$2:$B$38,"&gt;="&amp;K117)*E117,SUMIFS(Логистика!$E$2:$E$38,Логистика!$A$2:$A$38,"&lt;="&amp;K117,Логистика!$B$2:$B$38,"&gt;="&amp;K117)),SUMIFS(Логистика!$D$2:$D$38,Логистика!$A$2:$A$38,"&lt;="&amp;K117,Логистика!$B$2:$B$38,"&gt;="&amp;K117))</f>
        <v>83.399999999999991</v>
      </c>
      <c r="Y117" s="83">
        <f>IF(AND(E117*0.055&gt;20,E117*0.055&lt;250),ROUNDUP(E117*0.055,2),IF(E117*0.055&lt;=20,20,250))</f>
        <v>76.45</v>
      </c>
      <c r="Z117" s="83">
        <f>ROUND(M117*0.05,2)</f>
        <v>0</v>
      </c>
      <c r="AA117" s="83">
        <f>IF(N117=0,0,IF(ROUND(E117*N117,2)&gt;5,ROUND(E117*N117,2),5))</f>
        <v>0</v>
      </c>
      <c r="AB117" s="83">
        <f>IF(O117="Да",ROUND(E117*0.1111,2),0)</f>
        <v>0</v>
      </c>
      <c r="AC117" s="53">
        <f>V117+W117+T117+X117+Y117+Z117+AA117+AB117</f>
        <v>330.79999999999995</v>
      </c>
      <c r="AD117" s="8">
        <v>0</v>
      </c>
      <c r="AE117" s="36">
        <f>ROUND(E117*AD117,2)</f>
        <v>0</v>
      </c>
      <c r="AF117" s="6">
        <v>15</v>
      </c>
      <c r="AG117" s="6">
        <v>15</v>
      </c>
      <c r="AH117" s="59">
        <f>AH116*2</f>
        <v>680</v>
      </c>
      <c r="AI117" s="57">
        <f>E117-AC117-AE117-AH117</f>
        <v>379.20000000000005</v>
      </c>
      <c r="AJ117" s="17">
        <f>E117-AC117</f>
        <v>1059.2</v>
      </c>
      <c r="AK117" s="20">
        <f>ROUND(AI117/E117,2)</f>
        <v>0.27</v>
      </c>
      <c r="AL117" s="21">
        <f t="shared" si="14"/>
        <v>0.56000000000000005</v>
      </c>
    </row>
    <row r="118" spans="1:38" x14ac:dyDescent="0.25">
      <c r="A118" s="27" t="s">
        <v>338</v>
      </c>
      <c r="B118" s="45" t="s">
        <v>343</v>
      </c>
      <c r="C118" s="31">
        <v>2050</v>
      </c>
      <c r="D118" s="38">
        <v>0</v>
      </c>
      <c r="E118" s="50">
        <f t="shared" si="15"/>
        <v>2050</v>
      </c>
      <c r="F118" s="24">
        <v>0.3</v>
      </c>
      <c r="G118" s="7">
        <v>27</v>
      </c>
      <c r="H118" s="7">
        <v>27</v>
      </c>
      <c r="I118" s="7">
        <v>14.000000000000002</v>
      </c>
      <c r="J118" s="78">
        <f t="shared" si="16"/>
        <v>10.206000000000001</v>
      </c>
      <c r="K118" s="2">
        <f t="shared" si="17"/>
        <v>2</v>
      </c>
      <c r="L118" s="8">
        <v>0</v>
      </c>
      <c r="M118" s="1">
        <f t="shared" si="13"/>
        <v>0</v>
      </c>
      <c r="N118" s="41">
        <v>0</v>
      </c>
      <c r="O118" s="84" t="s">
        <v>275</v>
      </c>
      <c r="P118" s="24" t="s">
        <v>562</v>
      </c>
      <c r="Q118" s="7" t="s">
        <v>557</v>
      </c>
      <c r="R118" s="7"/>
      <c r="S118" s="81">
        <v>0.09</v>
      </c>
      <c r="T118" s="7">
        <v>25</v>
      </c>
      <c r="U118" s="82"/>
      <c r="V118" s="83">
        <f>ROUNDUP(E118*S118,2)</f>
        <v>184.5</v>
      </c>
      <c r="W118" s="83">
        <f>ROUNDUP(E118*0.015,2)</f>
        <v>30.75</v>
      </c>
      <c r="X118" s="82">
        <f>MAX(MIN(SUMIFS(Логистика!$C$2:$C$38,Логистика!$A$2:$A$38,"&lt;="&amp;K118,Логистика!$B$2:$B$38,"&gt;="&amp;K118)*E118,SUMIFS(Логистика!$E$2:$E$38,Логистика!$A$2:$A$38,"&lt;="&amp;K118,Логистика!$B$2:$B$38,"&gt;="&amp;K118)),SUMIFS(Логистика!$D$2:$D$38,Логистика!$A$2:$A$38,"&lt;="&amp;K118,Логистика!$B$2:$B$38,"&gt;="&amp;K118))</f>
        <v>123</v>
      </c>
      <c r="Y118" s="83">
        <f>IF(AND(E118*0.055&gt;20,E118*0.055&lt;250),ROUNDUP(E118*0.055,2),IF(E118*0.055&lt;=20,20,250))</f>
        <v>112.75</v>
      </c>
      <c r="Z118" s="83">
        <f>ROUND(M118*0.05,2)</f>
        <v>0</v>
      </c>
      <c r="AA118" s="83">
        <f>IF(N118=0,0,IF(ROUND(E118*N118,2)&gt;5,ROUND(E118*N118,2),5))</f>
        <v>0</v>
      </c>
      <c r="AB118" s="83">
        <f>IF(O118="Да",ROUND(E118*0.1111,2),0)</f>
        <v>0</v>
      </c>
      <c r="AC118" s="53">
        <f>V118+W118+T118+X118+Y118+Z118+AA118+AB118</f>
        <v>476</v>
      </c>
      <c r="AD118" s="8">
        <v>0</v>
      </c>
      <c r="AE118" s="36">
        <f>ROUND(E118*AD118,2)</f>
        <v>0</v>
      </c>
      <c r="AF118" s="6">
        <v>15</v>
      </c>
      <c r="AG118" s="6">
        <v>15</v>
      </c>
      <c r="AH118" s="59">
        <f>AH116*3</f>
        <v>1020</v>
      </c>
      <c r="AI118" s="57">
        <f>E118-AC118-AE118-AH118</f>
        <v>554</v>
      </c>
      <c r="AJ118" s="17">
        <f>E118-AC118</f>
        <v>1574</v>
      </c>
      <c r="AK118" s="20">
        <f>ROUND(AI118/E118,2)</f>
        <v>0.27</v>
      </c>
      <c r="AL118" s="21">
        <f t="shared" si="14"/>
        <v>0.54</v>
      </c>
    </row>
    <row r="119" spans="1:38" x14ac:dyDescent="0.25">
      <c r="A119" s="27" t="s">
        <v>339</v>
      </c>
      <c r="B119" s="45" t="s">
        <v>344</v>
      </c>
      <c r="C119" s="31">
        <v>2690</v>
      </c>
      <c r="D119" s="38">
        <v>0</v>
      </c>
      <c r="E119" s="50">
        <f t="shared" si="15"/>
        <v>2690</v>
      </c>
      <c r="F119" s="24">
        <v>0.4</v>
      </c>
      <c r="G119" s="7">
        <v>27</v>
      </c>
      <c r="H119" s="7">
        <v>27</v>
      </c>
      <c r="I119" s="7">
        <v>18</v>
      </c>
      <c r="J119" s="78">
        <f t="shared" si="16"/>
        <v>13.122</v>
      </c>
      <c r="K119" s="2">
        <f t="shared" si="17"/>
        <v>2.6</v>
      </c>
      <c r="L119" s="8">
        <v>0</v>
      </c>
      <c r="M119" s="1">
        <f t="shared" si="13"/>
        <v>0</v>
      </c>
      <c r="N119" s="41">
        <v>0</v>
      </c>
      <c r="O119" s="84" t="s">
        <v>275</v>
      </c>
      <c r="P119" s="24" t="s">
        <v>562</v>
      </c>
      <c r="Q119" s="7" t="s">
        <v>557</v>
      </c>
      <c r="R119" s="7"/>
      <c r="S119" s="81">
        <v>0.09</v>
      </c>
      <c r="T119" s="7">
        <v>25</v>
      </c>
      <c r="U119" s="82"/>
      <c r="V119" s="83">
        <f>ROUNDUP(E119*S119,2)</f>
        <v>242.1</v>
      </c>
      <c r="W119" s="83">
        <f>ROUNDUP(E119*0.015,2)</f>
        <v>40.35</v>
      </c>
      <c r="X119" s="82">
        <f>MAX(MIN(SUMIFS(Логистика!$C$2:$C$38,Логистика!$A$2:$A$38,"&lt;="&amp;K119,Логистика!$B$2:$B$38,"&gt;="&amp;K119)*E119,SUMIFS(Логистика!$E$2:$E$38,Логистика!$A$2:$A$38,"&lt;="&amp;K119,Логистика!$B$2:$B$38,"&gt;="&amp;K119)),SUMIFS(Логистика!$D$2:$D$38,Логистика!$A$2:$A$38,"&lt;="&amp;K119,Логистика!$B$2:$B$38,"&gt;="&amp;K119))</f>
        <v>161.4</v>
      </c>
      <c r="Y119" s="83">
        <f>IF(AND(E119*0.055&gt;20,E119*0.055&lt;250),ROUNDUP(E119*0.055,2),IF(E119*0.055&lt;=20,20,250))</f>
        <v>147.94999999999999</v>
      </c>
      <c r="Z119" s="83">
        <f>ROUND(M119*0.05,2)</f>
        <v>0</v>
      </c>
      <c r="AA119" s="83">
        <f>IF(N119=0,0,IF(ROUND(E119*N119,2)&gt;5,ROUND(E119*N119,2),5))</f>
        <v>0</v>
      </c>
      <c r="AB119" s="83">
        <f>IF(O119="Да",ROUND(E119*0.1111,2),0)</f>
        <v>0</v>
      </c>
      <c r="AC119" s="53">
        <f>V119+W119+T119+X119+Y119+Z119+AA119+AB119</f>
        <v>616.79999999999995</v>
      </c>
      <c r="AD119" s="8">
        <v>0</v>
      </c>
      <c r="AE119" s="36">
        <f>ROUND(E119*AD119,2)</f>
        <v>0</v>
      </c>
      <c r="AF119" s="6">
        <v>15</v>
      </c>
      <c r="AG119" s="6">
        <v>15</v>
      </c>
      <c r="AH119" s="59">
        <f>AH116*4</f>
        <v>1360</v>
      </c>
      <c r="AI119" s="57">
        <f>E119-AC119-AE119-AH119</f>
        <v>713.19999999999982</v>
      </c>
      <c r="AJ119" s="17">
        <f>E119-AC119</f>
        <v>2073.1999999999998</v>
      </c>
      <c r="AK119" s="20">
        <f>ROUND(AI119/E119,2)</f>
        <v>0.27</v>
      </c>
      <c r="AL119" s="21">
        <f t="shared" si="14"/>
        <v>0.52</v>
      </c>
    </row>
    <row r="120" spans="1:38" x14ac:dyDescent="0.25">
      <c r="A120" s="27" t="s">
        <v>340</v>
      </c>
      <c r="B120" s="45" t="s">
        <v>345</v>
      </c>
      <c r="C120" s="31">
        <v>3350</v>
      </c>
      <c r="D120" s="38">
        <v>0</v>
      </c>
      <c r="E120" s="50">
        <f t="shared" si="15"/>
        <v>3350</v>
      </c>
      <c r="F120" s="24">
        <v>0.5</v>
      </c>
      <c r="G120" s="7">
        <v>27</v>
      </c>
      <c r="H120" s="7">
        <v>27</v>
      </c>
      <c r="I120" s="7">
        <v>22</v>
      </c>
      <c r="J120" s="78">
        <f t="shared" si="16"/>
        <v>16.038</v>
      </c>
      <c r="K120" s="2">
        <f t="shared" si="17"/>
        <v>3.2</v>
      </c>
      <c r="L120" s="8">
        <v>0</v>
      </c>
      <c r="M120" s="1">
        <f t="shared" si="13"/>
        <v>0</v>
      </c>
      <c r="N120" s="41">
        <v>0</v>
      </c>
      <c r="O120" s="84" t="s">
        <v>275</v>
      </c>
      <c r="P120" s="24" t="s">
        <v>562</v>
      </c>
      <c r="Q120" s="7" t="s">
        <v>557</v>
      </c>
      <c r="R120" s="7"/>
      <c r="S120" s="81">
        <v>0.09</v>
      </c>
      <c r="T120" s="7">
        <v>25</v>
      </c>
      <c r="U120" s="82"/>
      <c r="V120" s="83">
        <f>ROUNDUP(E120*S120,2)</f>
        <v>301.5</v>
      </c>
      <c r="W120" s="83">
        <f>ROUNDUP(E120*0.015,2)</f>
        <v>50.25</v>
      </c>
      <c r="X120" s="82">
        <f>MAX(MIN(SUMIFS(Логистика!$C$2:$C$38,Логистика!$A$2:$A$38,"&lt;="&amp;K120,Логистика!$B$2:$B$38,"&gt;="&amp;K120)*E120,SUMIFS(Логистика!$E$2:$E$38,Логистика!$A$2:$A$38,"&lt;="&amp;K120,Логистика!$B$2:$B$38,"&gt;="&amp;K120)),SUMIFS(Логистика!$D$2:$D$38,Логистика!$A$2:$A$38,"&lt;="&amp;K120,Логистика!$B$2:$B$38,"&gt;="&amp;K120))</f>
        <v>201</v>
      </c>
      <c r="Y120" s="83">
        <f>IF(AND(E120*0.055&gt;20,E120*0.055&lt;250),ROUNDUP(E120*0.055,2),IF(E120*0.055&lt;=20,20,250))</f>
        <v>184.25</v>
      </c>
      <c r="Z120" s="83">
        <f>ROUND(M120*0.05,2)</f>
        <v>0</v>
      </c>
      <c r="AA120" s="83">
        <f>IF(N120=0,0,IF(ROUND(E120*N120,2)&gt;5,ROUND(E120*N120,2),5))</f>
        <v>0</v>
      </c>
      <c r="AB120" s="83">
        <f>IF(O120="Да",ROUND(E120*0.1111,2),0)</f>
        <v>0</v>
      </c>
      <c r="AC120" s="53">
        <f>V120+W120+T120+X120+Y120+Z120+AA120+AB120</f>
        <v>762</v>
      </c>
      <c r="AD120" s="8">
        <v>0</v>
      </c>
      <c r="AE120" s="36">
        <f>ROUND(E120*AD120,2)</f>
        <v>0</v>
      </c>
      <c r="AF120" s="6">
        <v>15</v>
      </c>
      <c r="AG120" s="6">
        <v>15</v>
      </c>
      <c r="AH120" s="59">
        <f>AH116*5</f>
        <v>1700</v>
      </c>
      <c r="AI120" s="57">
        <f>E120-AC120-AE120-AH120</f>
        <v>888</v>
      </c>
      <c r="AJ120" s="17">
        <f>E120-AC120</f>
        <v>2588</v>
      </c>
      <c r="AK120" s="20">
        <f>ROUND(AI120/E120,2)</f>
        <v>0.27</v>
      </c>
      <c r="AL120" s="21">
        <f t="shared" si="14"/>
        <v>0.52</v>
      </c>
    </row>
    <row r="121" spans="1:38" x14ac:dyDescent="0.25">
      <c r="A121" s="27" t="s">
        <v>341</v>
      </c>
      <c r="B121" s="45" t="s">
        <v>346</v>
      </c>
      <c r="C121" s="31">
        <v>3950</v>
      </c>
      <c r="D121" s="38">
        <v>0</v>
      </c>
      <c r="E121" s="50">
        <f t="shared" si="15"/>
        <v>3950</v>
      </c>
      <c r="F121" s="24">
        <v>0.6</v>
      </c>
      <c r="G121" s="7">
        <v>27</v>
      </c>
      <c r="H121" s="7">
        <v>27</v>
      </c>
      <c r="I121" s="7">
        <v>26</v>
      </c>
      <c r="J121" s="78">
        <f t="shared" si="16"/>
        <v>18.954000000000001</v>
      </c>
      <c r="K121" s="2">
        <f t="shared" si="17"/>
        <v>3.8</v>
      </c>
      <c r="L121" s="8">
        <v>0</v>
      </c>
      <c r="M121" s="1">
        <f t="shared" si="13"/>
        <v>0</v>
      </c>
      <c r="N121" s="41">
        <v>0</v>
      </c>
      <c r="O121" s="84" t="s">
        <v>275</v>
      </c>
      <c r="P121" s="24" t="s">
        <v>562</v>
      </c>
      <c r="Q121" s="7" t="s">
        <v>557</v>
      </c>
      <c r="R121" s="7"/>
      <c r="S121" s="81">
        <v>0.09</v>
      </c>
      <c r="T121" s="7">
        <v>25</v>
      </c>
      <c r="U121" s="82"/>
      <c r="V121" s="83">
        <f>ROUNDUP(E121*S121,2)</f>
        <v>355.5</v>
      </c>
      <c r="W121" s="83">
        <f>ROUNDUP(E121*0.015,2)</f>
        <v>59.25</v>
      </c>
      <c r="X121" s="82">
        <f>MAX(MIN(SUMIFS(Логистика!$C$2:$C$38,Логистика!$A$2:$A$38,"&lt;="&amp;K121,Логистика!$B$2:$B$38,"&gt;="&amp;K121)*E121,SUMIFS(Логистика!$E$2:$E$38,Логистика!$A$2:$A$38,"&lt;="&amp;K121,Логистика!$B$2:$B$38,"&gt;="&amp;K121)),SUMIFS(Логистика!$D$2:$D$38,Логистика!$A$2:$A$38,"&lt;="&amp;K121,Логистика!$B$2:$B$38,"&gt;="&amp;K121))</f>
        <v>237</v>
      </c>
      <c r="Y121" s="83">
        <f>IF(AND(E121*0.055&gt;20,E121*0.055&lt;250),ROUNDUP(E121*0.055,2),IF(E121*0.055&lt;=20,20,250))</f>
        <v>217.25</v>
      </c>
      <c r="Z121" s="83">
        <f>ROUND(M121*0.05,2)</f>
        <v>0</v>
      </c>
      <c r="AA121" s="83">
        <f>IF(N121=0,0,IF(ROUND(E121*N121,2)&gt;5,ROUND(E121*N121,2),5))</f>
        <v>0</v>
      </c>
      <c r="AB121" s="83">
        <f>IF(O121="Да",ROUND(E121*0.1111,2),0)</f>
        <v>0</v>
      </c>
      <c r="AC121" s="53">
        <f>V121+W121+T121+X121+Y121+Z121+AA121+AB121</f>
        <v>894</v>
      </c>
      <c r="AD121" s="8">
        <v>0</v>
      </c>
      <c r="AE121" s="36">
        <f>ROUND(E121*AD121,2)</f>
        <v>0</v>
      </c>
      <c r="AF121" s="6">
        <v>15</v>
      </c>
      <c r="AG121" s="6">
        <v>15</v>
      </c>
      <c r="AH121" s="59">
        <f>AH116*6</f>
        <v>2040</v>
      </c>
      <c r="AI121" s="57">
        <f>E121-AC121-AE121-AH121</f>
        <v>1016</v>
      </c>
      <c r="AJ121" s="17">
        <f>E121-AC121</f>
        <v>3056</v>
      </c>
      <c r="AK121" s="20">
        <f>ROUND(AI121/E121,2)</f>
        <v>0.26</v>
      </c>
      <c r="AL121" s="21">
        <f t="shared" si="14"/>
        <v>0.5</v>
      </c>
    </row>
    <row r="122" spans="1:38" x14ac:dyDescent="0.25">
      <c r="A122" s="27"/>
      <c r="B122" s="45"/>
      <c r="C122" s="31"/>
      <c r="D122" s="38">
        <v>0</v>
      </c>
      <c r="E122" s="50">
        <f t="shared" si="15"/>
        <v>0</v>
      </c>
      <c r="F122" s="24"/>
      <c r="G122" s="7">
        <v>0</v>
      </c>
      <c r="H122" s="7">
        <v>0</v>
      </c>
      <c r="I122" s="7">
        <v>0</v>
      </c>
      <c r="J122" s="78">
        <f t="shared" si="16"/>
        <v>0</v>
      </c>
      <c r="K122" s="2">
        <f t="shared" si="17"/>
        <v>0</v>
      </c>
      <c r="L122" s="8">
        <v>0</v>
      </c>
      <c r="M122" s="1">
        <f t="shared" si="13"/>
        <v>0</v>
      </c>
      <c r="N122" s="41">
        <v>0</v>
      </c>
      <c r="O122" s="84" t="s">
        <v>275</v>
      </c>
      <c r="P122" s="24" t="s">
        <v>562</v>
      </c>
      <c r="Q122" s="7" t="s">
        <v>557</v>
      </c>
      <c r="R122" s="7"/>
      <c r="S122" s="81">
        <v>0.09</v>
      </c>
      <c r="T122" s="7">
        <v>25</v>
      </c>
      <c r="U122" s="82"/>
      <c r="V122" s="83">
        <f>ROUNDUP(E122*S122,2)</f>
        <v>0</v>
      </c>
      <c r="W122" s="83">
        <f>ROUNDUP(E122*0.015,2)</f>
        <v>0</v>
      </c>
      <c r="X122" s="82">
        <f>MAX(MIN(SUMIFS(Логистика!$C$2:$C$38,Логистика!$A$2:$A$38,"&lt;="&amp;K122,Логистика!$B$2:$B$38,"&gt;="&amp;K122)*E122,SUMIFS(Логистика!$E$2:$E$38,Логистика!$A$2:$A$38,"&lt;="&amp;K122,Логистика!$B$2:$B$38,"&gt;="&amp;K122)),SUMIFS(Логистика!$D$2:$D$38,Логистика!$A$2:$A$38,"&lt;="&amp;K122,Логистика!$B$2:$B$38,"&gt;="&amp;K122))</f>
        <v>0</v>
      </c>
      <c r="Y122" s="83">
        <f>IF(AND(E122*0.055&gt;20,E122*0.055&lt;250),ROUNDUP(E122*0.055,2),IF(E122*0.055&lt;=20,20,250))</f>
        <v>20</v>
      </c>
      <c r="Z122" s="83">
        <f>ROUND(M122*0.05,2)</f>
        <v>0</v>
      </c>
      <c r="AA122" s="83">
        <f>IF(N122=0,0,IF(ROUND(E122*N122,2)&gt;5,ROUND(E122*N122,2),5))</f>
        <v>0</v>
      </c>
      <c r="AB122" s="83">
        <f>IF(O122="Да",ROUND(E122*0.1111,2),0)</f>
        <v>0</v>
      </c>
      <c r="AC122" s="53">
        <f>V122+W122+T122+X122+Y122+Z122+AA122+AB122</f>
        <v>45</v>
      </c>
      <c r="AD122" s="8">
        <v>0</v>
      </c>
      <c r="AE122" s="36">
        <f>ROUND(E122*AD122,2)</f>
        <v>0</v>
      </c>
      <c r="AF122" s="6">
        <v>15</v>
      </c>
      <c r="AG122" s="6">
        <v>15</v>
      </c>
      <c r="AH122" s="5"/>
      <c r="AI122" s="57">
        <f>E122-AC122-AE122-AH122</f>
        <v>-45</v>
      </c>
      <c r="AJ122" s="17">
        <f>E122-AC122</f>
        <v>-45</v>
      </c>
      <c r="AK122" s="20" t="e">
        <f>ROUND(AI122/E122,2)</f>
        <v>#DIV/0!</v>
      </c>
      <c r="AL122" s="21" t="e">
        <f t="shared" si="14"/>
        <v>#DIV/0!</v>
      </c>
    </row>
    <row r="123" spans="1:38" x14ac:dyDescent="0.25">
      <c r="A123" s="27" t="s">
        <v>347</v>
      </c>
      <c r="B123" s="45" t="s">
        <v>348</v>
      </c>
      <c r="C123" s="31">
        <v>820</v>
      </c>
      <c r="D123" s="38">
        <v>0</v>
      </c>
      <c r="E123" s="50">
        <f t="shared" si="15"/>
        <v>820</v>
      </c>
      <c r="F123" s="24">
        <v>0.1</v>
      </c>
      <c r="G123" s="7">
        <v>32</v>
      </c>
      <c r="H123" s="7">
        <v>32</v>
      </c>
      <c r="I123" s="7">
        <v>6</v>
      </c>
      <c r="J123" s="78">
        <f t="shared" si="16"/>
        <v>6.1440000000000001</v>
      </c>
      <c r="K123" s="2">
        <f t="shared" si="17"/>
        <v>1.2</v>
      </c>
      <c r="L123" s="8">
        <v>0</v>
      </c>
      <c r="M123" s="1">
        <f t="shared" si="13"/>
        <v>0</v>
      </c>
      <c r="N123" s="41">
        <v>0</v>
      </c>
      <c r="O123" s="84" t="s">
        <v>275</v>
      </c>
      <c r="P123" s="24" t="s">
        <v>562</v>
      </c>
      <c r="Q123" s="7" t="s">
        <v>557</v>
      </c>
      <c r="R123" s="7"/>
      <c r="S123" s="81">
        <v>0.09</v>
      </c>
      <c r="T123" s="7">
        <v>25</v>
      </c>
      <c r="U123" s="82"/>
      <c r="V123" s="83">
        <f>ROUNDUP(E123*S123,2)</f>
        <v>73.8</v>
      </c>
      <c r="W123" s="83">
        <f>ROUNDUP(E123*0.015,2)</f>
        <v>12.3</v>
      </c>
      <c r="X123" s="82">
        <f>MAX(MIN(SUMIFS(Логистика!$C$2:$C$38,Логистика!$A$2:$A$38,"&lt;="&amp;K123,Логистика!$B$2:$B$38,"&gt;="&amp;K123)*E123,SUMIFS(Логистика!$E$2:$E$38,Логистика!$A$2:$A$38,"&lt;="&amp;K123,Логистика!$B$2:$B$38,"&gt;="&amp;K123)),SUMIFS(Логистика!$D$2:$D$38,Логистика!$A$2:$A$38,"&lt;="&amp;K123,Логистика!$B$2:$B$38,"&gt;="&amp;K123))</f>
        <v>57</v>
      </c>
      <c r="Y123" s="83">
        <f>IF(AND(E123*0.055&gt;20,E123*0.055&lt;250),ROUNDUP(E123*0.055,2),IF(E123*0.055&lt;=20,20,250))</f>
        <v>45.1</v>
      </c>
      <c r="Z123" s="83">
        <f>ROUND(M123*0.05,2)</f>
        <v>0</v>
      </c>
      <c r="AA123" s="83">
        <f>IF(N123=0,0,IF(ROUND(E123*N123,2)&gt;5,ROUND(E123*N123,2),5))</f>
        <v>0</v>
      </c>
      <c r="AB123" s="83">
        <f>IF(O123="Да",ROUND(E123*0.1111,2),0)</f>
        <v>0</v>
      </c>
      <c r="AC123" s="53">
        <f>V123+W123+T123+X123+Y123+Z123+AA123+AB123</f>
        <v>213.2</v>
      </c>
      <c r="AD123" s="8">
        <v>0</v>
      </c>
      <c r="AE123" s="36">
        <f>ROUND(E123*AD123,2)</f>
        <v>0</v>
      </c>
      <c r="AF123" s="6">
        <v>15</v>
      </c>
      <c r="AG123" s="6">
        <v>15</v>
      </c>
      <c r="AH123" s="5">
        <v>380</v>
      </c>
      <c r="AI123" s="57">
        <f>E123-AC123-AE123-AH123</f>
        <v>226.79999999999995</v>
      </c>
      <c r="AJ123" s="17">
        <f>E123-AC123</f>
        <v>606.79999999999995</v>
      </c>
      <c r="AK123" s="20">
        <f>ROUND(AI123/E123,2)</f>
        <v>0.28000000000000003</v>
      </c>
      <c r="AL123" s="21">
        <f t="shared" si="14"/>
        <v>0.6</v>
      </c>
    </row>
    <row r="124" spans="1:38" x14ac:dyDescent="0.25">
      <c r="A124" s="27" t="s">
        <v>349</v>
      </c>
      <c r="B124" s="45" t="s">
        <v>354</v>
      </c>
      <c r="C124" s="31">
        <v>1550</v>
      </c>
      <c r="D124" s="38">
        <v>0</v>
      </c>
      <c r="E124" s="50">
        <f t="shared" si="15"/>
        <v>1550</v>
      </c>
      <c r="F124" s="24">
        <v>0.2</v>
      </c>
      <c r="G124" s="7">
        <v>32</v>
      </c>
      <c r="H124" s="7">
        <v>32</v>
      </c>
      <c r="I124" s="7">
        <v>10</v>
      </c>
      <c r="J124" s="78">
        <f t="shared" si="16"/>
        <v>10.24</v>
      </c>
      <c r="K124" s="2">
        <f t="shared" si="17"/>
        <v>2</v>
      </c>
      <c r="L124" s="8">
        <v>0</v>
      </c>
      <c r="M124" s="1">
        <f t="shared" si="13"/>
        <v>0</v>
      </c>
      <c r="N124" s="41">
        <v>0</v>
      </c>
      <c r="O124" s="84" t="s">
        <v>275</v>
      </c>
      <c r="P124" s="24" t="s">
        <v>562</v>
      </c>
      <c r="Q124" s="7" t="s">
        <v>557</v>
      </c>
      <c r="R124" s="7"/>
      <c r="S124" s="81">
        <v>0.09</v>
      </c>
      <c r="T124" s="7">
        <v>25</v>
      </c>
      <c r="U124" s="82"/>
      <c r="V124" s="83">
        <f>ROUNDUP(E124*S124,2)</f>
        <v>139.5</v>
      </c>
      <c r="W124" s="83">
        <f>ROUNDUP(E124*0.015,2)</f>
        <v>23.25</v>
      </c>
      <c r="X124" s="82">
        <f>MAX(MIN(SUMIFS(Логистика!$C$2:$C$38,Логистика!$A$2:$A$38,"&lt;="&amp;K124,Логистика!$B$2:$B$38,"&gt;="&amp;K124)*E124,SUMIFS(Логистика!$E$2:$E$38,Логистика!$A$2:$A$38,"&lt;="&amp;K124,Логистика!$B$2:$B$38,"&gt;="&amp;K124)),SUMIFS(Логистика!$D$2:$D$38,Логистика!$A$2:$A$38,"&lt;="&amp;K124,Логистика!$B$2:$B$38,"&gt;="&amp;K124))</f>
        <v>93</v>
      </c>
      <c r="Y124" s="83">
        <f>IF(AND(E124*0.055&gt;20,E124*0.055&lt;250),ROUNDUP(E124*0.055,2),IF(E124*0.055&lt;=20,20,250))</f>
        <v>85.25</v>
      </c>
      <c r="Z124" s="83">
        <f>ROUND(M124*0.05,2)</f>
        <v>0</v>
      </c>
      <c r="AA124" s="83">
        <f>IF(N124=0,0,IF(ROUND(E124*N124,2)&gt;5,ROUND(E124*N124,2),5))</f>
        <v>0</v>
      </c>
      <c r="AB124" s="83">
        <f>IF(O124="Да",ROUND(E124*0.1111,2),0)</f>
        <v>0</v>
      </c>
      <c r="AC124" s="53">
        <f>V124+W124+T124+X124+Y124+Z124+AA124+AB124</f>
        <v>366</v>
      </c>
      <c r="AD124" s="8">
        <v>0</v>
      </c>
      <c r="AE124" s="36">
        <f>ROUND(E124*AD124,2)</f>
        <v>0</v>
      </c>
      <c r="AF124" s="6">
        <v>15</v>
      </c>
      <c r="AG124" s="6">
        <v>15</v>
      </c>
      <c r="AH124" s="59">
        <f>AH123*2</f>
        <v>760</v>
      </c>
      <c r="AI124" s="57">
        <f>E124-AC124-AE124-AH124</f>
        <v>424</v>
      </c>
      <c r="AJ124" s="17">
        <f>E124-AC124</f>
        <v>1184</v>
      </c>
      <c r="AK124" s="20">
        <f>ROUND(AI124/E124,2)</f>
        <v>0.27</v>
      </c>
      <c r="AL124" s="21">
        <f t="shared" si="14"/>
        <v>0.56000000000000005</v>
      </c>
    </row>
    <row r="125" spans="1:38" x14ac:dyDescent="0.25">
      <c r="A125" s="27" t="s">
        <v>350</v>
      </c>
      <c r="B125" s="45" t="s">
        <v>355</v>
      </c>
      <c r="C125" s="31">
        <v>2290</v>
      </c>
      <c r="D125" s="38">
        <v>0</v>
      </c>
      <c r="E125" s="50">
        <f t="shared" si="15"/>
        <v>2290</v>
      </c>
      <c r="F125" s="24">
        <v>0.3</v>
      </c>
      <c r="G125" s="7">
        <v>32</v>
      </c>
      <c r="H125" s="7">
        <v>32</v>
      </c>
      <c r="I125" s="7">
        <v>14.000000000000002</v>
      </c>
      <c r="J125" s="78">
        <f t="shared" si="16"/>
        <v>14.336000000000002</v>
      </c>
      <c r="K125" s="2">
        <f t="shared" si="17"/>
        <v>2.9</v>
      </c>
      <c r="L125" s="8">
        <v>0</v>
      </c>
      <c r="M125" s="1">
        <f t="shared" si="13"/>
        <v>0</v>
      </c>
      <c r="N125" s="41">
        <v>0</v>
      </c>
      <c r="O125" s="84" t="s">
        <v>275</v>
      </c>
      <c r="P125" s="24" t="s">
        <v>562</v>
      </c>
      <c r="Q125" s="7" t="s">
        <v>557</v>
      </c>
      <c r="R125" s="7"/>
      <c r="S125" s="81">
        <v>0.09</v>
      </c>
      <c r="T125" s="7">
        <v>25</v>
      </c>
      <c r="U125" s="82"/>
      <c r="V125" s="83">
        <f>ROUNDUP(E125*S125,2)</f>
        <v>206.1</v>
      </c>
      <c r="W125" s="83">
        <f>ROUNDUP(E125*0.015,2)</f>
        <v>34.35</v>
      </c>
      <c r="X125" s="82">
        <f>MAX(MIN(SUMIFS(Логистика!$C$2:$C$38,Логистика!$A$2:$A$38,"&lt;="&amp;K125,Логистика!$B$2:$B$38,"&gt;="&amp;K125)*E125,SUMIFS(Логистика!$E$2:$E$38,Логистика!$A$2:$A$38,"&lt;="&amp;K125,Логистика!$B$2:$B$38,"&gt;="&amp;K125)),SUMIFS(Логистика!$D$2:$D$38,Логистика!$A$2:$A$38,"&lt;="&amp;K125,Логистика!$B$2:$B$38,"&gt;="&amp;K125))</f>
        <v>137.4</v>
      </c>
      <c r="Y125" s="83">
        <f>IF(AND(E125*0.055&gt;20,E125*0.055&lt;250),ROUNDUP(E125*0.055,2),IF(E125*0.055&lt;=20,20,250))</f>
        <v>125.95</v>
      </c>
      <c r="Z125" s="83">
        <f>ROUND(M125*0.05,2)</f>
        <v>0</v>
      </c>
      <c r="AA125" s="83">
        <f>IF(N125=0,0,IF(ROUND(E125*N125,2)&gt;5,ROUND(E125*N125,2),5))</f>
        <v>0</v>
      </c>
      <c r="AB125" s="83">
        <f>IF(O125="Да",ROUND(E125*0.1111,2),0)</f>
        <v>0</v>
      </c>
      <c r="AC125" s="53">
        <f>V125+W125+T125+X125+Y125+Z125+AA125+AB125</f>
        <v>528.80000000000007</v>
      </c>
      <c r="AD125" s="8">
        <v>0</v>
      </c>
      <c r="AE125" s="36">
        <f>ROUND(E125*AD125,2)</f>
        <v>0</v>
      </c>
      <c r="AF125" s="6">
        <v>15</v>
      </c>
      <c r="AG125" s="6">
        <v>15</v>
      </c>
      <c r="AH125" s="59">
        <f>AH123*3</f>
        <v>1140</v>
      </c>
      <c r="AI125" s="57">
        <f>E125-AC125-AE125-AH125</f>
        <v>621.19999999999982</v>
      </c>
      <c r="AJ125" s="17">
        <f>E125-AC125</f>
        <v>1761.1999999999998</v>
      </c>
      <c r="AK125" s="20">
        <f>ROUND(AI125/E125,2)</f>
        <v>0.27</v>
      </c>
      <c r="AL125" s="21">
        <f t="shared" si="14"/>
        <v>0.54</v>
      </c>
    </row>
    <row r="126" spans="1:38" x14ac:dyDescent="0.25">
      <c r="A126" s="27" t="s">
        <v>351</v>
      </c>
      <c r="B126" s="45" t="s">
        <v>356</v>
      </c>
      <c r="C126" s="31">
        <v>2990</v>
      </c>
      <c r="D126" s="38">
        <v>0</v>
      </c>
      <c r="E126" s="50">
        <f t="shared" si="15"/>
        <v>2990</v>
      </c>
      <c r="F126" s="24">
        <v>0.4</v>
      </c>
      <c r="G126" s="7">
        <v>32</v>
      </c>
      <c r="H126" s="7">
        <v>32</v>
      </c>
      <c r="I126" s="7">
        <v>18</v>
      </c>
      <c r="J126" s="78">
        <f t="shared" si="16"/>
        <v>18.431999999999999</v>
      </c>
      <c r="K126" s="2">
        <f t="shared" si="17"/>
        <v>3.7</v>
      </c>
      <c r="L126" s="8">
        <v>0</v>
      </c>
      <c r="M126" s="1">
        <f t="shared" si="13"/>
        <v>0</v>
      </c>
      <c r="N126" s="41">
        <v>0</v>
      </c>
      <c r="O126" s="84" t="s">
        <v>275</v>
      </c>
      <c r="P126" s="24" t="s">
        <v>562</v>
      </c>
      <c r="Q126" s="7" t="s">
        <v>557</v>
      </c>
      <c r="R126" s="7"/>
      <c r="S126" s="81">
        <v>0.09</v>
      </c>
      <c r="T126" s="7">
        <v>25</v>
      </c>
      <c r="U126" s="82"/>
      <c r="V126" s="83">
        <f>ROUNDUP(E126*S126,2)</f>
        <v>269.10000000000002</v>
      </c>
      <c r="W126" s="83">
        <f>ROUNDUP(E126*0.015,2)</f>
        <v>44.85</v>
      </c>
      <c r="X126" s="82">
        <f>MAX(MIN(SUMIFS(Логистика!$C$2:$C$38,Логистика!$A$2:$A$38,"&lt;="&amp;K126,Логистика!$B$2:$B$38,"&gt;="&amp;K126)*E126,SUMIFS(Логистика!$E$2:$E$38,Логистика!$A$2:$A$38,"&lt;="&amp;K126,Логистика!$B$2:$B$38,"&gt;="&amp;K126)),SUMIFS(Логистика!$D$2:$D$38,Логистика!$A$2:$A$38,"&lt;="&amp;K126,Логистика!$B$2:$B$38,"&gt;="&amp;K126))</f>
        <v>179.4</v>
      </c>
      <c r="Y126" s="83">
        <f>IF(AND(E126*0.055&gt;20,E126*0.055&lt;250),ROUNDUP(E126*0.055,2),IF(E126*0.055&lt;=20,20,250))</f>
        <v>164.45</v>
      </c>
      <c r="Z126" s="83">
        <f>ROUND(M126*0.05,2)</f>
        <v>0</v>
      </c>
      <c r="AA126" s="83">
        <f>IF(N126=0,0,IF(ROUND(E126*N126,2)&gt;5,ROUND(E126*N126,2),5))</f>
        <v>0</v>
      </c>
      <c r="AB126" s="83">
        <f>IF(O126="Да",ROUND(E126*0.1111,2),0)</f>
        <v>0</v>
      </c>
      <c r="AC126" s="53">
        <f>V126+W126+T126+X126+Y126+Z126+AA126+AB126</f>
        <v>682.8</v>
      </c>
      <c r="AD126" s="8">
        <v>0</v>
      </c>
      <c r="AE126" s="36">
        <f>ROUND(E126*AD126,2)</f>
        <v>0</v>
      </c>
      <c r="AF126" s="6">
        <v>15</v>
      </c>
      <c r="AG126" s="6">
        <v>15</v>
      </c>
      <c r="AH126" s="59">
        <f>AH123*4</f>
        <v>1520</v>
      </c>
      <c r="AI126" s="57">
        <f>E126-AC126-AE126-AH126</f>
        <v>787.19999999999982</v>
      </c>
      <c r="AJ126" s="17">
        <f>E126-AC126</f>
        <v>2307.1999999999998</v>
      </c>
      <c r="AK126" s="20">
        <f>ROUND(AI126/E126,2)</f>
        <v>0.26</v>
      </c>
      <c r="AL126" s="21">
        <f t="shared" si="14"/>
        <v>0.52</v>
      </c>
    </row>
    <row r="127" spans="1:38" x14ac:dyDescent="0.25">
      <c r="A127" s="27" t="s">
        <v>352</v>
      </c>
      <c r="B127" s="45" t="s">
        <v>357</v>
      </c>
      <c r="C127" s="31">
        <v>3690</v>
      </c>
      <c r="D127" s="38">
        <v>0</v>
      </c>
      <c r="E127" s="50">
        <f t="shared" si="15"/>
        <v>3690</v>
      </c>
      <c r="F127" s="24">
        <v>0.5</v>
      </c>
      <c r="G127" s="7">
        <v>32</v>
      </c>
      <c r="H127" s="7">
        <v>32</v>
      </c>
      <c r="I127" s="7">
        <v>22</v>
      </c>
      <c r="J127" s="78">
        <f t="shared" si="16"/>
        <v>22.527999999999999</v>
      </c>
      <c r="K127" s="2">
        <f t="shared" si="17"/>
        <v>4.5</v>
      </c>
      <c r="L127" s="8">
        <v>0</v>
      </c>
      <c r="M127" s="1">
        <f t="shared" si="13"/>
        <v>0</v>
      </c>
      <c r="N127" s="41">
        <v>0</v>
      </c>
      <c r="O127" s="84" t="s">
        <v>275</v>
      </c>
      <c r="P127" s="24" t="s">
        <v>562</v>
      </c>
      <c r="Q127" s="7" t="s">
        <v>557</v>
      </c>
      <c r="R127" s="7"/>
      <c r="S127" s="81">
        <v>0.09</v>
      </c>
      <c r="T127" s="7">
        <v>25</v>
      </c>
      <c r="U127" s="82"/>
      <c r="V127" s="83">
        <f>ROUNDUP(E127*S127,2)</f>
        <v>332.1</v>
      </c>
      <c r="W127" s="83">
        <f>ROUNDUP(E127*0.015,2)</f>
        <v>55.35</v>
      </c>
      <c r="X127" s="82">
        <f>MAX(MIN(SUMIFS(Логистика!$C$2:$C$38,Логистика!$A$2:$A$38,"&lt;="&amp;K127,Логистика!$B$2:$B$38,"&gt;="&amp;K127)*E127,SUMIFS(Логистика!$E$2:$E$38,Логистика!$A$2:$A$38,"&lt;="&amp;K127,Логистика!$B$2:$B$38,"&gt;="&amp;K127)),SUMIFS(Логистика!$D$2:$D$38,Логистика!$A$2:$A$38,"&lt;="&amp;K127,Логистика!$B$2:$B$38,"&gt;="&amp;K127))</f>
        <v>221.4</v>
      </c>
      <c r="Y127" s="83">
        <f>IF(AND(E127*0.055&gt;20,E127*0.055&lt;250),ROUNDUP(E127*0.055,2),IF(E127*0.055&lt;=20,20,250))</f>
        <v>202.95</v>
      </c>
      <c r="Z127" s="83">
        <f>ROUND(M127*0.05,2)</f>
        <v>0</v>
      </c>
      <c r="AA127" s="83">
        <f>IF(N127=0,0,IF(ROUND(E127*N127,2)&gt;5,ROUND(E127*N127,2),5))</f>
        <v>0</v>
      </c>
      <c r="AB127" s="83">
        <f>IF(O127="Да",ROUND(E127*0.1111,2),0)</f>
        <v>0</v>
      </c>
      <c r="AC127" s="53">
        <f>V127+W127+T127+X127+Y127+Z127+AA127+AB127</f>
        <v>836.8</v>
      </c>
      <c r="AD127" s="8">
        <v>0</v>
      </c>
      <c r="AE127" s="36">
        <f>ROUND(E127*AD127,2)</f>
        <v>0</v>
      </c>
      <c r="AF127" s="6">
        <v>15</v>
      </c>
      <c r="AG127" s="6">
        <v>15</v>
      </c>
      <c r="AH127" s="59">
        <f>AH123*5</f>
        <v>1900</v>
      </c>
      <c r="AI127" s="57">
        <f>E127-AC127-AE127-AH127</f>
        <v>953.19999999999982</v>
      </c>
      <c r="AJ127" s="17">
        <f>E127-AC127</f>
        <v>2853.2</v>
      </c>
      <c r="AK127" s="20">
        <f>ROUND(AI127/E127,2)</f>
        <v>0.26</v>
      </c>
      <c r="AL127" s="21">
        <f t="shared" si="14"/>
        <v>0.5</v>
      </c>
    </row>
    <row r="128" spans="1:38" x14ac:dyDescent="0.25">
      <c r="A128" s="27" t="s">
        <v>353</v>
      </c>
      <c r="B128" s="45" t="s">
        <v>358</v>
      </c>
      <c r="C128" s="31">
        <v>4390</v>
      </c>
      <c r="D128" s="38">
        <v>0</v>
      </c>
      <c r="E128" s="50">
        <f t="shared" si="15"/>
        <v>4390</v>
      </c>
      <c r="F128" s="24">
        <v>0.6</v>
      </c>
      <c r="G128" s="7">
        <v>32</v>
      </c>
      <c r="H128" s="7">
        <v>32</v>
      </c>
      <c r="I128" s="7">
        <v>26</v>
      </c>
      <c r="J128" s="78">
        <f t="shared" si="16"/>
        <v>26.623999999999999</v>
      </c>
      <c r="K128" s="2">
        <f t="shared" si="17"/>
        <v>5.3</v>
      </c>
      <c r="L128" s="8">
        <v>0</v>
      </c>
      <c r="M128" s="1">
        <f t="shared" si="13"/>
        <v>0</v>
      </c>
      <c r="N128" s="41">
        <v>0</v>
      </c>
      <c r="O128" s="84" t="s">
        <v>275</v>
      </c>
      <c r="P128" s="24" t="s">
        <v>562</v>
      </c>
      <c r="Q128" s="7" t="s">
        <v>557</v>
      </c>
      <c r="R128" s="7"/>
      <c r="S128" s="81">
        <v>0.09</v>
      </c>
      <c r="T128" s="7">
        <v>25</v>
      </c>
      <c r="U128" s="82"/>
      <c r="V128" s="83">
        <f>ROUNDUP(E128*S128,2)</f>
        <v>395.1</v>
      </c>
      <c r="W128" s="83">
        <f>ROUNDUP(E128*0.015,2)</f>
        <v>65.849999999999994</v>
      </c>
      <c r="X128" s="82">
        <f>MAX(MIN(SUMIFS(Логистика!$C$2:$C$38,Логистика!$A$2:$A$38,"&lt;="&amp;K128,Логистика!$B$2:$B$38,"&gt;="&amp;K128)*E128,SUMIFS(Логистика!$E$2:$E$38,Логистика!$A$2:$A$38,"&lt;="&amp;K128,Логистика!$B$2:$B$38,"&gt;="&amp;K128)),SUMIFS(Логистика!$D$2:$D$38,Логистика!$A$2:$A$38,"&lt;="&amp;K128,Логистика!$B$2:$B$38,"&gt;="&amp;K128))</f>
        <v>263.39999999999998</v>
      </c>
      <c r="Y128" s="83">
        <f>IF(AND(E128*0.055&gt;20,E128*0.055&lt;250),ROUNDUP(E128*0.055,2),IF(E128*0.055&lt;=20,20,250))</f>
        <v>241.45</v>
      </c>
      <c r="Z128" s="83">
        <f>ROUND(M128*0.05,2)</f>
        <v>0</v>
      </c>
      <c r="AA128" s="83">
        <f>IF(N128=0,0,IF(ROUND(E128*N128,2)&gt;5,ROUND(E128*N128,2),5))</f>
        <v>0</v>
      </c>
      <c r="AB128" s="83">
        <f>IF(O128="Да",ROUND(E128*0.1111,2),0)</f>
        <v>0</v>
      </c>
      <c r="AC128" s="53">
        <f>V128+W128+T128+X128+Y128+Z128+AA128+AB128</f>
        <v>990.8</v>
      </c>
      <c r="AD128" s="8">
        <v>0</v>
      </c>
      <c r="AE128" s="36">
        <f>ROUND(E128*AD128,2)</f>
        <v>0</v>
      </c>
      <c r="AF128" s="6">
        <v>15</v>
      </c>
      <c r="AG128" s="6">
        <v>15</v>
      </c>
      <c r="AH128" s="59">
        <f>AH123*6</f>
        <v>2280</v>
      </c>
      <c r="AI128" s="57">
        <f>E128-AC128-AE128-AH128</f>
        <v>1119.1999999999998</v>
      </c>
      <c r="AJ128" s="17">
        <f>E128-AC128</f>
        <v>3399.2</v>
      </c>
      <c r="AK128" s="20">
        <f>ROUND(AI128/E128,2)</f>
        <v>0.25</v>
      </c>
      <c r="AL128" s="21">
        <f t="shared" si="14"/>
        <v>0.49</v>
      </c>
    </row>
    <row r="129" spans="1:38" x14ac:dyDescent="0.25">
      <c r="A129" s="27"/>
      <c r="B129" s="45"/>
      <c r="C129" s="31"/>
      <c r="D129" s="38">
        <v>0</v>
      </c>
      <c r="E129" s="50">
        <f t="shared" si="15"/>
        <v>0</v>
      </c>
      <c r="F129" s="24"/>
      <c r="G129" s="7">
        <v>0</v>
      </c>
      <c r="H129" s="7">
        <v>0</v>
      </c>
      <c r="I129" s="7">
        <v>0</v>
      </c>
      <c r="J129" s="78">
        <f t="shared" si="16"/>
        <v>0</v>
      </c>
      <c r="K129" s="2">
        <f t="shared" si="17"/>
        <v>0</v>
      </c>
      <c r="L129" s="8">
        <v>0</v>
      </c>
      <c r="M129" s="1">
        <f t="shared" ref="M129:M162" si="21">IF(L129=0,0,IF(ROUND(E129*L129,0)&gt;20,ROUND(E129*L129,0),20))</f>
        <v>0</v>
      </c>
      <c r="N129" s="41">
        <v>0</v>
      </c>
      <c r="O129" s="84" t="s">
        <v>275</v>
      </c>
      <c r="P129" s="24" t="s">
        <v>562</v>
      </c>
      <c r="Q129" s="7" t="s">
        <v>557</v>
      </c>
      <c r="R129" s="7"/>
      <c r="S129" s="81">
        <v>0.09</v>
      </c>
      <c r="T129" s="7">
        <v>25</v>
      </c>
      <c r="U129" s="82"/>
      <c r="V129" s="83">
        <f>ROUNDUP(E129*S129,2)</f>
        <v>0</v>
      </c>
      <c r="W129" s="83">
        <f>ROUNDUP(E129*0.015,2)</f>
        <v>0</v>
      </c>
      <c r="X129" s="82">
        <f>MAX(MIN(SUMIFS(Логистика!$C$2:$C$38,Логистика!$A$2:$A$38,"&lt;="&amp;K129,Логистика!$B$2:$B$38,"&gt;="&amp;K129)*E129,SUMIFS(Логистика!$E$2:$E$38,Логистика!$A$2:$A$38,"&lt;="&amp;K129,Логистика!$B$2:$B$38,"&gt;="&amp;K129)),SUMIFS(Логистика!$D$2:$D$38,Логистика!$A$2:$A$38,"&lt;="&amp;K129,Логистика!$B$2:$B$38,"&gt;="&amp;K129))</f>
        <v>0</v>
      </c>
      <c r="Y129" s="83">
        <f>IF(AND(E129*0.055&gt;20,E129*0.055&lt;250),ROUNDUP(E129*0.055,2),IF(E129*0.055&lt;=20,20,250))</f>
        <v>20</v>
      </c>
      <c r="Z129" s="83">
        <f>ROUND(M129*0.05,2)</f>
        <v>0</v>
      </c>
      <c r="AA129" s="83">
        <f>IF(N129=0,0,IF(ROUND(E129*N129,2)&gt;5,ROUND(E129*N129,2),5))</f>
        <v>0</v>
      </c>
      <c r="AB129" s="83">
        <f>IF(O129="Да",ROUND(E129*0.1111,2),0)</f>
        <v>0</v>
      </c>
      <c r="AC129" s="53">
        <f>V129+W129+T129+X129+Y129+Z129+AA129+AB129</f>
        <v>45</v>
      </c>
      <c r="AD129" s="8">
        <v>0</v>
      </c>
      <c r="AE129" s="36">
        <f>ROUND(E129*AD129,2)</f>
        <v>0</v>
      </c>
      <c r="AF129" s="6">
        <v>15</v>
      </c>
      <c r="AG129" s="6">
        <v>15</v>
      </c>
      <c r="AH129" s="5"/>
      <c r="AI129" s="57">
        <f>E129-AC129-AE129-AH129</f>
        <v>-45</v>
      </c>
      <c r="AJ129" s="17">
        <f>E129-AC129</f>
        <v>-45</v>
      </c>
      <c r="AK129" s="20" t="e">
        <f>ROUND(AI129/E129,2)</f>
        <v>#DIV/0!</v>
      </c>
      <c r="AL129" s="21" t="e">
        <f t="shared" ref="AL129:AL162" si="22">ROUND(AI129/AH129,2)</f>
        <v>#DIV/0!</v>
      </c>
    </row>
    <row r="130" spans="1:38" x14ac:dyDescent="0.25">
      <c r="A130" s="27"/>
      <c r="B130" s="45"/>
      <c r="C130" s="31"/>
      <c r="D130" s="38">
        <v>0</v>
      </c>
      <c r="E130" s="50">
        <f t="shared" ref="E130:E161" si="23">ROUND(C130*(1-D130),0)</f>
        <v>0</v>
      </c>
      <c r="F130" s="24"/>
      <c r="G130" s="7">
        <v>0</v>
      </c>
      <c r="H130" s="7">
        <v>0</v>
      </c>
      <c r="I130" s="7">
        <v>0</v>
      </c>
      <c r="J130" s="78">
        <f t="shared" si="16"/>
        <v>0</v>
      </c>
      <c r="K130" s="2">
        <f t="shared" si="17"/>
        <v>0</v>
      </c>
      <c r="L130" s="8">
        <v>0</v>
      </c>
      <c r="M130" s="1">
        <f t="shared" si="21"/>
        <v>0</v>
      </c>
      <c r="N130" s="41">
        <v>0</v>
      </c>
      <c r="O130" s="84" t="s">
        <v>275</v>
      </c>
      <c r="P130" s="24" t="s">
        <v>562</v>
      </c>
      <c r="Q130" s="7" t="s">
        <v>557</v>
      </c>
      <c r="R130" s="7"/>
      <c r="S130" s="81">
        <v>0.09</v>
      </c>
      <c r="T130" s="7">
        <v>25</v>
      </c>
      <c r="U130" s="82"/>
      <c r="V130" s="83">
        <f>ROUNDUP(E130*S130,2)</f>
        <v>0</v>
      </c>
      <c r="W130" s="83">
        <f>ROUNDUP(E130*0.015,2)</f>
        <v>0</v>
      </c>
      <c r="X130" s="82">
        <f>MAX(MIN(SUMIFS(Логистика!$C$2:$C$38,Логистика!$A$2:$A$38,"&lt;="&amp;K130,Логистика!$B$2:$B$38,"&gt;="&amp;K130)*E130,SUMIFS(Логистика!$E$2:$E$38,Логистика!$A$2:$A$38,"&lt;="&amp;K130,Логистика!$B$2:$B$38,"&gt;="&amp;K130)),SUMIFS(Логистика!$D$2:$D$38,Логистика!$A$2:$A$38,"&lt;="&amp;K130,Логистика!$B$2:$B$38,"&gt;="&amp;K130))</f>
        <v>0</v>
      </c>
      <c r="Y130" s="83">
        <f>IF(AND(E130*0.055&gt;20,E130*0.055&lt;250),ROUNDUP(E130*0.055,2),IF(E130*0.055&lt;=20,20,250))</f>
        <v>20</v>
      </c>
      <c r="Z130" s="83">
        <f>ROUND(M130*0.05,2)</f>
        <v>0</v>
      </c>
      <c r="AA130" s="83">
        <f>IF(N130=0,0,IF(ROUND(E130*N130,2)&gt;5,ROUND(E130*N130,2),5))</f>
        <v>0</v>
      </c>
      <c r="AB130" s="83">
        <f>IF(O130="Да",ROUND(E130*0.1111,2),0)</f>
        <v>0</v>
      </c>
      <c r="AC130" s="53">
        <f>V130+W130+T130+X130+Y130+Z130+AA130+AB130</f>
        <v>45</v>
      </c>
      <c r="AD130" s="8">
        <v>0</v>
      </c>
      <c r="AE130" s="36">
        <f>ROUND(E130*AD130,2)</f>
        <v>0</v>
      </c>
      <c r="AF130" s="6">
        <v>15</v>
      </c>
      <c r="AG130" s="6">
        <v>15</v>
      </c>
      <c r="AH130" s="5"/>
      <c r="AI130" s="57">
        <f>E130-AC130-AE130-AH130</f>
        <v>-45</v>
      </c>
      <c r="AJ130" s="17">
        <f>E130-AC130</f>
        <v>-45</v>
      </c>
      <c r="AK130" s="20" t="e">
        <f>ROUND(AI130/E130,2)</f>
        <v>#DIV/0!</v>
      </c>
      <c r="AL130" s="21" t="e">
        <f t="shared" si="22"/>
        <v>#DIV/0!</v>
      </c>
    </row>
    <row r="131" spans="1:38" x14ac:dyDescent="0.25">
      <c r="A131" s="27"/>
      <c r="B131" s="45"/>
      <c r="C131" s="31"/>
      <c r="D131" s="38">
        <v>0</v>
      </c>
      <c r="E131" s="50">
        <f t="shared" si="23"/>
        <v>0</v>
      </c>
      <c r="F131" s="24"/>
      <c r="G131" s="7">
        <v>0</v>
      </c>
      <c r="H131" s="7">
        <v>0</v>
      </c>
      <c r="I131" s="7">
        <v>0</v>
      </c>
      <c r="J131" s="78">
        <f t="shared" si="16"/>
        <v>0</v>
      </c>
      <c r="K131" s="2">
        <f t="shared" si="17"/>
        <v>0</v>
      </c>
      <c r="L131" s="8">
        <v>0</v>
      </c>
      <c r="M131" s="1">
        <f t="shared" si="21"/>
        <v>0</v>
      </c>
      <c r="N131" s="41">
        <v>0</v>
      </c>
      <c r="O131" s="84" t="s">
        <v>275</v>
      </c>
      <c r="P131" s="24" t="s">
        <v>562</v>
      </c>
      <c r="Q131" s="7" t="s">
        <v>557</v>
      </c>
      <c r="R131" s="7"/>
      <c r="S131" s="81">
        <v>0.09</v>
      </c>
      <c r="T131" s="7">
        <v>25</v>
      </c>
      <c r="U131" s="82"/>
      <c r="V131" s="83">
        <f>ROUNDUP(E131*S131,2)</f>
        <v>0</v>
      </c>
      <c r="W131" s="83">
        <f>ROUNDUP(E131*0.015,2)</f>
        <v>0</v>
      </c>
      <c r="X131" s="82">
        <f>MAX(MIN(SUMIFS(Логистика!$C$2:$C$38,Логистика!$A$2:$A$38,"&lt;="&amp;K131,Логистика!$B$2:$B$38,"&gt;="&amp;K131)*E131,SUMIFS(Логистика!$E$2:$E$38,Логистика!$A$2:$A$38,"&lt;="&amp;K131,Логистика!$B$2:$B$38,"&gt;="&amp;K131)),SUMIFS(Логистика!$D$2:$D$38,Логистика!$A$2:$A$38,"&lt;="&amp;K131,Логистика!$B$2:$B$38,"&gt;="&amp;K131))</f>
        <v>0</v>
      </c>
      <c r="Y131" s="83">
        <f>IF(AND(E131*0.055&gt;20,E131*0.055&lt;250),ROUNDUP(E131*0.055,2),IF(E131*0.055&lt;=20,20,250))</f>
        <v>20</v>
      </c>
      <c r="Z131" s="83">
        <f>ROUND(M131*0.05,2)</f>
        <v>0</v>
      </c>
      <c r="AA131" s="83">
        <f>IF(N131=0,0,IF(ROUND(E131*N131,2)&gt;5,ROUND(E131*N131,2),5))</f>
        <v>0</v>
      </c>
      <c r="AB131" s="83">
        <f>IF(O131="Да",ROUND(E131*0.1111,2),0)</f>
        <v>0</v>
      </c>
      <c r="AC131" s="53">
        <f>V131+W131+T131+X131+Y131+Z131+AA131+AB131</f>
        <v>45</v>
      </c>
      <c r="AD131" s="8">
        <v>0</v>
      </c>
      <c r="AE131" s="36">
        <f>ROUND(E131*AD131,2)</f>
        <v>0</v>
      </c>
      <c r="AF131" s="6">
        <v>15</v>
      </c>
      <c r="AG131" s="6">
        <v>15</v>
      </c>
      <c r="AH131" s="5"/>
      <c r="AI131" s="57">
        <f>E131-AC131-AE131-AH131</f>
        <v>-45</v>
      </c>
      <c r="AJ131" s="17">
        <f>E131-AC131</f>
        <v>-45</v>
      </c>
      <c r="AK131" s="20" t="e">
        <f>ROUND(AI131/E131,2)</f>
        <v>#DIV/0!</v>
      </c>
      <c r="AL131" s="21" t="e">
        <f t="shared" si="22"/>
        <v>#DIV/0!</v>
      </c>
    </row>
    <row r="132" spans="1:38" x14ac:dyDescent="0.25">
      <c r="A132" s="27"/>
      <c r="B132" s="45"/>
      <c r="C132" s="31"/>
      <c r="D132" s="38">
        <v>0</v>
      </c>
      <c r="E132" s="50">
        <f t="shared" si="23"/>
        <v>0</v>
      </c>
      <c r="F132" s="24"/>
      <c r="G132" s="7">
        <v>0</v>
      </c>
      <c r="H132" s="7">
        <v>0</v>
      </c>
      <c r="I132" s="7">
        <v>0</v>
      </c>
      <c r="J132" s="78">
        <f t="shared" ref="J132:J195" si="24">G132*H132*I132/1000</f>
        <v>0</v>
      </c>
      <c r="K132" s="2">
        <f t="shared" si="17"/>
        <v>0</v>
      </c>
      <c r="L132" s="8">
        <v>0</v>
      </c>
      <c r="M132" s="1">
        <f t="shared" si="21"/>
        <v>0</v>
      </c>
      <c r="N132" s="41">
        <v>0</v>
      </c>
      <c r="O132" s="84" t="s">
        <v>275</v>
      </c>
      <c r="P132" s="24" t="s">
        <v>562</v>
      </c>
      <c r="Q132" s="7" t="s">
        <v>557</v>
      </c>
      <c r="R132" s="7"/>
      <c r="S132" s="81">
        <v>0.09</v>
      </c>
      <c r="T132" s="7">
        <v>25</v>
      </c>
      <c r="U132" s="82"/>
      <c r="V132" s="83">
        <f>ROUNDUP(E132*S132,2)</f>
        <v>0</v>
      </c>
      <c r="W132" s="83">
        <f>ROUNDUP(E132*0.015,2)</f>
        <v>0</v>
      </c>
      <c r="X132" s="82">
        <f>MAX(MIN(SUMIFS(Логистика!$C$2:$C$38,Логистика!$A$2:$A$38,"&lt;="&amp;K132,Логистика!$B$2:$B$38,"&gt;="&amp;K132)*E132,SUMIFS(Логистика!$E$2:$E$38,Логистика!$A$2:$A$38,"&lt;="&amp;K132,Логистика!$B$2:$B$38,"&gt;="&amp;K132)),SUMIFS(Логистика!$D$2:$D$38,Логистика!$A$2:$A$38,"&lt;="&amp;K132,Логистика!$B$2:$B$38,"&gt;="&amp;K132))</f>
        <v>0</v>
      </c>
      <c r="Y132" s="83">
        <f>IF(AND(E132*0.055&gt;20,E132*0.055&lt;250),ROUNDUP(E132*0.055,2),IF(E132*0.055&lt;=20,20,250))</f>
        <v>20</v>
      </c>
      <c r="Z132" s="83">
        <f>ROUND(M132*0.05,2)</f>
        <v>0</v>
      </c>
      <c r="AA132" s="83">
        <f>IF(N132=0,0,IF(ROUND(E132*N132,2)&gt;5,ROUND(E132*N132,2),5))</f>
        <v>0</v>
      </c>
      <c r="AB132" s="83">
        <f>IF(O132="Да",ROUND(E132*0.1111,2),0)</f>
        <v>0</v>
      </c>
      <c r="AC132" s="53">
        <f>V132+W132+T132+X132+Y132+Z132+AA132+AB132</f>
        <v>45</v>
      </c>
      <c r="AD132" s="8">
        <v>0</v>
      </c>
      <c r="AE132" s="36">
        <f>ROUND(E132*AD132,2)</f>
        <v>0</v>
      </c>
      <c r="AF132" s="6">
        <v>15</v>
      </c>
      <c r="AG132" s="6">
        <v>15</v>
      </c>
      <c r="AH132" s="5"/>
      <c r="AI132" s="57">
        <f>E132-AC132-AE132-AH132</f>
        <v>-45</v>
      </c>
      <c r="AJ132" s="17">
        <f>E132-AC132</f>
        <v>-45</v>
      </c>
      <c r="AK132" s="20" t="e">
        <f>ROUND(AI132/E132,2)</f>
        <v>#DIV/0!</v>
      </c>
      <c r="AL132" s="21" t="e">
        <f t="shared" si="22"/>
        <v>#DIV/0!</v>
      </c>
    </row>
    <row r="133" spans="1:38" x14ac:dyDescent="0.25">
      <c r="A133" s="27"/>
      <c r="B133" s="45"/>
      <c r="C133" s="31"/>
      <c r="D133" s="38">
        <v>0</v>
      </c>
      <c r="E133" s="50">
        <f t="shared" si="23"/>
        <v>0</v>
      </c>
      <c r="F133" s="24"/>
      <c r="G133" s="7">
        <v>0</v>
      </c>
      <c r="H133" s="7">
        <v>0</v>
      </c>
      <c r="I133" s="7">
        <v>0</v>
      </c>
      <c r="J133" s="78">
        <f t="shared" si="24"/>
        <v>0</v>
      </c>
      <c r="K133" s="2">
        <f t="shared" ref="K133:K196" si="25">ROUND(IF(J133/5&gt;F133,J133/5,F133),1)</f>
        <v>0</v>
      </c>
      <c r="L133" s="8">
        <v>0</v>
      </c>
      <c r="M133" s="1">
        <f t="shared" si="21"/>
        <v>0</v>
      </c>
      <c r="N133" s="41">
        <v>0</v>
      </c>
      <c r="O133" s="84" t="s">
        <v>275</v>
      </c>
      <c r="P133" s="24" t="s">
        <v>562</v>
      </c>
      <c r="Q133" s="7" t="s">
        <v>557</v>
      </c>
      <c r="R133" s="7"/>
      <c r="S133" s="81">
        <v>0.09</v>
      </c>
      <c r="T133" s="7">
        <v>25</v>
      </c>
      <c r="U133" s="82"/>
      <c r="V133" s="83">
        <f>ROUNDUP(E133*S133,2)</f>
        <v>0</v>
      </c>
      <c r="W133" s="83">
        <f>ROUNDUP(E133*0.015,2)</f>
        <v>0</v>
      </c>
      <c r="X133" s="82">
        <f>MAX(MIN(SUMIFS(Логистика!$C$2:$C$38,Логистика!$A$2:$A$38,"&lt;="&amp;K133,Логистика!$B$2:$B$38,"&gt;="&amp;K133)*E133,SUMIFS(Логистика!$E$2:$E$38,Логистика!$A$2:$A$38,"&lt;="&amp;K133,Логистика!$B$2:$B$38,"&gt;="&amp;K133)),SUMIFS(Логистика!$D$2:$D$38,Логистика!$A$2:$A$38,"&lt;="&amp;K133,Логистика!$B$2:$B$38,"&gt;="&amp;K133))</f>
        <v>0</v>
      </c>
      <c r="Y133" s="83">
        <f>IF(AND(E133*0.055&gt;20,E133*0.055&lt;250),ROUNDUP(E133*0.055,2),IF(E133*0.055&lt;=20,20,250))</f>
        <v>20</v>
      </c>
      <c r="Z133" s="83">
        <f>ROUND(M133*0.05,2)</f>
        <v>0</v>
      </c>
      <c r="AA133" s="83">
        <f>IF(N133=0,0,IF(ROUND(E133*N133,2)&gt;5,ROUND(E133*N133,2),5))</f>
        <v>0</v>
      </c>
      <c r="AB133" s="83">
        <f>IF(O133="Да",ROUND(E133*0.1111,2),0)</f>
        <v>0</v>
      </c>
      <c r="AC133" s="53">
        <f>V133+W133+T133+X133+Y133+Z133+AA133+AB133</f>
        <v>45</v>
      </c>
      <c r="AD133" s="8">
        <v>0</v>
      </c>
      <c r="AE133" s="36">
        <f>ROUND(E133*AD133,2)</f>
        <v>0</v>
      </c>
      <c r="AF133" s="6">
        <v>15</v>
      </c>
      <c r="AG133" s="6">
        <v>15</v>
      </c>
      <c r="AH133" s="5"/>
      <c r="AI133" s="57">
        <f>E133-AC133-AE133-AH133</f>
        <v>-45</v>
      </c>
      <c r="AJ133" s="17">
        <f>E133-AC133</f>
        <v>-45</v>
      </c>
      <c r="AK133" s="20" t="e">
        <f>ROUND(AI133/E133,2)</f>
        <v>#DIV/0!</v>
      </c>
      <c r="AL133" s="21" t="e">
        <f t="shared" si="22"/>
        <v>#DIV/0!</v>
      </c>
    </row>
    <row r="134" spans="1:38" x14ac:dyDescent="0.25">
      <c r="A134" s="27"/>
      <c r="B134" s="45"/>
      <c r="C134" s="31"/>
      <c r="D134" s="38">
        <v>0</v>
      </c>
      <c r="E134" s="50">
        <f t="shared" si="23"/>
        <v>0</v>
      </c>
      <c r="F134" s="24"/>
      <c r="G134" s="7">
        <v>0</v>
      </c>
      <c r="H134" s="7">
        <v>0</v>
      </c>
      <c r="I134" s="7">
        <v>0</v>
      </c>
      <c r="J134" s="78">
        <f t="shared" si="24"/>
        <v>0</v>
      </c>
      <c r="K134" s="2">
        <f t="shared" si="25"/>
        <v>0</v>
      </c>
      <c r="L134" s="8">
        <v>0</v>
      </c>
      <c r="M134" s="1">
        <f t="shared" si="21"/>
        <v>0</v>
      </c>
      <c r="N134" s="41">
        <v>0</v>
      </c>
      <c r="O134" s="84" t="s">
        <v>275</v>
      </c>
      <c r="P134" s="24" t="s">
        <v>562</v>
      </c>
      <c r="Q134" s="7" t="s">
        <v>557</v>
      </c>
      <c r="R134" s="7"/>
      <c r="S134" s="81">
        <v>0.09</v>
      </c>
      <c r="T134" s="7">
        <v>25</v>
      </c>
      <c r="U134" s="82"/>
      <c r="V134" s="83">
        <f>ROUNDUP(E134*S134,2)</f>
        <v>0</v>
      </c>
      <c r="W134" s="83">
        <f>ROUNDUP(E134*0.015,2)</f>
        <v>0</v>
      </c>
      <c r="X134" s="82">
        <f>MAX(MIN(SUMIFS(Логистика!$C$2:$C$38,Логистика!$A$2:$A$38,"&lt;="&amp;K134,Логистика!$B$2:$B$38,"&gt;="&amp;K134)*E134,SUMIFS(Логистика!$E$2:$E$38,Логистика!$A$2:$A$38,"&lt;="&amp;K134,Логистика!$B$2:$B$38,"&gt;="&amp;K134)),SUMIFS(Логистика!$D$2:$D$38,Логистика!$A$2:$A$38,"&lt;="&amp;K134,Логистика!$B$2:$B$38,"&gt;="&amp;K134))</f>
        <v>0</v>
      </c>
      <c r="Y134" s="83">
        <f>IF(AND(E134*0.055&gt;20,E134*0.055&lt;250),ROUNDUP(E134*0.055,2),IF(E134*0.055&lt;=20,20,250))</f>
        <v>20</v>
      </c>
      <c r="Z134" s="83">
        <f>ROUND(M134*0.05,2)</f>
        <v>0</v>
      </c>
      <c r="AA134" s="83">
        <f>IF(N134=0,0,IF(ROUND(E134*N134,2)&gt;5,ROUND(E134*N134,2),5))</f>
        <v>0</v>
      </c>
      <c r="AB134" s="83">
        <f>IF(O134="Да",ROUND(E134*0.1111,2),0)</f>
        <v>0</v>
      </c>
      <c r="AC134" s="53">
        <f>V134+W134+T134+X134+Y134+Z134+AA134+AB134</f>
        <v>45</v>
      </c>
      <c r="AD134" s="8">
        <v>0</v>
      </c>
      <c r="AE134" s="36">
        <f>ROUND(E134*AD134,2)</f>
        <v>0</v>
      </c>
      <c r="AF134" s="6">
        <v>15</v>
      </c>
      <c r="AG134" s="6">
        <v>15</v>
      </c>
      <c r="AH134" s="5"/>
      <c r="AI134" s="57">
        <f>E134-AC134-AE134-AH134</f>
        <v>-45</v>
      </c>
      <c r="AJ134" s="17">
        <f>E134-AC134</f>
        <v>-45</v>
      </c>
      <c r="AK134" s="20" t="e">
        <f>ROUND(AI134/E134,2)</f>
        <v>#DIV/0!</v>
      </c>
      <c r="AL134" s="21" t="e">
        <f t="shared" si="22"/>
        <v>#DIV/0!</v>
      </c>
    </row>
    <row r="135" spans="1:38" x14ac:dyDescent="0.25">
      <c r="A135" s="27"/>
      <c r="B135" s="45"/>
      <c r="C135" s="31"/>
      <c r="D135" s="38">
        <v>0</v>
      </c>
      <c r="E135" s="50">
        <f t="shared" si="23"/>
        <v>0</v>
      </c>
      <c r="F135" s="24"/>
      <c r="G135" s="7">
        <v>0</v>
      </c>
      <c r="H135" s="7">
        <v>0</v>
      </c>
      <c r="I135" s="7">
        <v>0</v>
      </c>
      <c r="J135" s="78">
        <f t="shared" si="24"/>
        <v>0</v>
      </c>
      <c r="K135" s="2">
        <f t="shared" si="25"/>
        <v>0</v>
      </c>
      <c r="L135" s="8">
        <v>0</v>
      </c>
      <c r="M135" s="1">
        <f t="shared" si="21"/>
        <v>0</v>
      </c>
      <c r="N135" s="41">
        <v>0</v>
      </c>
      <c r="O135" s="84" t="s">
        <v>275</v>
      </c>
      <c r="P135" s="24" t="s">
        <v>562</v>
      </c>
      <c r="Q135" s="7" t="s">
        <v>557</v>
      </c>
      <c r="R135" s="7"/>
      <c r="S135" s="81">
        <v>0.09</v>
      </c>
      <c r="T135" s="7">
        <v>25</v>
      </c>
      <c r="U135" s="82"/>
      <c r="V135" s="83">
        <f>ROUNDUP(E135*S135,2)</f>
        <v>0</v>
      </c>
      <c r="W135" s="83">
        <f>ROUNDUP(E135*0.015,2)</f>
        <v>0</v>
      </c>
      <c r="X135" s="82">
        <f>MAX(MIN(SUMIFS(Логистика!$C$2:$C$38,Логистика!$A$2:$A$38,"&lt;="&amp;K135,Логистика!$B$2:$B$38,"&gt;="&amp;K135)*E135,SUMIFS(Логистика!$E$2:$E$38,Логистика!$A$2:$A$38,"&lt;="&amp;K135,Логистика!$B$2:$B$38,"&gt;="&amp;K135)),SUMIFS(Логистика!$D$2:$D$38,Логистика!$A$2:$A$38,"&lt;="&amp;K135,Логистика!$B$2:$B$38,"&gt;="&amp;K135))</f>
        <v>0</v>
      </c>
      <c r="Y135" s="83">
        <f>IF(AND(E135*0.055&gt;20,E135*0.055&lt;250),ROUNDUP(E135*0.055,2),IF(E135*0.055&lt;=20,20,250))</f>
        <v>20</v>
      </c>
      <c r="Z135" s="83">
        <f>ROUND(M135*0.05,2)</f>
        <v>0</v>
      </c>
      <c r="AA135" s="83">
        <f>IF(N135=0,0,IF(ROUND(E135*N135,2)&gt;5,ROUND(E135*N135,2),5))</f>
        <v>0</v>
      </c>
      <c r="AB135" s="83">
        <f>IF(O135="Да",ROUND(E135*0.1111,2),0)</f>
        <v>0</v>
      </c>
      <c r="AC135" s="53">
        <f>V135+W135+T135+X135+Y135+Z135+AA135+AB135</f>
        <v>45</v>
      </c>
      <c r="AD135" s="8">
        <v>0</v>
      </c>
      <c r="AE135" s="36">
        <f>ROUND(E135*AD135,2)</f>
        <v>0</v>
      </c>
      <c r="AF135" s="6">
        <v>15</v>
      </c>
      <c r="AG135" s="6">
        <v>15</v>
      </c>
      <c r="AH135" s="5"/>
      <c r="AI135" s="57">
        <f>E135-AC135-AE135-AH135</f>
        <v>-45</v>
      </c>
      <c r="AJ135" s="17">
        <f>E135-AC135</f>
        <v>-45</v>
      </c>
      <c r="AK135" s="20" t="e">
        <f>ROUND(AI135/E135,2)</f>
        <v>#DIV/0!</v>
      </c>
      <c r="AL135" s="21" t="e">
        <f t="shared" si="22"/>
        <v>#DIV/0!</v>
      </c>
    </row>
    <row r="136" spans="1:38" x14ac:dyDescent="0.25">
      <c r="A136" s="27"/>
      <c r="B136" s="45"/>
      <c r="C136" s="31"/>
      <c r="D136" s="38">
        <v>0</v>
      </c>
      <c r="E136" s="50">
        <f t="shared" si="23"/>
        <v>0</v>
      </c>
      <c r="F136" s="24"/>
      <c r="G136" s="7">
        <v>0</v>
      </c>
      <c r="H136" s="7">
        <v>0</v>
      </c>
      <c r="I136" s="7">
        <v>0</v>
      </c>
      <c r="J136" s="78">
        <f t="shared" si="24"/>
        <v>0</v>
      </c>
      <c r="K136" s="2">
        <f t="shared" si="25"/>
        <v>0</v>
      </c>
      <c r="L136" s="8">
        <v>0</v>
      </c>
      <c r="M136" s="1">
        <f t="shared" si="21"/>
        <v>0</v>
      </c>
      <c r="N136" s="41">
        <v>0</v>
      </c>
      <c r="O136" s="84" t="s">
        <v>275</v>
      </c>
      <c r="P136" s="24" t="s">
        <v>562</v>
      </c>
      <c r="Q136" s="7" t="s">
        <v>557</v>
      </c>
      <c r="R136" s="7"/>
      <c r="S136" s="81">
        <v>0.09</v>
      </c>
      <c r="T136" s="7">
        <v>25</v>
      </c>
      <c r="U136" s="82"/>
      <c r="V136" s="83">
        <f>ROUNDUP(E136*S136,2)</f>
        <v>0</v>
      </c>
      <c r="W136" s="83">
        <f>ROUNDUP(E136*0.015,2)</f>
        <v>0</v>
      </c>
      <c r="X136" s="82">
        <f>MAX(MIN(SUMIFS(Логистика!$C$2:$C$38,Логистика!$A$2:$A$38,"&lt;="&amp;K136,Логистика!$B$2:$B$38,"&gt;="&amp;K136)*E136,SUMIFS(Логистика!$E$2:$E$38,Логистика!$A$2:$A$38,"&lt;="&amp;K136,Логистика!$B$2:$B$38,"&gt;="&amp;K136)),SUMIFS(Логистика!$D$2:$D$38,Логистика!$A$2:$A$38,"&lt;="&amp;K136,Логистика!$B$2:$B$38,"&gt;="&amp;K136))</f>
        <v>0</v>
      </c>
      <c r="Y136" s="83">
        <f>IF(AND(E136*0.055&gt;20,E136*0.055&lt;250),ROUNDUP(E136*0.055,2),IF(E136*0.055&lt;=20,20,250))</f>
        <v>20</v>
      </c>
      <c r="Z136" s="83">
        <f>ROUND(M136*0.05,2)</f>
        <v>0</v>
      </c>
      <c r="AA136" s="83">
        <f>IF(N136=0,0,IF(ROUND(E136*N136,2)&gt;5,ROUND(E136*N136,2),5))</f>
        <v>0</v>
      </c>
      <c r="AB136" s="83">
        <f>IF(O136="Да",ROUND(E136*0.1111,2),0)</f>
        <v>0</v>
      </c>
      <c r="AC136" s="53">
        <f>V136+W136+T136+X136+Y136+Z136+AA136+AB136</f>
        <v>45</v>
      </c>
      <c r="AD136" s="8">
        <v>0</v>
      </c>
      <c r="AE136" s="36">
        <f>ROUND(E136*AD136,2)</f>
        <v>0</v>
      </c>
      <c r="AF136" s="6">
        <v>15</v>
      </c>
      <c r="AG136" s="6">
        <v>15</v>
      </c>
      <c r="AH136" s="5"/>
      <c r="AI136" s="57">
        <f>E136-AC136-AE136-AH136</f>
        <v>-45</v>
      </c>
      <c r="AJ136" s="17">
        <f>E136-AC136</f>
        <v>-45</v>
      </c>
      <c r="AK136" s="20" t="e">
        <f>ROUND(AI136/E136,2)</f>
        <v>#DIV/0!</v>
      </c>
      <c r="AL136" s="21" t="e">
        <f t="shared" si="22"/>
        <v>#DIV/0!</v>
      </c>
    </row>
    <row r="137" spans="1:38" x14ac:dyDescent="0.25">
      <c r="A137" s="27"/>
      <c r="B137" s="45"/>
      <c r="C137" s="31"/>
      <c r="D137" s="38">
        <v>0</v>
      </c>
      <c r="E137" s="50">
        <f t="shared" si="23"/>
        <v>0</v>
      </c>
      <c r="F137" s="24"/>
      <c r="G137" s="7">
        <v>0</v>
      </c>
      <c r="H137" s="7">
        <v>0</v>
      </c>
      <c r="I137" s="7">
        <v>0</v>
      </c>
      <c r="J137" s="78">
        <f t="shared" si="24"/>
        <v>0</v>
      </c>
      <c r="K137" s="2">
        <f t="shared" si="25"/>
        <v>0</v>
      </c>
      <c r="L137" s="8">
        <v>0</v>
      </c>
      <c r="M137" s="1">
        <f t="shared" si="21"/>
        <v>0</v>
      </c>
      <c r="N137" s="41">
        <v>0</v>
      </c>
      <c r="O137" s="84" t="s">
        <v>275</v>
      </c>
      <c r="P137" s="24" t="s">
        <v>562</v>
      </c>
      <c r="Q137" s="7" t="s">
        <v>557</v>
      </c>
      <c r="R137" s="7"/>
      <c r="S137" s="81">
        <v>0.09</v>
      </c>
      <c r="T137" s="7">
        <v>25</v>
      </c>
      <c r="U137" s="82"/>
      <c r="V137" s="83">
        <f>ROUNDUP(E137*S137,2)</f>
        <v>0</v>
      </c>
      <c r="W137" s="83">
        <f>ROUNDUP(E137*0.015,2)</f>
        <v>0</v>
      </c>
      <c r="X137" s="82">
        <f>MAX(MIN(SUMIFS(Логистика!$C$2:$C$38,Логистика!$A$2:$A$38,"&lt;="&amp;K137,Логистика!$B$2:$B$38,"&gt;="&amp;K137)*E137,SUMIFS(Логистика!$E$2:$E$38,Логистика!$A$2:$A$38,"&lt;="&amp;K137,Логистика!$B$2:$B$38,"&gt;="&amp;K137)),SUMIFS(Логистика!$D$2:$D$38,Логистика!$A$2:$A$38,"&lt;="&amp;K137,Логистика!$B$2:$B$38,"&gt;="&amp;K137))</f>
        <v>0</v>
      </c>
      <c r="Y137" s="83">
        <f>IF(AND(E137*0.055&gt;20,E137*0.055&lt;250),ROUNDUP(E137*0.055,2),IF(E137*0.055&lt;=20,20,250))</f>
        <v>20</v>
      </c>
      <c r="Z137" s="83">
        <f>ROUND(M137*0.05,2)</f>
        <v>0</v>
      </c>
      <c r="AA137" s="83">
        <f>IF(N137=0,0,IF(ROUND(E137*N137,2)&gt;5,ROUND(E137*N137,2),5))</f>
        <v>0</v>
      </c>
      <c r="AB137" s="83">
        <f>IF(O137="Да",ROUND(E137*0.1111,2),0)</f>
        <v>0</v>
      </c>
      <c r="AC137" s="53">
        <f>V137+W137+T137+X137+Y137+Z137+AA137+AB137</f>
        <v>45</v>
      </c>
      <c r="AD137" s="8">
        <v>0</v>
      </c>
      <c r="AE137" s="36">
        <f>ROUND(E137*AD137,2)</f>
        <v>0</v>
      </c>
      <c r="AF137" s="6">
        <v>15</v>
      </c>
      <c r="AG137" s="6">
        <v>15</v>
      </c>
      <c r="AH137" s="5"/>
      <c r="AI137" s="57">
        <f>E137-AC137-AE137-AH137</f>
        <v>-45</v>
      </c>
      <c r="AJ137" s="17">
        <f>E137-AC137</f>
        <v>-45</v>
      </c>
      <c r="AK137" s="20" t="e">
        <f>ROUND(AI137/E137,2)</f>
        <v>#DIV/0!</v>
      </c>
      <c r="AL137" s="21" t="e">
        <f t="shared" si="22"/>
        <v>#DIV/0!</v>
      </c>
    </row>
    <row r="138" spans="1:38" x14ac:dyDescent="0.25">
      <c r="A138" s="27"/>
      <c r="B138" s="45"/>
      <c r="C138" s="31"/>
      <c r="D138" s="38">
        <v>0</v>
      </c>
      <c r="E138" s="50">
        <f t="shared" si="23"/>
        <v>0</v>
      </c>
      <c r="F138" s="24"/>
      <c r="G138" s="7">
        <v>0</v>
      </c>
      <c r="H138" s="7">
        <v>0</v>
      </c>
      <c r="I138" s="7">
        <v>0</v>
      </c>
      <c r="J138" s="78">
        <f t="shared" si="24"/>
        <v>0</v>
      </c>
      <c r="K138" s="2">
        <f t="shared" si="25"/>
        <v>0</v>
      </c>
      <c r="L138" s="8">
        <v>0</v>
      </c>
      <c r="M138" s="1">
        <f t="shared" si="21"/>
        <v>0</v>
      </c>
      <c r="N138" s="41">
        <v>0</v>
      </c>
      <c r="O138" s="84" t="s">
        <v>275</v>
      </c>
      <c r="P138" s="24" t="s">
        <v>562</v>
      </c>
      <c r="Q138" s="7" t="s">
        <v>557</v>
      </c>
      <c r="R138" s="7"/>
      <c r="S138" s="81">
        <v>0.09</v>
      </c>
      <c r="T138" s="7">
        <v>25</v>
      </c>
      <c r="U138" s="82"/>
      <c r="V138" s="83">
        <f>ROUNDUP(E138*S138,2)</f>
        <v>0</v>
      </c>
      <c r="W138" s="83">
        <f>ROUNDUP(E138*0.015,2)</f>
        <v>0</v>
      </c>
      <c r="X138" s="82">
        <f>MAX(MIN(SUMIFS(Логистика!$C$2:$C$38,Логистика!$A$2:$A$38,"&lt;="&amp;K138,Логистика!$B$2:$B$38,"&gt;="&amp;K138)*E138,SUMIFS(Логистика!$E$2:$E$38,Логистика!$A$2:$A$38,"&lt;="&amp;K138,Логистика!$B$2:$B$38,"&gt;="&amp;K138)),SUMIFS(Логистика!$D$2:$D$38,Логистика!$A$2:$A$38,"&lt;="&amp;K138,Логистика!$B$2:$B$38,"&gt;="&amp;K138))</f>
        <v>0</v>
      </c>
      <c r="Y138" s="83">
        <f>IF(AND(E138*0.055&gt;20,E138*0.055&lt;250),ROUNDUP(E138*0.055,2),IF(E138*0.055&lt;=20,20,250))</f>
        <v>20</v>
      </c>
      <c r="Z138" s="83">
        <f>ROUND(M138*0.05,2)</f>
        <v>0</v>
      </c>
      <c r="AA138" s="83">
        <f>IF(N138=0,0,IF(ROUND(E138*N138,2)&gt;5,ROUND(E138*N138,2),5))</f>
        <v>0</v>
      </c>
      <c r="AB138" s="83">
        <f>IF(O138="Да",ROUND(E138*0.1111,2),0)</f>
        <v>0</v>
      </c>
      <c r="AC138" s="53">
        <f>V138+W138+T138+X138+Y138+Z138+AA138+AB138</f>
        <v>45</v>
      </c>
      <c r="AD138" s="8">
        <v>0</v>
      </c>
      <c r="AE138" s="36">
        <f>ROUND(E138*AD138,2)</f>
        <v>0</v>
      </c>
      <c r="AF138" s="6">
        <v>15</v>
      </c>
      <c r="AG138" s="6">
        <v>15</v>
      </c>
      <c r="AH138" s="5"/>
      <c r="AI138" s="57">
        <f>E138-AC138-AE138-AH138</f>
        <v>-45</v>
      </c>
      <c r="AJ138" s="17">
        <f>E138-AC138</f>
        <v>-45</v>
      </c>
      <c r="AK138" s="20" t="e">
        <f>ROUND(AI138/E138,2)</f>
        <v>#DIV/0!</v>
      </c>
      <c r="AL138" s="21" t="e">
        <f t="shared" si="22"/>
        <v>#DIV/0!</v>
      </c>
    </row>
    <row r="139" spans="1:38" x14ac:dyDescent="0.25">
      <c r="A139" s="27"/>
      <c r="B139" s="45"/>
      <c r="C139" s="31"/>
      <c r="D139" s="38">
        <v>0</v>
      </c>
      <c r="E139" s="50">
        <f t="shared" si="23"/>
        <v>0</v>
      </c>
      <c r="F139" s="24"/>
      <c r="G139" s="7">
        <v>0</v>
      </c>
      <c r="H139" s="7">
        <v>0</v>
      </c>
      <c r="I139" s="7">
        <v>0</v>
      </c>
      <c r="J139" s="78">
        <f t="shared" si="24"/>
        <v>0</v>
      </c>
      <c r="K139" s="2">
        <f t="shared" si="25"/>
        <v>0</v>
      </c>
      <c r="L139" s="8">
        <v>0</v>
      </c>
      <c r="M139" s="1">
        <f t="shared" si="21"/>
        <v>0</v>
      </c>
      <c r="N139" s="41">
        <v>0</v>
      </c>
      <c r="O139" s="84" t="s">
        <v>275</v>
      </c>
      <c r="P139" s="24" t="s">
        <v>562</v>
      </c>
      <c r="Q139" s="7" t="s">
        <v>557</v>
      </c>
      <c r="R139" s="7"/>
      <c r="S139" s="81">
        <v>0.09</v>
      </c>
      <c r="T139" s="7">
        <v>25</v>
      </c>
      <c r="U139" s="82"/>
      <c r="V139" s="83">
        <f>ROUNDUP(E139*S139,2)</f>
        <v>0</v>
      </c>
      <c r="W139" s="83">
        <f>ROUNDUP(E139*0.015,2)</f>
        <v>0</v>
      </c>
      <c r="X139" s="82">
        <f>MAX(MIN(SUMIFS(Логистика!$C$2:$C$38,Логистика!$A$2:$A$38,"&lt;="&amp;K139,Логистика!$B$2:$B$38,"&gt;="&amp;K139)*E139,SUMIFS(Логистика!$E$2:$E$38,Логистика!$A$2:$A$38,"&lt;="&amp;K139,Логистика!$B$2:$B$38,"&gt;="&amp;K139)),SUMIFS(Логистика!$D$2:$D$38,Логистика!$A$2:$A$38,"&lt;="&amp;K139,Логистика!$B$2:$B$38,"&gt;="&amp;K139))</f>
        <v>0</v>
      </c>
      <c r="Y139" s="83">
        <f>IF(AND(E139*0.055&gt;20,E139*0.055&lt;250),ROUNDUP(E139*0.055,2),IF(E139*0.055&lt;=20,20,250))</f>
        <v>20</v>
      </c>
      <c r="Z139" s="83">
        <f>ROUND(M139*0.05,2)</f>
        <v>0</v>
      </c>
      <c r="AA139" s="83">
        <f>IF(N139=0,0,IF(ROUND(E139*N139,2)&gt;5,ROUND(E139*N139,2),5))</f>
        <v>0</v>
      </c>
      <c r="AB139" s="83">
        <f>IF(O139="Да",ROUND(E139*0.1111,2),0)</f>
        <v>0</v>
      </c>
      <c r="AC139" s="53">
        <f>V139+W139+T139+X139+Y139+Z139+AA139+AB139</f>
        <v>45</v>
      </c>
      <c r="AD139" s="8">
        <v>0</v>
      </c>
      <c r="AE139" s="36">
        <f>ROUND(E139*AD139,2)</f>
        <v>0</v>
      </c>
      <c r="AF139" s="6">
        <v>15</v>
      </c>
      <c r="AG139" s="6">
        <v>15</v>
      </c>
      <c r="AH139" s="5"/>
      <c r="AI139" s="57">
        <f>E139-AC139-AE139-AH139</f>
        <v>-45</v>
      </c>
      <c r="AJ139" s="17">
        <f>E139-AC139</f>
        <v>-45</v>
      </c>
      <c r="AK139" s="20" t="e">
        <f>ROUND(AI139/E139,2)</f>
        <v>#DIV/0!</v>
      </c>
      <c r="AL139" s="21" t="e">
        <f t="shared" si="22"/>
        <v>#DIV/0!</v>
      </c>
    </row>
    <row r="140" spans="1:38" x14ac:dyDescent="0.25">
      <c r="A140" s="27"/>
      <c r="B140" s="45"/>
      <c r="C140" s="31"/>
      <c r="D140" s="38">
        <v>0</v>
      </c>
      <c r="E140" s="50">
        <f t="shared" si="23"/>
        <v>0</v>
      </c>
      <c r="F140" s="24"/>
      <c r="G140" s="7">
        <v>0</v>
      </c>
      <c r="H140" s="7">
        <v>0</v>
      </c>
      <c r="I140" s="7">
        <v>0</v>
      </c>
      <c r="J140" s="78">
        <f t="shared" si="24"/>
        <v>0</v>
      </c>
      <c r="K140" s="2">
        <f t="shared" si="25"/>
        <v>0</v>
      </c>
      <c r="L140" s="8">
        <v>0</v>
      </c>
      <c r="M140" s="1">
        <f t="shared" si="21"/>
        <v>0</v>
      </c>
      <c r="N140" s="41">
        <v>0</v>
      </c>
      <c r="O140" s="84" t="s">
        <v>275</v>
      </c>
      <c r="P140" s="24" t="s">
        <v>562</v>
      </c>
      <c r="Q140" s="7" t="s">
        <v>557</v>
      </c>
      <c r="R140" s="7"/>
      <c r="S140" s="81">
        <v>0.09</v>
      </c>
      <c r="T140" s="7">
        <v>25</v>
      </c>
      <c r="U140" s="82"/>
      <c r="V140" s="83">
        <f>ROUNDUP(E140*S140,2)</f>
        <v>0</v>
      </c>
      <c r="W140" s="83">
        <f>ROUNDUP(E140*0.015,2)</f>
        <v>0</v>
      </c>
      <c r="X140" s="82">
        <f>MAX(MIN(SUMIFS(Логистика!$C$2:$C$38,Логистика!$A$2:$A$38,"&lt;="&amp;K140,Логистика!$B$2:$B$38,"&gt;="&amp;K140)*E140,SUMIFS(Логистика!$E$2:$E$38,Логистика!$A$2:$A$38,"&lt;="&amp;K140,Логистика!$B$2:$B$38,"&gt;="&amp;K140)),SUMIFS(Логистика!$D$2:$D$38,Логистика!$A$2:$A$38,"&lt;="&amp;K140,Логистика!$B$2:$B$38,"&gt;="&amp;K140))</f>
        <v>0</v>
      </c>
      <c r="Y140" s="83">
        <f>IF(AND(E140*0.055&gt;20,E140*0.055&lt;250),ROUNDUP(E140*0.055,2),IF(E140*0.055&lt;=20,20,250))</f>
        <v>20</v>
      </c>
      <c r="Z140" s="83">
        <f>ROUND(M140*0.05,2)</f>
        <v>0</v>
      </c>
      <c r="AA140" s="83">
        <f>IF(N140=0,0,IF(ROUND(E140*N140,2)&gt;5,ROUND(E140*N140,2),5))</f>
        <v>0</v>
      </c>
      <c r="AB140" s="83">
        <f>IF(O140="Да",ROUND(E140*0.1111,2),0)</f>
        <v>0</v>
      </c>
      <c r="AC140" s="53">
        <f>V140+W140+T140+X140+Y140+Z140+AA140+AB140</f>
        <v>45</v>
      </c>
      <c r="AD140" s="8">
        <v>0</v>
      </c>
      <c r="AE140" s="36">
        <f>ROUND(E140*AD140,2)</f>
        <v>0</v>
      </c>
      <c r="AF140" s="6">
        <v>15</v>
      </c>
      <c r="AG140" s="6">
        <v>15</v>
      </c>
      <c r="AH140" s="5"/>
      <c r="AI140" s="57">
        <f>E140-AC140-AE140-AH140</f>
        <v>-45</v>
      </c>
      <c r="AJ140" s="17">
        <f>E140-AC140</f>
        <v>-45</v>
      </c>
      <c r="AK140" s="20" t="e">
        <f>ROUND(AI140/E140,2)</f>
        <v>#DIV/0!</v>
      </c>
      <c r="AL140" s="21" t="e">
        <f t="shared" si="22"/>
        <v>#DIV/0!</v>
      </c>
    </row>
    <row r="141" spans="1:38" x14ac:dyDescent="0.25">
      <c r="A141" s="27"/>
      <c r="B141" s="45"/>
      <c r="C141" s="31"/>
      <c r="D141" s="38">
        <v>0</v>
      </c>
      <c r="E141" s="50">
        <f t="shared" si="23"/>
        <v>0</v>
      </c>
      <c r="F141" s="24"/>
      <c r="G141" s="7">
        <v>0</v>
      </c>
      <c r="H141" s="7">
        <v>0</v>
      </c>
      <c r="I141" s="7">
        <v>0</v>
      </c>
      <c r="J141" s="78">
        <f t="shared" si="24"/>
        <v>0</v>
      </c>
      <c r="K141" s="2">
        <f t="shared" si="25"/>
        <v>0</v>
      </c>
      <c r="L141" s="8">
        <v>0</v>
      </c>
      <c r="M141" s="1">
        <f t="shared" si="21"/>
        <v>0</v>
      </c>
      <c r="N141" s="41">
        <v>0</v>
      </c>
      <c r="O141" s="84" t="s">
        <v>275</v>
      </c>
      <c r="P141" s="24" t="s">
        <v>562</v>
      </c>
      <c r="Q141" s="7" t="s">
        <v>557</v>
      </c>
      <c r="R141" s="7"/>
      <c r="S141" s="81">
        <v>0.09</v>
      </c>
      <c r="T141" s="7">
        <v>25</v>
      </c>
      <c r="U141" s="82"/>
      <c r="V141" s="83">
        <f>ROUNDUP(E141*S141,2)</f>
        <v>0</v>
      </c>
      <c r="W141" s="83">
        <f>ROUNDUP(E141*0.015,2)</f>
        <v>0</v>
      </c>
      <c r="X141" s="82">
        <f>MAX(MIN(SUMIFS(Логистика!$C$2:$C$38,Логистика!$A$2:$A$38,"&lt;="&amp;K141,Логистика!$B$2:$B$38,"&gt;="&amp;K141)*E141,SUMIFS(Логистика!$E$2:$E$38,Логистика!$A$2:$A$38,"&lt;="&amp;K141,Логистика!$B$2:$B$38,"&gt;="&amp;K141)),SUMIFS(Логистика!$D$2:$D$38,Логистика!$A$2:$A$38,"&lt;="&amp;K141,Логистика!$B$2:$B$38,"&gt;="&amp;K141))</f>
        <v>0</v>
      </c>
      <c r="Y141" s="83">
        <f>IF(AND(E141*0.055&gt;20,E141*0.055&lt;250),ROUNDUP(E141*0.055,2),IF(E141*0.055&lt;=20,20,250))</f>
        <v>20</v>
      </c>
      <c r="Z141" s="83">
        <f>ROUND(M141*0.05,2)</f>
        <v>0</v>
      </c>
      <c r="AA141" s="83">
        <f>IF(N141=0,0,IF(ROUND(E141*N141,2)&gt;5,ROUND(E141*N141,2),5))</f>
        <v>0</v>
      </c>
      <c r="AB141" s="83">
        <f>IF(O141="Да",ROUND(E141*0.1111,2),0)</f>
        <v>0</v>
      </c>
      <c r="AC141" s="53">
        <f>V141+W141+T141+X141+Y141+Z141+AA141+AB141</f>
        <v>45</v>
      </c>
      <c r="AD141" s="8">
        <v>0</v>
      </c>
      <c r="AE141" s="36">
        <f>ROUND(E141*AD141,2)</f>
        <v>0</v>
      </c>
      <c r="AF141" s="6">
        <v>15</v>
      </c>
      <c r="AG141" s="6">
        <v>15</v>
      </c>
      <c r="AH141" s="5"/>
      <c r="AI141" s="57">
        <f>E141-AC141-AE141-AH141</f>
        <v>-45</v>
      </c>
      <c r="AJ141" s="17">
        <f>E141-AC141</f>
        <v>-45</v>
      </c>
      <c r="AK141" s="20" t="e">
        <f>ROUND(AI141/E141,2)</f>
        <v>#DIV/0!</v>
      </c>
      <c r="AL141" s="21" t="e">
        <f t="shared" si="22"/>
        <v>#DIV/0!</v>
      </c>
    </row>
    <row r="142" spans="1:38" x14ac:dyDescent="0.25">
      <c r="A142" s="27"/>
      <c r="B142" s="45"/>
      <c r="C142" s="31"/>
      <c r="D142" s="38">
        <v>0</v>
      </c>
      <c r="E142" s="50">
        <f t="shared" si="23"/>
        <v>0</v>
      </c>
      <c r="F142" s="24"/>
      <c r="G142" s="7">
        <v>0</v>
      </c>
      <c r="H142" s="7">
        <v>0</v>
      </c>
      <c r="I142" s="7">
        <v>0</v>
      </c>
      <c r="J142" s="78">
        <f t="shared" si="24"/>
        <v>0</v>
      </c>
      <c r="K142" s="2">
        <f t="shared" si="25"/>
        <v>0</v>
      </c>
      <c r="L142" s="8">
        <v>0</v>
      </c>
      <c r="M142" s="1">
        <f t="shared" si="21"/>
        <v>0</v>
      </c>
      <c r="N142" s="41">
        <v>0</v>
      </c>
      <c r="O142" s="84" t="s">
        <v>275</v>
      </c>
      <c r="P142" s="24" t="s">
        <v>562</v>
      </c>
      <c r="Q142" s="7" t="s">
        <v>557</v>
      </c>
      <c r="R142" s="7"/>
      <c r="S142" s="81">
        <v>0.09</v>
      </c>
      <c r="T142" s="7">
        <v>25</v>
      </c>
      <c r="U142" s="82"/>
      <c r="V142" s="83">
        <f>ROUNDUP(E142*S142,2)</f>
        <v>0</v>
      </c>
      <c r="W142" s="83">
        <f>ROUNDUP(E142*0.015,2)</f>
        <v>0</v>
      </c>
      <c r="X142" s="82">
        <f>MAX(MIN(SUMIFS(Логистика!$C$2:$C$38,Логистика!$A$2:$A$38,"&lt;="&amp;K142,Логистика!$B$2:$B$38,"&gt;="&amp;K142)*E142,SUMIFS(Логистика!$E$2:$E$38,Логистика!$A$2:$A$38,"&lt;="&amp;K142,Логистика!$B$2:$B$38,"&gt;="&amp;K142)),SUMIFS(Логистика!$D$2:$D$38,Логистика!$A$2:$A$38,"&lt;="&amp;K142,Логистика!$B$2:$B$38,"&gt;="&amp;K142))</f>
        <v>0</v>
      </c>
      <c r="Y142" s="83">
        <f>IF(AND(E142*0.055&gt;20,E142*0.055&lt;250),ROUNDUP(E142*0.055,2),IF(E142*0.055&lt;=20,20,250))</f>
        <v>20</v>
      </c>
      <c r="Z142" s="83">
        <f>ROUND(M142*0.05,2)</f>
        <v>0</v>
      </c>
      <c r="AA142" s="83">
        <f>IF(N142=0,0,IF(ROUND(E142*N142,2)&gt;5,ROUND(E142*N142,2),5))</f>
        <v>0</v>
      </c>
      <c r="AB142" s="83">
        <f>IF(O142="Да",ROUND(E142*0.1111,2),0)</f>
        <v>0</v>
      </c>
      <c r="AC142" s="53">
        <f>V142+W142+T142+X142+Y142+Z142+AA142+AB142</f>
        <v>45</v>
      </c>
      <c r="AD142" s="8">
        <v>0</v>
      </c>
      <c r="AE142" s="36">
        <f>ROUND(E142*AD142,2)</f>
        <v>0</v>
      </c>
      <c r="AF142" s="6">
        <v>15</v>
      </c>
      <c r="AG142" s="6">
        <v>15</v>
      </c>
      <c r="AH142" s="5"/>
      <c r="AI142" s="57">
        <f>E142-AC142-AE142-AH142</f>
        <v>-45</v>
      </c>
      <c r="AJ142" s="17">
        <f>E142-AC142</f>
        <v>-45</v>
      </c>
      <c r="AK142" s="20" t="e">
        <f>ROUND(AI142/E142,2)</f>
        <v>#DIV/0!</v>
      </c>
      <c r="AL142" s="21" t="e">
        <f t="shared" si="22"/>
        <v>#DIV/0!</v>
      </c>
    </row>
    <row r="143" spans="1:38" x14ac:dyDescent="0.25">
      <c r="A143" s="27"/>
      <c r="B143" s="45"/>
      <c r="C143" s="31"/>
      <c r="D143" s="38">
        <v>0</v>
      </c>
      <c r="E143" s="50">
        <f t="shared" si="23"/>
        <v>0</v>
      </c>
      <c r="F143" s="24"/>
      <c r="G143" s="7">
        <v>0</v>
      </c>
      <c r="H143" s="7">
        <v>0</v>
      </c>
      <c r="I143" s="7">
        <v>0</v>
      </c>
      <c r="J143" s="78">
        <f t="shared" si="24"/>
        <v>0</v>
      </c>
      <c r="K143" s="2">
        <f t="shared" si="25"/>
        <v>0</v>
      </c>
      <c r="L143" s="8">
        <v>0</v>
      </c>
      <c r="M143" s="1">
        <f t="shared" si="21"/>
        <v>0</v>
      </c>
      <c r="N143" s="41">
        <v>0</v>
      </c>
      <c r="O143" s="84" t="s">
        <v>275</v>
      </c>
      <c r="P143" s="24" t="s">
        <v>562</v>
      </c>
      <c r="Q143" s="7" t="s">
        <v>557</v>
      </c>
      <c r="R143" s="7"/>
      <c r="S143" s="81">
        <v>0.09</v>
      </c>
      <c r="T143" s="7">
        <v>25</v>
      </c>
      <c r="U143" s="82"/>
      <c r="V143" s="83">
        <f>ROUNDUP(E143*S143,2)</f>
        <v>0</v>
      </c>
      <c r="W143" s="83">
        <f>ROUNDUP(E143*0.015,2)</f>
        <v>0</v>
      </c>
      <c r="X143" s="82">
        <f>MAX(MIN(SUMIFS(Логистика!$C$2:$C$38,Логистика!$A$2:$A$38,"&lt;="&amp;K143,Логистика!$B$2:$B$38,"&gt;="&amp;K143)*E143,SUMIFS(Логистика!$E$2:$E$38,Логистика!$A$2:$A$38,"&lt;="&amp;K143,Логистика!$B$2:$B$38,"&gt;="&amp;K143)),SUMIFS(Логистика!$D$2:$D$38,Логистика!$A$2:$A$38,"&lt;="&amp;K143,Логистика!$B$2:$B$38,"&gt;="&amp;K143))</f>
        <v>0</v>
      </c>
      <c r="Y143" s="83">
        <f>IF(AND(E143*0.055&gt;20,E143*0.055&lt;250),ROUNDUP(E143*0.055,2),IF(E143*0.055&lt;=20,20,250))</f>
        <v>20</v>
      </c>
      <c r="Z143" s="83">
        <f>ROUND(M143*0.05,2)</f>
        <v>0</v>
      </c>
      <c r="AA143" s="83">
        <f>IF(N143=0,0,IF(ROUND(E143*N143,2)&gt;5,ROUND(E143*N143,2),5))</f>
        <v>0</v>
      </c>
      <c r="AB143" s="83">
        <f>IF(O143="Да",ROUND(E143*0.1111,2),0)</f>
        <v>0</v>
      </c>
      <c r="AC143" s="53">
        <f>V143+W143+T143+X143+Y143+Z143+AA143+AB143</f>
        <v>45</v>
      </c>
      <c r="AD143" s="8">
        <v>0</v>
      </c>
      <c r="AE143" s="36">
        <f>ROUND(E143*AD143,2)</f>
        <v>0</v>
      </c>
      <c r="AF143" s="6">
        <v>15</v>
      </c>
      <c r="AG143" s="6">
        <v>15</v>
      </c>
      <c r="AH143" s="5"/>
      <c r="AI143" s="57">
        <f>E143-AC143-AE143-AH143</f>
        <v>-45</v>
      </c>
      <c r="AJ143" s="17">
        <f>E143-AC143</f>
        <v>-45</v>
      </c>
      <c r="AK143" s="20" t="e">
        <f>ROUND(AI143/E143,2)</f>
        <v>#DIV/0!</v>
      </c>
      <c r="AL143" s="21" t="e">
        <f t="shared" si="22"/>
        <v>#DIV/0!</v>
      </c>
    </row>
    <row r="144" spans="1:38" x14ac:dyDescent="0.25">
      <c r="A144" s="27"/>
      <c r="B144" s="45"/>
      <c r="C144" s="31"/>
      <c r="D144" s="38">
        <v>0</v>
      </c>
      <c r="E144" s="50">
        <f t="shared" si="23"/>
        <v>0</v>
      </c>
      <c r="F144" s="24"/>
      <c r="G144" s="7">
        <v>0</v>
      </c>
      <c r="H144" s="7">
        <v>0</v>
      </c>
      <c r="I144" s="7">
        <v>0</v>
      </c>
      <c r="J144" s="78">
        <f t="shared" si="24"/>
        <v>0</v>
      </c>
      <c r="K144" s="2">
        <f t="shared" si="25"/>
        <v>0</v>
      </c>
      <c r="L144" s="8">
        <v>0</v>
      </c>
      <c r="M144" s="1">
        <f t="shared" si="21"/>
        <v>0</v>
      </c>
      <c r="N144" s="41">
        <v>0</v>
      </c>
      <c r="O144" s="84" t="s">
        <v>275</v>
      </c>
      <c r="P144" s="24" t="s">
        <v>562</v>
      </c>
      <c r="Q144" s="7" t="s">
        <v>557</v>
      </c>
      <c r="R144" s="7"/>
      <c r="S144" s="81">
        <v>0.09</v>
      </c>
      <c r="T144" s="7">
        <v>25</v>
      </c>
      <c r="U144" s="82"/>
      <c r="V144" s="83">
        <f>ROUNDUP(E144*S144,2)</f>
        <v>0</v>
      </c>
      <c r="W144" s="83">
        <f>ROUNDUP(E144*0.015,2)</f>
        <v>0</v>
      </c>
      <c r="X144" s="82">
        <f>MAX(MIN(SUMIFS(Логистика!$C$2:$C$38,Логистика!$A$2:$A$38,"&lt;="&amp;K144,Логистика!$B$2:$B$38,"&gt;="&amp;K144)*E144,SUMIFS(Логистика!$E$2:$E$38,Логистика!$A$2:$A$38,"&lt;="&amp;K144,Логистика!$B$2:$B$38,"&gt;="&amp;K144)),SUMIFS(Логистика!$D$2:$D$38,Логистика!$A$2:$A$38,"&lt;="&amp;K144,Логистика!$B$2:$B$38,"&gt;="&amp;K144))</f>
        <v>0</v>
      </c>
      <c r="Y144" s="83">
        <f>IF(AND(E144*0.055&gt;20,E144*0.055&lt;250),ROUNDUP(E144*0.055,2),IF(E144*0.055&lt;=20,20,250))</f>
        <v>20</v>
      </c>
      <c r="Z144" s="83">
        <f>ROUND(M144*0.05,2)</f>
        <v>0</v>
      </c>
      <c r="AA144" s="83">
        <f>IF(N144=0,0,IF(ROUND(E144*N144,2)&gt;5,ROUND(E144*N144,2),5))</f>
        <v>0</v>
      </c>
      <c r="AB144" s="83">
        <f>IF(O144="Да",ROUND(E144*0.1111,2),0)</f>
        <v>0</v>
      </c>
      <c r="AC144" s="53">
        <f>V144+W144+T144+X144+Y144+Z144+AA144+AB144</f>
        <v>45</v>
      </c>
      <c r="AD144" s="8">
        <v>0</v>
      </c>
      <c r="AE144" s="36">
        <f>ROUND(E144*AD144,2)</f>
        <v>0</v>
      </c>
      <c r="AF144" s="6">
        <v>15</v>
      </c>
      <c r="AG144" s="6">
        <v>15</v>
      </c>
      <c r="AH144" s="5"/>
      <c r="AI144" s="57">
        <f>E144-AC144-AE144-AH144</f>
        <v>-45</v>
      </c>
      <c r="AJ144" s="17">
        <f>E144-AC144</f>
        <v>-45</v>
      </c>
      <c r="AK144" s="20" t="e">
        <f>ROUND(AI144/E144,2)</f>
        <v>#DIV/0!</v>
      </c>
      <c r="AL144" s="21" t="e">
        <f t="shared" si="22"/>
        <v>#DIV/0!</v>
      </c>
    </row>
    <row r="145" spans="1:38" x14ac:dyDescent="0.25">
      <c r="A145" s="27"/>
      <c r="B145" s="45"/>
      <c r="C145" s="31"/>
      <c r="D145" s="38">
        <v>0</v>
      </c>
      <c r="E145" s="50">
        <f t="shared" si="23"/>
        <v>0</v>
      </c>
      <c r="F145" s="24"/>
      <c r="G145" s="7">
        <v>0</v>
      </c>
      <c r="H145" s="7">
        <v>0</v>
      </c>
      <c r="I145" s="7">
        <v>0</v>
      </c>
      <c r="J145" s="78">
        <f t="shared" si="24"/>
        <v>0</v>
      </c>
      <c r="K145" s="2">
        <f t="shared" si="25"/>
        <v>0</v>
      </c>
      <c r="L145" s="8">
        <v>0</v>
      </c>
      <c r="M145" s="1">
        <f t="shared" si="21"/>
        <v>0</v>
      </c>
      <c r="N145" s="41">
        <v>0</v>
      </c>
      <c r="O145" s="84" t="s">
        <v>275</v>
      </c>
      <c r="P145" s="24" t="s">
        <v>562</v>
      </c>
      <c r="Q145" s="7" t="s">
        <v>557</v>
      </c>
      <c r="R145" s="7"/>
      <c r="S145" s="81">
        <v>0.09</v>
      </c>
      <c r="T145" s="7">
        <v>25</v>
      </c>
      <c r="U145" s="82"/>
      <c r="V145" s="83">
        <f>ROUNDUP(E145*S145,2)</f>
        <v>0</v>
      </c>
      <c r="W145" s="83">
        <f>ROUNDUP(E145*0.015,2)</f>
        <v>0</v>
      </c>
      <c r="X145" s="82">
        <f>MAX(MIN(SUMIFS(Логистика!$C$2:$C$38,Логистика!$A$2:$A$38,"&lt;="&amp;K145,Логистика!$B$2:$B$38,"&gt;="&amp;K145)*E145,SUMIFS(Логистика!$E$2:$E$38,Логистика!$A$2:$A$38,"&lt;="&amp;K145,Логистика!$B$2:$B$38,"&gt;="&amp;K145)),SUMIFS(Логистика!$D$2:$D$38,Логистика!$A$2:$A$38,"&lt;="&amp;K145,Логистика!$B$2:$B$38,"&gt;="&amp;K145))</f>
        <v>0</v>
      </c>
      <c r="Y145" s="83">
        <f>IF(AND(E145*0.055&gt;20,E145*0.055&lt;250),ROUNDUP(E145*0.055,2),IF(E145*0.055&lt;=20,20,250))</f>
        <v>20</v>
      </c>
      <c r="Z145" s="83">
        <f>ROUND(M145*0.05,2)</f>
        <v>0</v>
      </c>
      <c r="AA145" s="83">
        <f>IF(N145=0,0,IF(ROUND(E145*N145,2)&gt;5,ROUND(E145*N145,2),5))</f>
        <v>0</v>
      </c>
      <c r="AB145" s="83">
        <f>IF(O145="Да",ROUND(E145*0.1111,2),0)</f>
        <v>0</v>
      </c>
      <c r="AC145" s="53">
        <f>V145+W145+T145+X145+Y145+Z145+AA145+AB145</f>
        <v>45</v>
      </c>
      <c r="AD145" s="8">
        <v>0</v>
      </c>
      <c r="AE145" s="36">
        <f>ROUND(E145*AD145,2)</f>
        <v>0</v>
      </c>
      <c r="AF145" s="6">
        <v>15</v>
      </c>
      <c r="AG145" s="6">
        <v>15</v>
      </c>
      <c r="AH145" s="5"/>
      <c r="AI145" s="57">
        <f>E145-AC145-AE145-AH145</f>
        <v>-45</v>
      </c>
      <c r="AJ145" s="17">
        <f>E145-AC145</f>
        <v>-45</v>
      </c>
      <c r="AK145" s="20" t="e">
        <f>ROUND(AI145/E145,2)</f>
        <v>#DIV/0!</v>
      </c>
      <c r="AL145" s="21" t="e">
        <f t="shared" si="22"/>
        <v>#DIV/0!</v>
      </c>
    </row>
    <row r="146" spans="1:38" x14ac:dyDescent="0.25">
      <c r="A146" s="27"/>
      <c r="B146" s="45"/>
      <c r="C146" s="31"/>
      <c r="D146" s="38">
        <v>0</v>
      </c>
      <c r="E146" s="50">
        <f t="shared" si="23"/>
        <v>0</v>
      </c>
      <c r="F146" s="24"/>
      <c r="G146" s="7">
        <v>0</v>
      </c>
      <c r="H146" s="7">
        <v>0</v>
      </c>
      <c r="I146" s="7">
        <v>0</v>
      </c>
      <c r="J146" s="78">
        <f t="shared" si="24"/>
        <v>0</v>
      </c>
      <c r="K146" s="2">
        <f t="shared" si="25"/>
        <v>0</v>
      </c>
      <c r="L146" s="8">
        <v>0</v>
      </c>
      <c r="M146" s="1">
        <f t="shared" si="21"/>
        <v>0</v>
      </c>
      <c r="N146" s="41">
        <v>0</v>
      </c>
      <c r="O146" s="84" t="s">
        <v>275</v>
      </c>
      <c r="P146" s="24" t="s">
        <v>562</v>
      </c>
      <c r="Q146" s="7" t="s">
        <v>557</v>
      </c>
      <c r="R146" s="7"/>
      <c r="S146" s="81">
        <v>0.09</v>
      </c>
      <c r="T146" s="7">
        <v>25</v>
      </c>
      <c r="U146" s="82"/>
      <c r="V146" s="83">
        <f>ROUNDUP(E146*S146,2)</f>
        <v>0</v>
      </c>
      <c r="W146" s="83">
        <f>ROUNDUP(E146*0.015,2)</f>
        <v>0</v>
      </c>
      <c r="X146" s="82">
        <f>MAX(MIN(SUMIFS(Логистика!$C$2:$C$38,Логистика!$A$2:$A$38,"&lt;="&amp;K146,Логистика!$B$2:$B$38,"&gt;="&amp;K146)*E146,SUMIFS(Логистика!$E$2:$E$38,Логистика!$A$2:$A$38,"&lt;="&amp;K146,Логистика!$B$2:$B$38,"&gt;="&amp;K146)),SUMIFS(Логистика!$D$2:$D$38,Логистика!$A$2:$A$38,"&lt;="&amp;K146,Логистика!$B$2:$B$38,"&gt;="&amp;K146))</f>
        <v>0</v>
      </c>
      <c r="Y146" s="83">
        <f>IF(AND(E146*0.055&gt;20,E146*0.055&lt;250),ROUNDUP(E146*0.055,2),IF(E146*0.055&lt;=20,20,250))</f>
        <v>20</v>
      </c>
      <c r="Z146" s="83">
        <f>ROUND(M146*0.05,2)</f>
        <v>0</v>
      </c>
      <c r="AA146" s="83">
        <f>IF(N146=0,0,IF(ROUND(E146*N146,2)&gt;5,ROUND(E146*N146,2),5))</f>
        <v>0</v>
      </c>
      <c r="AB146" s="83">
        <f>IF(O146="Да",ROUND(E146*0.1111,2),0)</f>
        <v>0</v>
      </c>
      <c r="AC146" s="53">
        <f>V146+W146+T146+X146+Y146+Z146+AA146+AB146</f>
        <v>45</v>
      </c>
      <c r="AD146" s="8">
        <v>0</v>
      </c>
      <c r="AE146" s="36">
        <f>ROUND(E146*AD146,2)</f>
        <v>0</v>
      </c>
      <c r="AF146" s="6">
        <v>15</v>
      </c>
      <c r="AG146" s="6">
        <v>15</v>
      </c>
      <c r="AH146" s="5"/>
      <c r="AI146" s="57">
        <f>E146-AC146-AE146-AH146</f>
        <v>-45</v>
      </c>
      <c r="AJ146" s="17">
        <f>E146-AC146</f>
        <v>-45</v>
      </c>
      <c r="AK146" s="20" t="e">
        <f>ROUND(AI146/E146,2)</f>
        <v>#DIV/0!</v>
      </c>
      <c r="AL146" s="21" t="e">
        <f t="shared" si="22"/>
        <v>#DIV/0!</v>
      </c>
    </row>
    <row r="147" spans="1:38" x14ac:dyDescent="0.25">
      <c r="A147" s="27"/>
      <c r="B147" s="45"/>
      <c r="C147" s="31"/>
      <c r="D147" s="38">
        <v>0</v>
      </c>
      <c r="E147" s="50">
        <f t="shared" si="23"/>
        <v>0</v>
      </c>
      <c r="F147" s="24"/>
      <c r="G147" s="7">
        <v>0</v>
      </c>
      <c r="H147" s="7">
        <v>0</v>
      </c>
      <c r="I147" s="7">
        <v>0</v>
      </c>
      <c r="J147" s="78">
        <f t="shared" si="24"/>
        <v>0</v>
      </c>
      <c r="K147" s="2">
        <f t="shared" si="25"/>
        <v>0</v>
      </c>
      <c r="L147" s="8">
        <v>0</v>
      </c>
      <c r="M147" s="1">
        <f t="shared" si="21"/>
        <v>0</v>
      </c>
      <c r="N147" s="41">
        <v>0</v>
      </c>
      <c r="O147" s="84" t="s">
        <v>275</v>
      </c>
      <c r="P147" s="24" t="s">
        <v>562</v>
      </c>
      <c r="Q147" s="7" t="s">
        <v>557</v>
      </c>
      <c r="R147" s="7"/>
      <c r="S147" s="81">
        <v>0.09</v>
      </c>
      <c r="T147" s="7">
        <v>25</v>
      </c>
      <c r="U147" s="82"/>
      <c r="V147" s="83">
        <f>ROUNDUP(E147*S147,2)</f>
        <v>0</v>
      </c>
      <c r="W147" s="83">
        <f>ROUNDUP(E147*0.015,2)</f>
        <v>0</v>
      </c>
      <c r="X147" s="82">
        <f>MAX(MIN(SUMIFS(Логистика!$C$2:$C$38,Логистика!$A$2:$A$38,"&lt;="&amp;K147,Логистика!$B$2:$B$38,"&gt;="&amp;K147)*E147,SUMIFS(Логистика!$E$2:$E$38,Логистика!$A$2:$A$38,"&lt;="&amp;K147,Логистика!$B$2:$B$38,"&gt;="&amp;K147)),SUMIFS(Логистика!$D$2:$D$38,Логистика!$A$2:$A$38,"&lt;="&amp;K147,Логистика!$B$2:$B$38,"&gt;="&amp;K147))</f>
        <v>0</v>
      </c>
      <c r="Y147" s="83">
        <f>IF(AND(E147*0.055&gt;20,E147*0.055&lt;250),ROUNDUP(E147*0.055,2),IF(E147*0.055&lt;=20,20,250))</f>
        <v>20</v>
      </c>
      <c r="Z147" s="83">
        <f>ROUND(M147*0.05,2)</f>
        <v>0</v>
      </c>
      <c r="AA147" s="83">
        <f>IF(N147=0,0,IF(ROUND(E147*N147,2)&gt;5,ROUND(E147*N147,2),5))</f>
        <v>0</v>
      </c>
      <c r="AB147" s="83">
        <f>IF(O147="Да",ROUND(E147*0.1111,2),0)</f>
        <v>0</v>
      </c>
      <c r="AC147" s="53">
        <f>V147+W147+T147+X147+Y147+Z147+AA147+AB147</f>
        <v>45</v>
      </c>
      <c r="AD147" s="8">
        <v>0</v>
      </c>
      <c r="AE147" s="36">
        <f>ROUND(E147*AD147,2)</f>
        <v>0</v>
      </c>
      <c r="AF147" s="6">
        <v>15</v>
      </c>
      <c r="AG147" s="6">
        <v>15</v>
      </c>
      <c r="AH147" s="5"/>
      <c r="AI147" s="57">
        <f>E147-AC147-AE147-AH147</f>
        <v>-45</v>
      </c>
      <c r="AJ147" s="17">
        <f>E147-AC147</f>
        <v>-45</v>
      </c>
      <c r="AK147" s="20" t="e">
        <f>ROUND(AI147/E147,2)</f>
        <v>#DIV/0!</v>
      </c>
      <c r="AL147" s="21" t="e">
        <f t="shared" si="22"/>
        <v>#DIV/0!</v>
      </c>
    </row>
    <row r="148" spans="1:38" x14ac:dyDescent="0.25">
      <c r="A148" s="27"/>
      <c r="B148" s="45"/>
      <c r="C148" s="31"/>
      <c r="D148" s="38">
        <v>0</v>
      </c>
      <c r="E148" s="50">
        <f t="shared" si="23"/>
        <v>0</v>
      </c>
      <c r="F148" s="24"/>
      <c r="G148" s="7">
        <v>0</v>
      </c>
      <c r="H148" s="7">
        <v>0</v>
      </c>
      <c r="I148" s="7">
        <v>0</v>
      </c>
      <c r="J148" s="78">
        <f t="shared" si="24"/>
        <v>0</v>
      </c>
      <c r="K148" s="2">
        <f t="shared" si="25"/>
        <v>0</v>
      </c>
      <c r="L148" s="8">
        <v>0</v>
      </c>
      <c r="M148" s="1">
        <f t="shared" si="21"/>
        <v>0</v>
      </c>
      <c r="N148" s="41">
        <v>0</v>
      </c>
      <c r="O148" s="84" t="s">
        <v>275</v>
      </c>
      <c r="P148" s="24" t="s">
        <v>562</v>
      </c>
      <c r="Q148" s="7" t="s">
        <v>557</v>
      </c>
      <c r="R148" s="7"/>
      <c r="S148" s="81">
        <v>0.09</v>
      </c>
      <c r="T148" s="7">
        <v>25</v>
      </c>
      <c r="U148" s="82"/>
      <c r="V148" s="83">
        <f>ROUNDUP(E148*S148,2)</f>
        <v>0</v>
      </c>
      <c r="W148" s="83">
        <f>ROUNDUP(E148*0.015,2)</f>
        <v>0</v>
      </c>
      <c r="X148" s="82">
        <f>MAX(MIN(SUMIFS(Логистика!$C$2:$C$38,Логистика!$A$2:$A$38,"&lt;="&amp;K148,Логистика!$B$2:$B$38,"&gt;="&amp;K148)*E148,SUMIFS(Логистика!$E$2:$E$38,Логистика!$A$2:$A$38,"&lt;="&amp;K148,Логистика!$B$2:$B$38,"&gt;="&amp;K148)),SUMIFS(Логистика!$D$2:$D$38,Логистика!$A$2:$A$38,"&lt;="&amp;K148,Логистика!$B$2:$B$38,"&gt;="&amp;K148))</f>
        <v>0</v>
      </c>
      <c r="Y148" s="83">
        <f>IF(AND(E148*0.055&gt;20,E148*0.055&lt;250),ROUNDUP(E148*0.055,2),IF(E148*0.055&lt;=20,20,250))</f>
        <v>20</v>
      </c>
      <c r="Z148" s="83">
        <f>ROUND(M148*0.05,2)</f>
        <v>0</v>
      </c>
      <c r="AA148" s="83">
        <f>IF(N148=0,0,IF(ROUND(E148*N148,2)&gt;5,ROUND(E148*N148,2),5))</f>
        <v>0</v>
      </c>
      <c r="AB148" s="83">
        <f>IF(O148="Да",ROUND(E148*0.1111,2),0)</f>
        <v>0</v>
      </c>
      <c r="AC148" s="53">
        <f>V148+W148+T148+X148+Y148+Z148+AA148+AB148</f>
        <v>45</v>
      </c>
      <c r="AD148" s="8">
        <v>0</v>
      </c>
      <c r="AE148" s="36">
        <f>ROUND(E148*AD148,2)</f>
        <v>0</v>
      </c>
      <c r="AF148" s="6">
        <v>15</v>
      </c>
      <c r="AG148" s="6">
        <v>15</v>
      </c>
      <c r="AH148" s="5"/>
      <c r="AI148" s="57">
        <f>E148-AC148-AE148-AH148</f>
        <v>-45</v>
      </c>
      <c r="AJ148" s="17">
        <f>E148-AC148</f>
        <v>-45</v>
      </c>
      <c r="AK148" s="20" t="e">
        <f>ROUND(AI148/E148,2)</f>
        <v>#DIV/0!</v>
      </c>
      <c r="AL148" s="21" t="e">
        <f t="shared" si="22"/>
        <v>#DIV/0!</v>
      </c>
    </row>
    <row r="149" spans="1:38" x14ac:dyDescent="0.25">
      <c r="A149" s="27"/>
      <c r="B149" s="45"/>
      <c r="C149" s="31"/>
      <c r="D149" s="38">
        <v>0</v>
      </c>
      <c r="E149" s="50">
        <f t="shared" si="23"/>
        <v>0</v>
      </c>
      <c r="F149" s="24"/>
      <c r="G149" s="7">
        <v>0</v>
      </c>
      <c r="H149" s="7">
        <v>0</v>
      </c>
      <c r="I149" s="7">
        <v>0</v>
      </c>
      <c r="J149" s="78">
        <f t="shared" si="24"/>
        <v>0</v>
      </c>
      <c r="K149" s="2">
        <f t="shared" si="25"/>
        <v>0</v>
      </c>
      <c r="L149" s="8">
        <v>0</v>
      </c>
      <c r="M149" s="1">
        <f t="shared" si="21"/>
        <v>0</v>
      </c>
      <c r="N149" s="41">
        <v>0</v>
      </c>
      <c r="O149" s="84" t="s">
        <v>275</v>
      </c>
      <c r="P149" s="24" t="s">
        <v>562</v>
      </c>
      <c r="Q149" s="7" t="s">
        <v>557</v>
      </c>
      <c r="R149" s="7"/>
      <c r="S149" s="81">
        <v>0.09</v>
      </c>
      <c r="T149" s="7">
        <v>25</v>
      </c>
      <c r="U149" s="82"/>
      <c r="V149" s="83">
        <f>ROUNDUP(E149*S149,2)</f>
        <v>0</v>
      </c>
      <c r="W149" s="83">
        <f>ROUNDUP(E149*0.015,2)</f>
        <v>0</v>
      </c>
      <c r="X149" s="82">
        <f>MAX(MIN(SUMIFS(Логистика!$C$2:$C$38,Логистика!$A$2:$A$38,"&lt;="&amp;K149,Логистика!$B$2:$B$38,"&gt;="&amp;K149)*E149,SUMIFS(Логистика!$E$2:$E$38,Логистика!$A$2:$A$38,"&lt;="&amp;K149,Логистика!$B$2:$B$38,"&gt;="&amp;K149)),SUMIFS(Логистика!$D$2:$D$38,Логистика!$A$2:$A$38,"&lt;="&amp;K149,Логистика!$B$2:$B$38,"&gt;="&amp;K149))</f>
        <v>0</v>
      </c>
      <c r="Y149" s="83">
        <f>IF(AND(E149*0.055&gt;20,E149*0.055&lt;250),ROUNDUP(E149*0.055,2),IF(E149*0.055&lt;=20,20,250))</f>
        <v>20</v>
      </c>
      <c r="Z149" s="83">
        <f>ROUND(M149*0.05,2)</f>
        <v>0</v>
      </c>
      <c r="AA149" s="83">
        <f>IF(N149=0,0,IF(ROUND(E149*N149,2)&gt;5,ROUND(E149*N149,2),5))</f>
        <v>0</v>
      </c>
      <c r="AB149" s="83">
        <f>IF(O149="Да",ROUND(E149*0.1111,2),0)</f>
        <v>0</v>
      </c>
      <c r="AC149" s="53">
        <f>V149+W149+T149+X149+Y149+Z149+AA149+AB149</f>
        <v>45</v>
      </c>
      <c r="AD149" s="8">
        <v>0</v>
      </c>
      <c r="AE149" s="36">
        <f>ROUND(E149*AD149,2)</f>
        <v>0</v>
      </c>
      <c r="AF149" s="6">
        <v>15</v>
      </c>
      <c r="AG149" s="6">
        <v>15</v>
      </c>
      <c r="AH149" s="5"/>
      <c r="AI149" s="57">
        <f>E149-AC149-AE149-AH149</f>
        <v>-45</v>
      </c>
      <c r="AJ149" s="17">
        <f>E149-AC149</f>
        <v>-45</v>
      </c>
      <c r="AK149" s="20" t="e">
        <f>ROUND(AI149/E149,2)</f>
        <v>#DIV/0!</v>
      </c>
      <c r="AL149" s="21" t="e">
        <f t="shared" si="22"/>
        <v>#DIV/0!</v>
      </c>
    </row>
    <row r="150" spans="1:38" x14ac:dyDescent="0.25">
      <c r="A150" s="27"/>
      <c r="B150" s="45"/>
      <c r="C150" s="31"/>
      <c r="D150" s="38">
        <v>0</v>
      </c>
      <c r="E150" s="50">
        <f t="shared" si="23"/>
        <v>0</v>
      </c>
      <c r="F150" s="24"/>
      <c r="G150" s="7">
        <v>0</v>
      </c>
      <c r="H150" s="7">
        <v>0</v>
      </c>
      <c r="I150" s="7">
        <v>0</v>
      </c>
      <c r="J150" s="78">
        <f t="shared" si="24"/>
        <v>0</v>
      </c>
      <c r="K150" s="2">
        <f t="shared" si="25"/>
        <v>0</v>
      </c>
      <c r="L150" s="8">
        <v>0</v>
      </c>
      <c r="M150" s="1">
        <f t="shared" si="21"/>
        <v>0</v>
      </c>
      <c r="N150" s="41">
        <v>0</v>
      </c>
      <c r="O150" s="84" t="s">
        <v>275</v>
      </c>
      <c r="P150" s="24" t="s">
        <v>562</v>
      </c>
      <c r="Q150" s="7" t="s">
        <v>557</v>
      </c>
      <c r="R150" s="7"/>
      <c r="S150" s="81">
        <v>0.09</v>
      </c>
      <c r="T150" s="7">
        <v>25</v>
      </c>
      <c r="U150" s="82"/>
      <c r="V150" s="83">
        <f>ROUNDUP(E150*S150,2)</f>
        <v>0</v>
      </c>
      <c r="W150" s="83">
        <f>ROUNDUP(E150*0.015,2)</f>
        <v>0</v>
      </c>
      <c r="X150" s="82">
        <f>MAX(MIN(SUMIFS(Логистика!$C$2:$C$38,Логистика!$A$2:$A$38,"&lt;="&amp;K150,Логистика!$B$2:$B$38,"&gt;="&amp;K150)*E150,SUMIFS(Логистика!$E$2:$E$38,Логистика!$A$2:$A$38,"&lt;="&amp;K150,Логистика!$B$2:$B$38,"&gt;="&amp;K150)),SUMIFS(Логистика!$D$2:$D$38,Логистика!$A$2:$A$38,"&lt;="&amp;K150,Логистика!$B$2:$B$38,"&gt;="&amp;K150))</f>
        <v>0</v>
      </c>
      <c r="Y150" s="83">
        <f>IF(AND(E150*0.055&gt;20,E150*0.055&lt;250),ROUNDUP(E150*0.055,2),IF(E150*0.055&lt;=20,20,250))</f>
        <v>20</v>
      </c>
      <c r="Z150" s="83">
        <f>ROUND(M150*0.05,2)</f>
        <v>0</v>
      </c>
      <c r="AA150" s="83">
        <f>IF(N150=0,0,IF(ROUND(E150*N150,2)&gt;5,ROUND(E150*N150,2),5))</f>
        <v>0</v>
      </c>
      <c r="AB150" s="83">
        <f>IF(O150="Да",ROUND(E150*0.1111,2),0)</f>
        <v>0</v>
      </c>
      <c r="AC150" s="53">
        <f>V150+W150+T150+X150+Y150+Z150+AA150+AB150</f>
        <v>45</v>
      </c>
      <c r="AD150" s="8">
        <v>0</v>
      </c>
      <c r="AE150" s="36">
        <f>ROUND(E150*AD150,2)</f>
        <v>0</v>
      </c>
      <c r="AF150" s="6">
        <v>15</v>
      </c>
      <c r="AG150" s="6">
        <v>15</v>
      </c>
      <c r="AH150" s="5"/>
      <c r="AI150" s="57">
        <f>E150-AC150-AE150-AH150</f>
        <v>-45</v>
      </c>
      <c r="AJ150" s="17">
        <f>E150-AC150</f>
        <v>-45</v>
      </c>
      <c r="AK150" s="20" t="e">
        <f>ROUND(AI150/E150,2)</f>
        <v>#DIV/0!</v>
      </c>
      <c r="AL150" s="21" t="e">
        <f t="shared" si="22"/>
        <v>#DIV/0!</v>
      </c>
    </row>
    <row r="151" spans="1:38" x14ac:dyDescent="0.25">
      <c r="A151" s="27"/>
      <c r="B151" s="45"/>
      <c r="C151" s="31"/>
      <c r="D151" s="38">
        <v>0</v>
      </c>
      <c r="E151" s="50">
        <f t="shared" si="23"/>
        <v>0</v>
      </c>
      <c r="F151" s="24"/>
      <c r="G151" s="7">
        <v>0</v>
      </c>
      <c r="H151" s="7">
        <v>0</v>
      </c>
      <c r="I151" s="7">
        <v>0</v>
      </c>
      <c r="J151" s="78">
        <f t="shared" si="24"/>
        <v>0</v>
      </c>
      <c r="K151" s="2">
        <f t="shared" si="25"/>
        <v>0</v>
      </c>
      <c r="L151" s="8">
        <v>0</v>
      </c>
      <c r="M151" s="1">
        <f t="shared" si="21"/>
        <v>0</v>
      </c>
      <c r="N151" s="41">
        <v>0</v>
      </c>
      <c r="O151" s="84" t="s">
        <v>275</v>
      </c>
      <c r="P151" s="24" t="s">
        <v>562</v>
      </c>
      <c r="Q151" s="7" t="s">
        <v>557</v>
      </c>
      <c r="R151" s="7"/>
      <c r="S151" s="81">
        <v>0.09</v>
      </c>
      <c r="T151" s="7">
        <v>25</v>
      </c>
      <c r="U151" s="82"/>
      <c r="V151" s="83">
        <f>ROUNDUP(E151*S151,2)</f>
        <v>0</v>
      </c>
      <c r="W151" s="83">
        <f>ROUNDUP(E151*0.015,2)</f>
        <v>0</v>
      </c>
      <c r="X151" s="82">
        <f>MAX(MIN(SUMIFS(Логистика!$C$2:$C$38,Логистика!$A$2:$A$38,"&lt;="&amp;K151,Логистика!$B$2:$B$38,"&gt;="&amp;K151)*E151,SUMIFS(Логистика!$E$2:$E$38,Логистика!$A$2:$A$38,"&lt;="&amp;K151,Логистика!$B$2:$B$38,"&gt;="&amp;K151)),SUMIFS(Логистика!$D$2:$D$38,Логистика!$A$2:$A$38,"&lt;="&amp;K151,Логистика!$B$2:$B$38,"&gt;="&amp;K151))</f>
        <v>0</v>
      </c>
      <c r="Y151" s="83">
        <f>IF(AND(E151*0.055&gt;20,E151*0.055&lt;250),ROUNDUP(E151*0.055,2),IF(E151*0.055&lt;=20,20,250))</f>
        <v>20</v>
      </c>
      <c r="Z151" s="83">
        <f>ROUND(M151*0.05,2)</f>
        <v>0</v>
      </c>
      <c r="AA151" s="83">
        <f>IF(N151=0,0,IF(ROUND(E151*N151,2)&gt;5,ROUND(E151*N151,2),5))</f>
        <v>0</v>
      </c>
      <c r="AB151" s="83">
        <f>IF(O151="Да",ROUND(E151*0.1111,2),0)</f>
        <v>0</v>
      </c>
      <c r="AC151" s="53">
        <f>V151+W151+T151+X151+Y151+Z151+AA151+AB151</f>
        <v>45</v>
      </c>
      <c r="AD151" s="8">
        <v>0</v>
      </c>
      <c r="AE151" s="36">
        <f>ROUND(E151*AD151,2)</f>
        <v>0</v>
      </c>
      <c r="AF151" s="6">
        <v>15</v>
      </c>
      <c r="AG151" s="6">
        <v>15</v>
      </c>
      <c r="AH151" s="5"/>
      <c r="AI151" s="57">
        <f>E151-AC151-AE151-AH151</f>
        <v>-45</v>
      </c>
      <c r="AJ151" s="17">
        <f>E151-AC151</f>
        <v>-45</v>
      </c>
      <c r="AK151" s="20" t="e">
        <f>ROUND(AI151/E151,2)</f>
        <v>#DIV/0!</v>
      </c>
      <c r="AL151" s="21" t="e">
        <f t="shared" si="22"/>
        <v>#DIV/0!</v>
      </c>
    </row>
    <row r="152" spans="1:38" x14ac:dyDescent="0.25">
      <c r="A152" s="27"/>
      <c r="B152" s="45"/>
      <c r="C152" s="31"/>
      <c r="D152" s="38">
        <v>0</v>
      </c>
      <c r="E152" s="50">
        <f t="shared" si="23"/>
        <v>0</v>
      </c>
      <c r="F152" s="24"/>
      <c r="G152" s="7">
        <v>0</v>
      </c>
      <c r="H152" s="7">
        <v>0</v>
      </c>
      <c r="I152" s="7">
        <v>0</v>
      </c>
      <c r="J152" s="78">
        <f t="shared" si="24"/>
        <v>0</v>
      </c>
      <c r="K152" s="2">
        <f t="shared" si="25"/>
        <v>0</v>
      </c>
      <c r="L152" s="8">
        <v>0</v>
      </c>
      <c r="M152" s="1">
        <f t="shared" si="21"/>
        <v>0</v>
      </c>
      <c r="N152" s="41">
        <v>0</v>
      </c>
      <c r="O152" s="84" t="s">
        <v>275</v>
      </c>
      <c r="P152" s="24" t="s">
        <v>562</v>
      </c>
      <c r="Q152" s="7" t="s">
        <v>557</v>
      </c>
      <c r="R152" s="7"/>
      <c r="S152" s="81">
        <v>0.09</v>
      </c>
      <c r="T152" s="7">
        <v>25</v>
      </c>
      <c r="U152" s="82"/>
      <c r="V152" s="83">
        <f>ROUNDUP(E152*S152,2)</f>
        <v>0</v>
      </c>
      <c r="W152" s="83">
        <f>ROUNDUP(E152*0.015,2)</f>
        <v>0</v>
      </c>
      <c r="X152" s="82">
        <f>MAX(MIN(SUMIFS(Логистика!$C$2:$C$38,Логистика!$A$2:$A$38,"&lt;="&amp;K152,Логистика!$B$2:$B$38,"&gt;="&amp;K152)*E152,SUMIFS(Логистика!$E$2:$E$38,Логистика!$A$2:$A$38,"&lt;="&amp;K152,Логистика!$B$2:$B$38,"&gt;="&amp;K152)),SUMIFS(Логистика!$D$2:$D$38,Логистика!$A$2:$A$38,"&lt;="&amp;K152,Логистика!$B$2:$B$38,"&gt;="&amp;K152))</f>
        <v>0</v>
      </c>
      <c r="Y152" s="83">
        <f>IF(AND(E152*0.055&gt;20,E152*0.055&lt;250),ROUNDUP(E152*0.055,2),IF(E152*0.055&lt;=20,20,250))</f>
        <v>20</v>
      </c>
      <c r="Z152" s="83">
        <f>ROUND(M152*0.05,2)</f>
        <v>0</v>
      </c>
      <c r="AA152" s="83">
        <f>IF(N152=0,0,IF(ROUND(E152*N152,2)&gt;5,ROUND(E152*N152,2),5))</f>
        <v>0</v>
      </c>
      <c r="AB152" s="83">
        <f>IF(O152="Да",ROUND(E152*0.1111,2),0)</f>
        <v>0</v>
      </c>
      <c r="AC152" s="53">
        <f>V152+W152+T152+X152+Y152+Z152+AA152+AB152</f>
        <v>45</v>
      </c>
      <c r="AD152" s="8">
        <v>0</v>
      </c>
      <c r="AE152" s="36">
        <f>ROUND(E152*AD152,2)</f>
        <v>0</v>
      </c>
      <c r="AF152" s="6">
        <v>15</v>
      </c>
      <c r="AG152" s="6">
        <v>15</v>
      </c>
      <c r="AH152" s="5"/>
      <c r="AI152" s="57">
        <f>E152-AC152-AE152-AH152</f>
        <v>-45</v>
      </c>
      <c r="AJ152" s="17">
        <f>E152-AC152</f>
        <v>-45</v>
      </c>
      <c r="AK152" s="20" t="e">
        <f>ROUND(AI152/E152,2)</f>
        <v>#DIV/0!</v>
      </c>
      <c r="AL152" s="21" t="e">
        <f t="shared" si="22"/>
        <v>#DIV/0!</v>
      </c>
    </row>
    <row r="153" spans="1:38" x14ac:dyDescent="0.25">
      <c r="A153" s="27"/>
      <c r="B153" s="45"/>
      <c r="C153" s="31"/>
      <c r="D153" s="38">
        <v>0</v>
      </c>
      <c r="E153" s="50">
        <f t="shared" si="23"/>
        <v>0</v>
      </c>
      <c r="F153" s="24"/>
      <c r="G153" s="7">
        <v>0</v>
      </c>
      <c r="H153" s="7">
        <v>0</v>
      </c>
      <c r="I153" s="7">
        <v>0</v>
      </c>
      <c r="J153" s="78">
        <f t="shared" si="24"/>
        <v>0</v>
      </c>
      <c r="K153" s="2">
        <f t="shared" si="25"/>
        <v>0</v>
      </c>
      <c r="L153" s="8">
        <v>0</v>
      </c>
      <c r="M153" s="1">
        <f t="shared" si="21"/>
        <v>0</v>
      </c>
      <c r="N153" s="41">
        <v>0</v>
      </c>
      <c r="O153" s="84" t="s">
        <v>275</v>
      </c>
      <c r="P153" s="24" t="s">
        <v>562</v>
      </c>
      <c r="Q153" s="7" t="s">
        <v>557</v>
      </c>
      <c r="R153" s="7"/>
      <c r="S153" s="81">
        <v>0.09</v>
      </c>
      <c r="T153" s="7">
        <v>25</v>
      </c>
      <c r="U153" s="82"/>
      <c r="V153" s="83">
        <f>ROUNDUP(E153*S153,2)</f>
        <v>0</v>
      </c>
      <c r="W153" s="83">
        <f>ROUNDUP(E153*0.015,2)</f>
        <v>0</v>
      </c>
      <c r="X153" s="82">
        <f>MAX(MIN(SUMIFS(Логистика!$C$2:$C$38,Логистика!$A$2:$A$38,"&lt;="&amp;K153,Логистика!$B$2:$B$38,"&gt;="&amp;K153)*E153,SUMIFS(Логистика!$E$2:$E$38,Логистика!$A$2:$A$38,"&lt;="&amp;K153,Логистика!$B$2:$B$38,"&gt;="&amp;K153)),SUMIFS(Логистика!$D$2:$D$38,Логистика!$A$2:$A$38,"&lt;="&amp;K153,Логистика!$B$2:$B$38,"&gt;="&amp;K153))</f>
        <v>0</v>
      </c>
      <c r="Y153" s="83">
        <f>IF(AND(E153*0.055&gt;20,E153*0.055&lt;250),ROUNDUP(E153*0.055,2),IF(E153*0.055&lt;=20,20,250))</f>
        <v>20</v>
      </c>
      <c r="Z153" s="83">
        <f>ROUND(M153*0.05,2)</f>
        <v>0</v>
      </c>
      <c r="AA153" s="83">
        <f>IF(N153=0,0,IF(ROUND(E153*N153,2)&gt;5,ROUND(E153*N153,2),5))</f>
        <v>0</v>
      </c>
      <c r="AB153" s="83">
        <f>IF(O153="Да",ROUND(E153*0.1111,2),0)</f>
        <v>0</v>
      </c>
      <c r="AC153" s="53">
        <f>V153+W153+T153+X153+Y153+Z153+AA153+AB153</f>
        <v>45</v>
      </c>
      <c r="AD153" s="8">
        <v>0</v>
      </c>
      <c r="AE153" s="36">
        <f>ROUND(E153*AD153,2)</f>
        <v>0</v>
      </c>
      <c r="AF153" s="6">
        <v>15</v>
      </c>
      <c r="AG153" s="6">
        <v>15</v>
      </c>
      <c r="AH153" s="5"/>
      <c r="AI153" s="57">
        <f>E153-AC153-AE153-AH153</f>
        <v>-45</v>
      </c>
      <c r="AJ153" s="17">
        <f>E153-AC153</f>
        <v>-45</v>
      </c>
      <c r="AK153" s="20" t="e">
        <f>ROUND(AI153/E153,2)</f>
        <v>#DIV/0!</v>
      </c>
      <c r="AL153" s="21" t="e">
        <f t="shared" si="22"/>
        <v>#DIV/0!</v>
      </c>
    </row>
    <row r="154" spans="1:38" x14ac:dyDescent="0.25">
      <c r="A154" s="27"/>
      <c r="B154" s="45"/>
      <c r="C154" s="31"/>
      <c r="D154" s="38">
        <v>0</v>
      </c>
      <c r="E154" s="50">
        <f t="shared" si="23"/>
        <v>0</v>
      </c>
      <c r="F154" s="24"/>
      <c r="G154" s="7">
        <v>0</v>
      </c>
      <c r="H154" s="7">
        <v>0</v>
      </c>
      <c r="I154" s="7">
        <v>0</v>
      </c>
      <c r="J154" s="78">
        <f t="shared" si="24"/>
        <v>0</v>
      </c>
      <c r="K154" s="2">
        <f t="shared" si="25"/>
        <v>0</v>
      </c>
      <c r="L154" s="8">
        <v>0</v>
      </c>
      <c r="M154" s="1">
        <f t="shared" si="21"/>
        <v>0</v>
      </c>
      <c r="N154" s="41">
        <v>0</v>
      </c>
      <c r="O154" s="84" t="s">
        <v>275</v>
      </c>
      <c r="P154" s="24" t="s">
        <v>562</v>
      </c>
      <c r="Q154" s="7" t="s">
        <v>557</v>
      </c>
      <c r="R154" s="7"/>
      <c r="S154" s="81">
        <v>0.09</v>
      </c>
      <c r="T154" s="7">
        <v>25</v>
      </c>
      <c r="U154" s="82"/>
      <c r="V154" s="83">
        <f>ROUNDUP(E154*S154,2)</f>
        <v>0</v>
      </c>
      <c r="W154" s="83">
        <f>ROUNDUP(E154*0.015,2)</f>
        <v>0</v>
      </c>
      <c r="X154" s="82">
        <f>MAX(MIN(SUMIFS(Логистика!$C$2:$C$38,Логистика!$A$2:$A$38,"&lt;="&amp;K154,Логистика!$B$2:$B$38,"&gt;="&amp;K154)*E154,SUMIFS(Логистика!$E$2:$E$38,Логистика!$A$2:$A$38,"&lt;="&amp;K154,Логистика!$B$2:$B$38,"&gt;="&amp;K154)),SUMIFS(Логистика!$D$2:$D$38,Логистика!$A$2:$A$38,"&lt;="&amp;K154,Логистика!$B$2:$B$38,"&gt;="&amp;K154))</f>
        <v>0</v>
      </c>
      <c r="Y154" s="83">
        <f>IF(AND(E154*0.055&gt;20,E154*0.055&lt;250),ROUNDUP(E154*0.055,2),IF(E154*0.055&lt;=20,20,250))</f>
        <v>20</v>
      </c>
      <c r="Z154" s="83">
        <f>ROUND(M154*0.05,2)</f>
        <v>0</v>
      </c>
      <c r="AA154" s="83">
        <f>IF(N154=0,0,IF(ROUND(E154*N154,2)&gt;5,ROUND(E154*N154,2),5))</f>
        <v>0</v>
      </c>
      <c r="AB154" s="83">
        <f>IF(O154="Да",ROUND(E154*0.1111,2),0)</f>
        <v>0</v>
      </c>
      <c r="AC154" s="53">
        <f>V154+W154+T154+X154+Y154+Z154+AA154+AB154</f>
        <v>45</v>
      </c>
      <c r="AD154" s="8">
        <v>0</v>
      </c>
      <c r="AE154" s="36">
        <f>ROUND(E154*AD154,2)</f>
        <v>0</v>
      </c>
      <c r="AF154" s="6">
        <v>15</v>
      </c>
      <c r="AG154" s="6">
        <v>15</v>
      </c>
      <c r="AH154" s="5"/>
      <c r="AI154" s="57">
        <f>E154-AC154-AE154-AH154</f>
        <v>-45</v>
      </c>
      <c r="AJ154" s="17">
        <f>E154-AC154</f>
        <v>-45</v>
      </c>
      <c r="AK154" s="20" t="e">
        <f>ROUND(AI154/E154,2)</f>
        <v>#DIV/0!</v>
      </c>
      <c r="AL154" s="21" t="e">
        <f t="shared" si="22"/>
        <v>#DIV/0!</v>
      </c>
    </row>
    <row r="155" spans="1:38" x14ac:dyDescent="0.25">
      <c r="A155" s="27"/>
      <c r="B155" s="45"/>
      <c r="C155" s="31"/>
      <c r="D155" s="38">
        <v>0</v>
      </c>
      <c r="E155" s="50">
        <f t="shared" si="23"/>
        <v>0</v>
      </c>
      <c r="F155" s="24"/>
      <c r="G155" s="7">
        <v>0</v>
      </c>
      <c r="H155" s="7">
        <v>0</v>
      </c>
      <c r="I155" s="7">
        <v>0</v>
      </c>
      <c r="J155" s="78">
        <f t="shared" si="24"/>
        <v>0</v>
      </c>
      <c r="K155" s="2">
        <f t="shared" si="25"/>
        <v>0</v>
      </c>
      <c r="L155" s="8">
        <v>0</v>
      </c>
      <c r="M155" s="1">
        <f t="shared" si="21"/>
        <v>0</v>
      </c>
      <c r="N155" s="41">
        <v>0</v>
      </c>
      <c r="O155" s="84" t="s">
        <v>275</v>
      </c>
      <c r="P155" s="24" t="s">
        <v>562</v>
      </c>
      <c r="Q155" s="7" t="s">
        <v>557</v>
      </c>
      <c r="R155" s="7"/>
      <c r="S155" s="81">
        <v>0.09</v>
      </c>
      <c r="T155" s="7">
        <v>25</v>
      </c>
      <c r="U155" s="82"/>
      <c r="V155" s="83">
        <f>ROUNDUP(E155*S155,2)</f>
        <v>0</v>
      </c>
      <c r="W155" s="83">
        <f>ROUNDUP(E155*0.015,2)</f>
        <v>0</v>
      </c>
      <c r="X155" s="82">
        <f>MAX(MIN(SUMIFS(Логистика!$C$2:$C$38,Логистика!$A$2:$A$38,"&lt;="&amp;K155,Логистика!$B$2:$B$38,"&gt;="&amp;K155)*E155,SUMIFS(Логистика!$E$2:$E$38,Логистика!$A$2:$A$38,"&lt;="&amp;K155,Логистика!$B$2:$B$38,"&gt;="&amp;K155)),SUMIFS(Логистика!$D$2:$D$38,Логистика!$A$2:$A$38,"&lt;="&amp;K155,Логистика!$B$2:$B$38,"&gt;="&amp;K155))</f>
        <v>0</v>
      </c>
      <c r="Y155" s="83">
        <f>IF(AND(E155*0.055&gt;20,E155*0.055&lt;250),ROUNDUP(E155*0.055,2),IF(E155*0.055&lt;=20,20,250))</f>
        <v>20</v>
      </c>
      <c r="Z155" s="83">
        <f>ROUND(M155*0.05,2)</f>
        <v>0</v>
      </c>
      <c r="AA155" s="83">
        <f>IF(N155=0,0,IF(ROUND(E155*N155,2)&gt;5,ROUND(E155*N155,2),5))</f>
        <v>0</v>
      </c>
      <c r="AB155" s="83">
        <f>IF(O155="Да",ROUND(E155*0.1111,2),0)</f>
        <v>0</v>
      </c>
      <c r="AC155" s="53">
        <f>V155+W155+T155+X155+Y155+Z155+AA155+AB155</f>
        <v>45</v>
      </c>
      <c r="AD155" s="8">
        <v>0</v>
      </c>
      <c r="AE155" s="36">
        <f>ROUND(E155*AD155,2)</f>
        <v>0</v>
      </c>
      <c r="AF155" s="6">
        <v>15</v>
      </c>
      <c r="AG155" s="6">
        <v>15</v>
      </c>
      <c r="AH155" s="5"/>
      <c r="AI155" s="57">
        <f>E155-AC155-AE155-AH155</f>
        <v>-45</v>
      </c>
      <c r="AJ155" s="17">
        <f>E155-AC155</f>
        <v>-45</v>
      </c>
      <c r="AK155" s="20" t="e">
        <f>ROUND(AI155/E155,2)</f>
        <v>#DIV/0!</v>
      </c>
      <c r="AL155" s="21" t="e">
        <f t="shared" si="22"/>
        <v>#DIV/0!</v>
      </c>
    </row>
    <row r="156" spans="1:38" x14ac:dyDescent="0.25">
      <c r="A156" s="27"/>
      <c r="B156" s="45"/>
      <c r="C156" s="31"/>
      <c r="D156" s="38">
        <v>0</v>
      </c>
      <c r="E156" s="50">
        <f t="shared" si="23"/>
        <v>0</v>
      </c>
      <c r="F156" s="24"/>
      <c r="G156" s="7">
        <v>0</v>
      </c>
      <c r="H156" s="7">
        <v>0</v>
      </c>
      <c r="I156" s="7">
        <v>0</v>
      </c>
      <c r="J156" s="78">
        <f t="shared" si="24"/>
        <v>0</v>
      </c>
      <c r="K156" s="2">
        <f t="shared" si="25"/>
        <v>0</v>
      </c>
      <c r="L156" s="8">
        <v>0</v>
      </c>
      <c r="M156" s="1">
        <f t="shared" si="21"/>
        <v>0</v>
      </c>
      <c r="N156" s="41">
        <v>0</v>
      </c>
      <c r="O156" s="84" t="s">
        <v>275</v>
      </c>
      <c r="P156" s="24" t="s">
        <v>562</v>
      </c>
      <c r="Q156" s="7" t="s">
        <v>557</v>
      </c>
      <c r="R156" s="7"/>
      <c r="S156" s="81">
        <v>0.09</v>
      </c>
      <c r="T156" s="7">
        <v>25</v>
      </c>
      <c r="U156" s="82"/>
      <c r="V156" s="83">
        <f>ROUNDUP(E156*S156,2)</f>
        <v>0</v>
      </c>
      <c r="W156" s="83">
        <f>ROUNDUP(E156*0.015,2)</f>
        <v>0</v>
      </c>
      <c r="X156" s="82">
        <f>MAX(MIN(SUMIFS(Логистика!$C$2:$C$38,Логистика!$A$2:$A$38,"&lt;="&amp;K156,Логистика!$B$2:$B$38,"&gt;="&amp;K156)*E156,SUMIFS(Логистика!$E$2:$E$38,Логистика!$A$2:$A$38,"&lt;="&amp;K156,Логистика!$B$2:$B$38,"&gt;="&amp;K156)),SUMIFS(Логистика!$D$2:$D$38,Логистика!$A$2:$A$38,"&lt;="&amp;K156,Логистика!$B$2:$B$38,"&gt;="&amp;K156))</f>
        <v>0</v>
      </c>
      <c r="Y156" s="83">
        <f>IF(AND(E156*0.055&gt;20,E156*0.055&lt;250),ROUNDUP(E156*0.055,2),IF(E156*0.055&lt;=20,20,250))</f>
        <v>20</v>
      </c>
      <c r="Z156" s="83">
        <f>ROUND(M156*0.05,2)</f>
        <v>0</v>
      </c>
      <c r="AA156" s="83">
        <f>IF(N156=0,0,IF(ROUND(E156*N156,2)&gt;5,ROUND(E156*N156,2),5))</f>
        <v>0</v>
      </c>
      <c r="AB156" s="83">
        <f>IF(O156="Да",ROUND(E156*0.1111,2),0)</f>
        <v>0</v>
      </c>
      <c r="AC156" s="53">
        <f>V156+W156+T156+X156+Y156+Z156+AA156+AB156</f>
        <v>45</v>
      </c>
      <c r="AD156" s="8">
        <v>0</v>
      </c>
      <c r="AE156" s="36">
        <f>ROUND(E156*AD156,2)</f>
        <v>0</v>
      </c>
      <c r="AF156" s="6">
        <v>15</v>
      </c>
      <c r="AG156" s="6">
        <v>15</v>
      </c>
      <c r="AH156" s="5"/>
      <c r="AI156" s="57">
        <f>E156-AC156-AE156-AH156</f>
        <v>-45</v>
      </c>
      <c r="AJ156" s="17">
        <f>E156-AC156</f>
        <v>-45</v>
      </c>
      <c r="AK156" s="20" t="e">
        <f>ROUND(AI156/E156,2)</f>
        <v>#DIV/0!</v>
      </c>
      <c r="AL156" s="21" t="e">
        <f t="shared" si="22"/>
        <v>#DIV/0!</v>
      </c>
    </row>
    <row r="157" spans="1:38" x14ac:dyDescent="0.25">
      <c r="A157" s="27"/>
      <c r="B157" s="45"/>
      <c r="C157" s="31"/>
      <c r="D157" s="38">
        <v>0</v>
      </c>
      <c r="E157" s="50">
        <f t="shared" si="23"/>
        <v>0</v>
      </c>
      <c r="F157" s="24"/>
      <c r="G157" s="7">
        <v>0</v>
      </c>
      <c r="H157" s="7">
        <v>0</v>
      </c>
      <c r="I157" s="7">
        <v>0</v>
      </c>
      <c r="J157" s="78">
        <f t="shared" si="24"/>
        <v>0</v>
      </c>
      <c r="K157" s="2">
        <f t="shared" si="25"/>
        <v>0</v>
      </c>
      <c r="L157" s="8">
        <v>0</v>
      </c>
      <c r="M157" s="1">
        <f t="shared" si="21"/>
        <v>0</v>
      </c>
      <c r="N157" s="41">
        <v>0</v>
      </c>
      <c r="O157" s="84" t="s">
        <v>275</v>
      </c>
      <c r="P157" s="24" t="s">
        <v>562</v>
      </c>
      <c r="Q157" s="7" t="s">
        <v>557</v>
      </c>
      <c r="R157" s="7"/>
      <c r="S157" s="81">
        <v>0.09</v>
      </c>
      <c r="T157" s="7">
        <v>25</v>
      </c>
      <c r="U157" s="82"/>
      <c r="V157" s="83">
        <f>ROUNDUP(E157*S157,2)</f>
        <v>0</v>
      </c>
      <c r="W157" s="83">
        <f>ROUNDUP(E157*0.015,2)</f>
        <v>0</v>
      </c>
      <c r="X157" s="82">
        <f>MAX(MIN(SUMIFS(Логистика!$C$2:$C$38,Логистика!$A$2:$A$38,"&lt;="&amp;K157,Логистика!$B$2:$B$38,"&gt;="&amp;K157)*E157,SUMIFS(Логистика!$E$2:$E$38,Логистика!$A$2:$A$38,"&lt;="&amp;K157,Логистика!$B$2:$B$38,"&gt;="&amp;K157)),SUMIFS(Логистика!$D$2:$D$38,Логистика!$A$2:$A$38,"&lt;="&amp;K157,Логистика!$B$2:$B$38,"&gt;="&amp;K157))</f>
        <v>0</v>
      </c>
      <c r="Y157" s="83">
        <f>IF(AND(E157*0.055&gt;20,E157*0.055&lt;250),ROUNDUP(E157*0.055,2),IF(E157*0.055&lt;=20,20,250))</f>
        <v>20</v>
      </c>
      <c r="Z157" s="83">
        <f>ROUND(M157*0.05,2)</f>
        <v>0</v>
      </c>
      <c r="AA157" s="83">
        <f>IF(N157=0,0,IF(ROUND(E157*N157,2)&gt;5,ROUND(E157*N157,2),5))</f>
        <v>0</v>
      </c>
      <c r="AB157" s="83">
        <f>IF(O157="Да",ROUND(E157*0.1111,2),0)</f>
        <v>0</v>
      </c>
      <c r="AC157" s="53">
        <f>V157+W157+T157+X157+Y157+Z157+AA157+AB157</f>
        <v>45</v>
      </c>
      <c r="AD157" s="8">
        <v>0</v>
      </c>
      <c r="AE157" s="36">
        <f>ROUND(E157*AD157,2)</f>
        <v>0</v>
      </c>
      <c r="AF157" s="6">
        <v>15</v>
      </c>
      <c r="AG157" s="6">
        <v>15</v>
      </c>
      <c r="AH157" s="5"/>
      <c r="AI157" s="57">
        <f>E157-AC157-AE157-AH157</f>
        <v>-45</v>
      </c>
      <c r="AJ157" s="17">
        <f>E157-AC157</f>
        <v>-45</v>
      </c>
      <c r="AK157" s="20" t="e">
        <f>ROUND(AI157/E157,2)</f>
        <v>#DIV/0!</v>
      </c>
      <c r="AL157" s="21" t="e">
        <f t="shared" si="22"/>
        <v>#DIV/0!</v>
      </c>
    </row>
    <row r="158" spans="1:38" x14ac:dyDescent="0.25">
      <c r="A158" s="27"/>
      <c r="B158" s="45"/>
      <c r="C158" s="31"/>
      <c r="D158" s="38">
        <v>0</v>
      </c>
      <c r="E158" s="50">
        <f t="shared" si="23"/>
        <v>0</v>
      </c>
      <c r="F158" s="24"/>
      <c r="G158" s="7">
        <v>0</v>
      </c>
      <c r="H158" s="7">
        <v>0</v>
      </c>
      <c r="I158" s="7">
        <v>0</v>
      </c>
      <c r="J158" s="78">
        <f t="shared" si="24"/>
        <v>0</v>
      </c>
      <c r="K158" s="2">
        <f t="shared" si="25"/>
        <v>0</v>
      </c>
      <c r="L158" s="8">
        <v>0</v>
      </c>
      <c r="M158" s="1">
        <f t="shared" si="21"/>
        <v>0</v>
      </c>
      <c r="N158" s="41">
        <v>0</v>
      </c>
      <c r="O158" s="84" t="s">
        <v>275</v>
      </c>
      <c r="P158" s="24" t="s">
        <v>562</v>
      </c>
      <c r="Q158" s="7" t="s">
        <v>557</v>
      </c>
      <c r="R158" s="7"/>
      <c r="S158" s="81">
        <v>0.09</v>
      </c>
      <c r="T158" s="7">
        <v>25</v>
      </c>
      <c r="U158" s="82"/>
      <c r="V158" s="83">
        <f>ROUNDUP(E158*S158,2)</f>
        <v>0</v>
      </c>
      <c r="W158" s="83">
        <f>ROUNDUP(E158*0.015,2)</f>
        <v>0</v>
      </c>
      <c r="X158" s="82">
        <f>MAX(MIN(SUMIFS(Логистика!$C$2:$C$38,Логистика!$A$2:$A$38,"&lt;="&amp;K158,Логистика!$B$2:$B$38,"&gt;="&amp;K158)*E158,SUMIFS(Логистика!$E$2:$E$38,Логистика!$A$2:$A$38,"&lt;="&amp;K158,Логистика!$B$2:$B$38,"&gt;="&amp;K158)),SUMIFS(Логистика!$D$2:$D$38,Логистика!$A$2:$A$38,"&lt;="&amp;K158,Логистика!$B$2:$B$38,"&gt;="&amp;K158))</f>
        <v>0</v>
      </c>
      <c r="Y158" s="83">
        <f>IF(AND(E158*0.055&gt;20,E158*0.055&lt;250),ROUNDUP(E158*0.055,2),IF(E158*0.055&lt;=20,20,250))</f>
        <v>20</v>
      </c>
      <c r="Z158" s="83">
        <f>ROUND(M158*0.05,2)</f>
        <v>0</v>
      </c>
      <c r="AA158" s="83">
        <f>IF(N158=0,0,IF(ROUND(E158*N158,2)&gt;5,ROUND(E158*N158,2),5))</f>
        <v>0</v>
      </c>
      <c r="AB158" s="83">
        <f>IF(O158="Да",ROUND(E158*0.1111,2),0)</f>
        <v>0</v>
      </c>
      <c r="AC158" s="53">
        <f>V158+W158+T158+X158+Y158+Z158+AA158+AB158</f>
        <v>45</v>
      </c>
      <c r="AD158" s="8">
        <v>0</v>
      </c>
      <c r="AE158" s="36">
        <f>ROUND(E158*AD158,2)</f>
        <v>0</v>
      </c>
      <c r="AF158" s="6">
        <v>15</v>
      </c>
      <c r="AG158" s="6">
        <v>15</v>
      </c>
      <c r="AH158" s="5"/>
      <c r="AI158" s="57">
        <f>E158-AC158-AE158-AH158</f>
        <v>-45</v>
      </c>
      <c r="AJ158" s="17">
        <f>E158-AC158</f>
        <v>-45</v>
      </c>
      <c r="AK158" s="20" t="e">
        <f>ROUND(AI158/E158,2)</f>
        <v>#DIV/0!</v>
      </c>
      <c r="AL158" s="21" t="e">
        <f t="shared" si="22"/>
        <v>#DIV/0!</v>
      </c>
    </row>
    <row r="159" spans="1:38" x14ac:dyDescent="0.25">
      <c r="A159" s="27"/>
      <c r="B159" s="45"/>
      <c r="C159" s="31"/>
      <c r="D159" s="38">
        <v>0</v>
      </c>
      <c r="E159" s="50">
        <f t="shared" si="23"/>
        <v>0</v>
      </c>
      <c r="F159" s="24"/>
      <c r="G159" s="7">
        <v>0</v>
      </c>
      <c r="H159" s="7">
        <v>0</v>
      </c>
      <c r="I159" s="7">
        <v>0</v>
      </c>
      <c r="J159" s="78">
        <f t="shared" si="24"/>
        <v>0</v>
      </c>
      <c r="K159" s="2">
        <f t="shared" si="25"/>
        <v>0</v>
      </c>
      <c r="L159" s="8">
        <v>0</v>
      </c>
      <c r="M159" s="1">
        <f t="shared" si="21"/>
        <v>0</v>
      </c>
      <c r="N159" s="41">
        <v>0</v>
      </c>
      <c r="O159" s="84" t="s">
        <v>275</v>
      </c>
      <c r="P159" s="24" t="s">
        <v>562</v>
      </c>
      <c r="Q159" s="7" t="s">
        <v>557</v>
      </c>
      <c r="R159" s="7"/>
      <c r="S159" s="81">
        <v>0.09</v>
      </c>
      <c r="T159" s="7">
        <v>25</v>
      </c>
      <c r="U159" s="82"/>
      <c r="V159" s="83">
        <f>ROUNDUP(E159*S159,2)</f>
        <v>0</v>
      </c>
      <c r="W159" s="83">
        <f>ROUNDUP(E159*0.015,2)</f>
        <v>0</v>
      </c>
      <c r="X159" s="82">
        <f>MAX(MIN(SUMIFS(Логистика!$C$2:$C$38,Логистика!$A$2:$A$38,"&lt;="&amp;K159,Логистика!$B$2:$B$38,"&gt;="&amp;K159)*E159,SUMIFS(Логистика!$E$2:$E$38,Логистика!$A$2:$A$38,"&lt;="&amp;K159,Логистика!$B$2:$B$38,"&gt;="&amp;K159)),SUMIFS(Логистика!$D$2:$D$38,Логистика!$A$2:$A$38,"&lt;="&amp;K159,Логистика!$B$2:$B$38,"&gt;="&amp;K159))</f>
        <v>0</v>
      </c>
      <c r="Y159" s="83">
        <f>IF(AND(E159*0.055&gt;20,E159*0.055&lt;250),ROUNDUP(E159*0.055,2),IF(E159*0.055&lt;=20,20,250))</f>
        <v>20</v>
      </c>
      <c r="Z159" s="83">
        <f>ROUND(M159*0.05,2)</f>
        <v>0</v>
      </c>
      <c r="AA159" s="83">
        <f>IF(N159=0,0,IF(ROUND(E159*N159,2)&gt;5,ROUND(E159*N159,2),5))</f>
        <v>0</v>
      </c>
      <c r="AB159" s="83">
        <f>IF(O159="Да",ROUND(E159*0.1111,2),0)</f>
        <v>0</v>
      </c>
      <c r="AC159" s="53">
        <f>V159+W159+T159+X159+Y159+Z159+AA159+AB159</f>
        <v>45</v>
      </c>
      <c r="AD159" s="8">
        <v>0</v>
      </c>
      <c r="AE159" s="36">
        <f>ROUND(E159*AD159,2)</f>
        <v>0</v>
      </c>
      <c r="AF159" s="6">
        <v>15</v>
      </c>
      <c r="AG159" s="6">
        <v>15</v>
      </c>
      <c r="AH159" s="5"/>
      <c r="AI159" s="57">
        <f>E159-AC159-AE159-AH159</f>
        <v>-45</v>
      </c>
      <c r="AJ159" s="17">
        <f>E159-AC159</f>
        <v>-45</v>
      </c>
      <c r="AK159" s="20" t="e">
        <f>ROUND(AI159/E159,2)</f>
        <v>#DIV/0!</v>
      </c>
      <c r="AL159" s="21" t="e">
        <f t="shared" si="22"/>
        <v>#DIV/0!</v>
      </c>
    </row>
    <row r="160" spans="1:38" x14ac:dyDescent="0.25">
      <c r="A160" s="27"/>
      <c r="B160" s="45"/>
      <c r="C160" s="31"/>
      <c r="D160" s="38">
        <v>0</v>
      </c>
      <c r="E160" s="50">
        <f t="shared" si="23"/>
        <v>0</v>
      </c>
      <c r="F160" s="24"/>
      <c r="G160" s="7">
        <v>0</v>
      </c>
      <c r="H160" s="7">
        <v>0</v>
      </c>
      <c r="I160" s="7">
        <v>0</v>
      </c>
      <c r="J160" s="78">
        <f t="shared" si="24"/>
        <v>0</v>
      </c>
      <c r="K160" s="2">
        <f t="shared" si="25"/>
        <v>0</v>
      </c>
      <c r="L160" s="8">
        <v>0</v>
      </c>
      <c r="M160" s="1">
        <f t="shared" si="21"/>
        <v>0</v>
      </c>
      <c r="N160" s="41">
        <v>0</v>
      </c>
      <c r="O160" s="84" t="s">
        <v>275</v>
      </c>
      <c r="P160" s="24" t="s">
        <v>562</v>
      </c>
      <c r="Q160" s="7" t="s">
        <v>557</v>
      </c>
      <c r="R160" s="7"/>
      <c r="S160" s="81">
        <v>0.09</v>
      </c>
      <c r="T160" s="7">
        <v>25</v>
      </c>
      <c r="U160" s="82"/>
      <c r="V160" s="83">
        <f>ROUNDUP(E160*S160,2)</f>
        <v>0</v>
      </c>
      <c r="W160" s="83">
        <f>ROUNDUP(E160*0.015,2)</f>
        <v>0</v>
      </c>
      <c r="X160" s="82">
        <f>MAX(MIN(SUMIFS(Логистика!$C$2:$C$38,Логистика!$A$2:$A$38,"&lt;="&amp;K160,Логистика!$B$2:$B$38,"&gt;="&amp;K160)*E160,SUMIFS(Логистика!$E$2:$E$38,Логистика!$A$2:$A$38,"&lt;="&amp;K160,Логистика!$B$2:$B$38,"&gt;="&amp;K160)),SUMIFS(Логистика!$D$2:$D$38,Логистика!$A$2:$A$38,"&lt;="&amp;K160,Логистика!$B$2:$B$38,"&gt;="&amp;K160))</f>
        <v>0</v>
      </c>
      <c r="Y160" s="83">
        <f>IF(AND(E160*0.055&gt;20,E160*0.055&lt;250),ROUNDUP(E160*0.055,2),IF(E160*0.055&lt;=20,20,250))</f>
        <v>20</v>
      </c>
      <c r="Z160" s="83">
        <f>ROUND(M160*0.05,2)</f>
        <v>0</v>
      </c>
      <c r="AA160" s="83">
        <f>IF(N160=0,0,IF(ROUND(E160*N160,2)&gt;5,ROUND(E160*N160,2),5))</f>
        <v>0</v>
      </c>
      <c r="AB160" s="83">
        <f>IF(O160="Да",ROUND(E160*0.1111,2),0)</f>
        <v>0</v>
      </c>
      <c r="AC160" s="53">
        <f>V160+W160+T160+X160+Y160+Z160+AA160+AB160</f>
        <v>45</v>
      </c>
      <c r="AD160" s="8">
        <v>0</v>
      </c>
      <c r="AE160" s="36">
        <f>ROUND(E160*AD160,2)</f>
        <v>0</v>
      </c>
      <c r="AF160" s="6">
        <v>15</v>
      </c>
      <c r="AG160" s="6">
        <v>15</v>
      </c>
      <c r="AH160" s="5"/>
      <c r="AI160" s="57">
        <f>E160-AC160-AE160-AH160</f>
        <v>-45</v>
      </c>
      <c r="AJ160" s="17">
        <f>E160-AC160</f>
        <v>-45</v>
      </c>
      <c r="AK160" s="20" t="e">
        <f>ROUND(AI160/E160,2)</f>
        <v>#DIV/0!</v>
      </c>
      <c r="AL160" s="21" t="e">
        <f t="shared" si="22"/>
        <v>#DIV/0!</v>
      </c>
    </row>
    <row r="161" spans="1:38" x14ac:dyDescent="0.25">
      <c r="A161" s="27"/>
      <c r="B161" s="45"/>
      <c r="C161" s="31"/>
      <c r="D161" s="38">
        <v>0</v>
      </c>
      <c r="E161" s="50">
        <f t="shared" si="23"/>
        <v>0</v>
      </c>
      <c r="F161" s="24"/>
      <c r="G161" s="7">
        <v>0</v>
      </c>
      <c r="H161" s="7">
        <v>0</v>
      </c>
      <c r="I161" s="7">
        <v>0</v>
      </c>
      <c r="J161" s="78">
        <f t="shared" si="24"/>
        <v>0</v>
      </c>
      <c r="K161" s="2">
        <f t="shared" si="25"/>
        <v>0</v>
      </c>
      <c r="L161" s="8">
        <v>0</v>
      </c>
      <c r="M161" s="1">
        <f t="shared" si="21"/>
        <v>0</v>
      </c>
      <c r="N161" s="41">
        <v>0</v>
      </c>
      <c r="O161" s="84" t="s">
        <v>275</v>
      </c>
      <c r="P161" s="24" t="s">
        <v>562</v>
      </c>
      <c r="Q161" s="7" t="s">
        <v>557</v>
      </c>
      <c r="R161" s="7"/>
      <c r="S161" s="81">
        <v>0.09</v>
      </c>
      <c r="T161" s="7">
        <v>25</v>
      </c>
      <c r="U161" s="82"/>
      <c r="V161" s="83">
        <f>ROUNDUP(E161*S161,2)</f>
        <v>0</v>
      </c>
      <c r="W161" s="83">
        <f>ROUNDUP(E161*0.015,2)</f>
        <v>0</v>
      </c>
      <c r="X161" s="82">
        <f>MAX(MIN(SUMIFS(Логистика!$C$2:$C$38,Логистика!$A$2:$A$38,"&lt;="&amp;K161,Логистика!$B$2:$B$38,"&gt;="&amp;K161)*E161,SUMIFS(Логистика!$E$2:$E$38,Логистика!$A$2:$A$38,"&lt;="&amp;K161,Логистика!$B$2:$B$38,"&gt;="&amp;K161)),SUMIFS(Логистика!$D$2:$D$38,Логистика!$A$2:$A$38,"&lt;="&amp;K161,Логистика!$B$2:$B$38,"&gt;="&amp;K161))</f>
        <v>0</v>
      </c>
      <c r="Y161" s="83">
        <f>IF(AND(E161*0.055&gt;20,E161*0.055&lt;250),ROUNDUP(E161*0.055,2),IF(E161*0.055&lt;=20,20,250))</f>
        <v>20</v>
      </c>
      <c r="Z161" s="83">
        <f>ROUND(M161*0.05,2)</f>
        <v>0</v>
      </c>
      <c r="AA161" s="83">
        <f>IF(N161=0,0,IF(ROUND(E161*N161,2)&gt;5,ROUND(E161*N161,2),5))</f>
        <v>0</v>
      </c>
      <c r="AB161" s="83">
        <f>IF(O161="Да",ROUND(E161*0.1111,2),0)</f>
        <v>0</v>
      </c>
      <c r="AC161" s="53">
        <f>V161+W161+T161+X161+Y161+Z161+AA161+AB161</f>
        <v>45</v>
      </c>
      <c r="AD161" s="8">
        <v>0</v>
      </c>
      <c r="AE161" s="36">
        <f>ROUND(E161*AD161,2)</f>
        <v>0</v>
      </c>
      <c r="AF161" s="6">
        <v>15</v>
      </c>
      <c r="AG161" s="6">
        <v>15</v>
      </c>
      <c r="AH161" s="5"/>
      <c r="AI161" s="57">
        <f>E161-AC161-AE161-AH161</f>
        <v>-45</v>
      </c>
      <c r="AJ161" s="17">
        <f>E161-AC161</f>
        <v>-45</v>
      </c>
      <c r="AK161" s="20" t="e">
        <f>ROUND(AI161/E161,2)</f>
        <v>#DIV/0!</v>
      </c>
      <c r="AL161" s="21" t="e">
        <f t="shared" si="22"/>
        <v>#DIV/0!</v>
      </c>
    </row>
    <row r="162" spans="1:38" x14ac:dyDescent="0.25">
      <c r="A162" s="27"/>
      <c r="B162" s="45"/>
      <c r="C162" s="31"/>
      <c r="D162" s="38">
        <v>0</v>
      </c>
      <c r="E162" s="50">
        <f t="shared" si="15"/>
        <v>0</v>
      </c>
      <c r="F162" s="24"/>
      <c r="G162" s="7">
        <v>0</v>
      </c>
      <c r="H162" s="7">
        <v>0</v>
      </c>
      <c r="I162" s="7">
        <v>0</v>
      </c>
      <c r="J162" s="78">
        <f t="shared" si="24"/>
        <v>0</v>
      </c>
      <c r="K162" s="2">
        <f t="shared" si="25"/>
        <v>0</v>
      </c>
      <c r="L162" s="8">
        <v>0</v>
      </c>
      <c r="M162" s="1">
        <f t="shared" si="21"/>
        <v>0</v>
      </c>
      <c r="N162" s="41">
        <v>0</v>
      </c>
      <c r="O162" s="84" t="s">
        <v>275</v>
      </c>
      <c r="P162" s="24" t="s">
        <v>562</v>
      </c>
      <c r="Q162" s="7" t="s">
        <v>557</v>
      </c>
      <c r="R162" s="7"/>
      <c r="S162" s="81">
        <v>0.09</v>
      </c>
      <c r="T162" s="7">
        <v>25</v>
      </c>
      <c r="U162" s="82"/>
      <c r="V162" s="83">
        <f>ROUNDUP(E162*S162,2)</f>
        <v>0</v>
      </c>
      <c r="W162" s="83">
        <f>ROUNDUP(E162*0.015,2)</f>
        <v>0</v>
      </c>
      <c r="X162" s="82">
        <f>MAX(MIN(SUMIFS(Логистика!$C$2:$C$38,Логистика!$A$2:$A$38,"&lt;="&amp;K162,Логистика!$B$2:$B$38,"&gt;="&amp;K162)*E162,SUMIFS(Логистика!$E$2:$E$38,Логистика!$A$2:$A$38,"&lt;="&amp;K162,Логистика!$B$2:$B$38,"&gt;="&amp;K162)),SUMIFS(Логистика!$D$2:$D$38,Логистика!$A$2:$A$38,"&lt;="&amp;K162,Логистика!$B$2:$B$38,"&gt;="&amp;K162))</f>
        <v>0</v>
      </c>
      <c r="Y162" s="83">
        <f>IF(AND(E162*0.055&gt;20,E162*0.055&lt;250),ROUNDUP(E162*0.055,2),IF(E162*0.055&lt;=20,20,250))</f>
        <v>20</v>
      </c>
      <c r="Z162" s="83">
        <f>ROUND(M162*0.05,2)</f>
        <v>0</v>
      </c>
      <c r="AA162" s="83">
        <f>IF(N162=0,0,IF(ROUND(E162*N162,2)&gt;5,ROUND(E162*N162,2),5))</f>
        <v>0</v>
      </c>
      <c r="AB162" s="83">
        <f>IF(O162="Да",ROUND(E162*0.1111,2),0)</f>
        <v>0</v>
      </c>
      <c r="AC162" s="53">
        <f>V162+W162+T162+X162+Y162+Z162+AA162+AB162</f>
        <v>45</v>
      </c>
      <c r="AD162" s="8">
        <v>0</v>
      </c>
      <c r="AE162" s="36">
        <f>ROUND(E162*AD162,2)</f>
        <v>0</v>
      </c>
      <c r="AF162" s="6">
        <v>15</v>
      </c>
      <c r="AG162" s="6">
        <v>15</v>
      </c>
      <c r="AH162" s="5"/>
      <c r="AI162" s="57">
        <f>E162-AC162-AE162-AH162</f>
        <v>-45</v>
      </c>
      <c r="AJ162" s="17">
        <f>E162-AC162</f>
        <v>-45</v>
      </c>
      <c r="AK162" s="20" t="e">
        <f>ROUND(AI162/E162,2)</f>
        <v>#DIV/0!</v>
      </c>
      <c r="AL162" s="21" t="e">
        <f t="shared" si="22"/>
        <v>#DIV/0!</v>
      </c>
    </row>
    <row r="163" spans="1:38" x14ac:dyDescent="0.25">
      <c r="A163" s="27"/>
      <c r="B163" s="45"/>
      <c r="C163" s="31"/>
      <c r="D163" s="38">
        <v>0</v>
      </c>
      <c r="E163" s="50">
        <f t="shared" si="15"/>
        <v>0</v>
      </c>
      <c r="F163" s="24"/>
      <c r="G163" s="7">
        <v>0</v>
      </c>
      <c r="H163" s="7">
        <v>0</v>
      </c>
      <c r="I163" s="7">
        <v>0</v>
      </c>
      <c r="J163" s="78">
        <f t="shared" si="24"/>
        <v>0</v>
      </c>
      <c r="K163" s="2">
        <f t="shared" si="25"/>
        <v>0</v>
      </c>
      <c r="L163" s="8">
        <v>0</v>
      </c>
      <c r="M163" s="1">
        <f t="shared" si="13"/>
        <v>0</v>
      </c>
      <c r="N163" s="41">
        <v>0</v>
      </c>
      <c r="O163" s="84" t="s">
        <v>275</v>
      </c>
      <c r="P163" s="24" t="s">
        <v>562</v>
      </c>
      <c r="Q163" s="7" t="s">
        <v>557</v>
      </c>
      <c r="R163" s="7"/>
      <c r="S163" s="81">
        <v>0.09</v>
      </c>
      <c r="T163" s="7">
        <v>25</v>
      </c>
      <c r="U163" s="82"/>
      <c r="V163" s="83">
        <f>ROUNDUP(E163*S163,2)</f>
        <v>0</v>
      </c>
      <c r="W163" s="83">
        <f>ROUNDUP(E163*0.015,2)</f>
        <v>0</v>
      </c>
      <c r="X163" s="82">
        <f>MAX(MIN(SUMIFS(Логистика!$C$2:$C$38,Логистика!$A$2:$A$38,"&lt;="&amp;K163,Логистика!$B$2:$B$38,"&gt;="&amp;K163)*E163,SUMIFS(Логистика!$E$2:$E$38,Логистика!$A$2:$A$38,"&lt;="&amp;K163,Логистика!$B$2:$B$38,"&gt;="&amp;K163)),SUMIFS(Логистика!$D$2:$D$38,Логистика!$A$2:$A$38,"&lt;="&amp;K163,Логистика!$B$2:$B$38,"&gt;="&amp;K163))</f>
        <v>0</v>
      </c>
      <c r="Y163" s="83">
        <f>IF(AND(E163*0.055&gt;20,E163*0.055&lt;250),ROUNDUP(E163*0.055,2),IF(E163*0.055&lt;=20,20,250))</f>
        <v>20</v>
      </c>
      <c r="Z163" s="83">
        <f>ROUND(M163*0.05,2)</f>
        <v>0</v>
      </c>
      <c r="AA163" s="83">
        <f>IF(N163=0,0,IF(ROUND(E163*N163,2)&gt;5,ROUND(E163*N163,2),5))</f>
        <v>0</v>
      </c>
      <c r="AB163" s="83">
        <f>IF(O163="Да",ROUND(E163*0.1111,2),0)</f>
        <v>0</v>
      </c>
      <c r="AC163" s="53">
        <f>V163+W163+T163+X163+Y163+Z163+AA163+AB163</f>
        <v>45</v>
      </c>
      <c r="AD163" s="8">
        <v>0</v>
      </c>
      <c r="AE163" s="36">
        <f>ROUND(E163*AD163,2)</f>
        <v>0</v>
      </c>
      <c r="AF163" s="6">
        <v>15</v>
      </c>
      <c r="AG163" s="6">
        <v>15</v>
      </c>
      <c r="AH163" s="5"/>
      <c r="AI163" s="57">
        <f>E163-AC163-AE163-AH163</f>
        <v>-45</v>
      </c>
      <c r="AJ163" s="17">
        <f>E163-AC163</f>
        <v>-45</v>
      </c>
      <c r="AK163" s="20" t="e">
        <f>ROUND(AI163/E163,2)</f>
        <v>#DIV/0!</v>
      </c>
      <c r="AL163" s="21" t="e">
        <f t="shared" si="14"/>
        <v>#DIV/0!</v>
      </c>
    </row>
    <row r="164" spans="1:38" x14ac:dyDescent="0.25">
      <c r="A164" s="27" t="s">
        <v>481</v>
      </c>
      <c r="B164" s="45" t="s">
        <v>492</v>
      </c>
      <c r="C164" s="31">
        <v>160</v>
      </c>
      <c r="D164" s="38">
        <v>0</v>
      </c>
      <c r="E164" s="50">
        <f t="shared" si="15"/>
        <v>160</v>
      </c>
      <c r="F164" s="24">
        <v>0.05</v>
      </c>
      <c r="G164" s="7">
        <v>10</v>
      </c>
      <c r="H164" s="7">
        <v>10</v>
      </c>
      <c r="I164" s="7">
        <v>7.0000000000000009</v>
      </c>
      <c r="J164" s="78">
        <f t="shared" si="24"/>
        <v>0.70000000000000007</v>
      </c>
      <c r="K164" s="2">
        <f t="shared" si="25"/>
        <v>0.1</v>
      </c>
      <c r="L164" s="8">
        <v>0</v>
      </c>
      <c r="M164" s="1">
        <f t="shared" si="13"/>
        <v>0</v>
      </c>
      <c r="N164" s="41">
        <v>0</v>
      </c>
      <c r="O164" s="84" t="s">
        <v>275</v>
      </c>
      <c r="P164" s="24" t="s">
        <v>562</v>
      </c>
      <c r="Q164" s="7" t="s">
        <v>557</v>
      </c>
      <c r="R164" s="7"/>
      <c r="S164" s="81">
        <v>0.09</v>
      </c>
      <c r="T164" s="7">
        <v>25</v>
      </c>
      <c r="U164" s="82"/>
      <c r="V164" s="83">
        <f>ROUNDUP(E164*S164,2)</f>
        <v>14.4</v>
      </c>
      <c r="W164" s="83">
        <f>ROUNDUP(E164*0.015,2)</f>
        <v>2.4</v>
      </c>
      <c r="X164" s="82">
        <f>MAX(MIN(SUMIFS(Логистика!$C$2:$C$38,Логистика!$A$2:$A$38,"&lt;="&amp;K164,Логистика!$B$2:$B$38,"&gt;="&amp;K164)*E164,SUMIFS(Логистика!$E$2:$E$38,Логистика!$A$2:$A$38,"&lt;="&amp;K164,Логистика!$B$2:$B$38,"&gt;="&amp;K164)),SUMIFS(Логистика!$D$2:$D$38,Логистика!$A$2:$A$38,"&lt;="&amp;K164,Логистика!$B$2:$B$38,"&gt;="&amp;K164))</f>
        <v>40</v>
      </c>
      <c r="Y164" s="83">
        <f>IF(AND(E164*0.055&gt;20,E164*0.055&lt;250),ROUNDUP(E164*0.055,2),IF(E164*0.055&lt;=20,20,250))</f>
        <v>20</v>
      </c>
      <c r="Z164" s="83">
        <f>ROUND(M164*0.05,2)</f>
        <v>0</v>
      </c>
      <c r="AA164" s="83">
        <f>IF(N164=0,0,IF(ROUND(E164*N164,2)&gt;5,ROUND(E164*N164,2),5))</f>
        <v>0</v>
      </c>
      <c r="AB164" s="83">
        <f>IF(O164="Да",ROUND(E164*0.1111,2),0)</f>
        <v>0</v>
      </c>
      <c r="AC164" s="53">
        <f>V164+W164+T164+X164+Y164+Z164+AA164+AB164</f>
        <v>101.8</v>
      </c>
      <c r="AD164" s="8">
        <v>0</v>
      </c>
      <c r="AE164" s="36">
        <f>ROUND(E164*AD164,2)</f>
        <v>0</v>
      </c>
      <c r="AF164" s="6">
        <v>15</v>
      </c>
      <c r="AG164" s="6">
        <v>15</v>
      </c>
      <c r="AH164" s="5">
        <v>22.95</v>
      </c>
      <c r="AI164" s="57">
        <f>E164-AC164-AE164-AH164</f>
        <v>35.25</v>
      </c>
      <c r="AJ164" s="17">
        <f>E164-AC164</f>
        <v>58.2</v>
      </c>
      <c r="AK164" s="20">
        <f>ROUND(AI164/E164,2)</f>
        <v>0.22</v>
      </c>
      <c r="AL164" s="21">
        <f t="shared" si="14"/>
        <v>1.54</v>
      </c>
    </row>
    <row r="165" spans="1:38" x14ac:dyDescent="0.25">
      <c r="A165" s="27" t="s">
        <v>482</v>
      </c>
      <c r="B165" s="45" t="s">
        <v>493</v>
      </c>
      <c r="C165" s="31">
        <v>200</v>
      </c>
      <c r="D165" s="38">
        <v>0</v>
      </c>
      <c r="E165" s="50">
        <f t="shared" si="15"/>
        <v>200</v>
      </c>
      <c r="F165" s="24">
        <v>0.1</v>
      </c>
      <c r="G165" s="7">
        <v>10</v>
      </c>
      <c r="H165" s="7">
        <v>10</v>
      </c>
      <c r="I165" s="7">
        <v>12</v>
      </c>
      <c r="J165" s="78">
        <f t="shared" si="24"/>
        <v>1.2</v>
      </c>
      <c r="K165" s="2">
        <f t="shared" si="25"/>
        <v>0.2</v>
      </c>
      <c r="L165" s="8">
        <v>0</v>
      </c>
      <c r="M165" s="1">
        <f t="shared" si="13"/>
        <v>0</v>
      </c>
      <c r="N165" s="41">
        <v>0</v>
      </c>
      <c r="O165" s="84" t="s">
        <v>275</v>
      </c>
      <c r="P165" s="24" t="s">
        <v>562</v>
      </c>
      <c r="Q165" s="7" t="s">
        <v>557</v>
      </c>
      <c r="R165" s="7"/>
      <c r="S165" s="81">
        <v>0.09</v>
      </c>
      <c r="T165" s="7">
        <v>25</v>
      </c>
      <c r="U165" s="82"/>
      <c r="V165" s="83">
        <f>ROUNDUP(E165*S165,2)</f>
        <v>18</v>
      </c>
      <c r="W165" s="83">
        <f>ROUNDUP(E165*0.015,2)</f>
        <v>3</v>
      </c>
      <c r="X165" s="82">
        <f>MAX(MIN(SUMIFS(Логистика!$C$2:$C$38,Логистика!$A$2:$A$38,"&lt;="&amp;K165,Логистика!$B$2:$B$38,"&gt;="&amp;K165)*E165,SUMIFS(Логистика!$E$2:$E$38,Логистика!$A$2:$A$38,"&lt;="&amp;K165,Логистика!$B$2:$B$38,"&gt;="&amp;K165)),SUMIFS(Логистика!$D$2:$D$38,Логистика!$A$2:$A$38,"&lt;="&amp;K165,Логистика!$B$2:$B$38,"&gt;="&amp;K165))</f>
        <v>41</v>
      </c>
      <c r="Y165" s="83">
        <f>IF(AND(E165*0.055&gt;20,E165*0.055&lt;250),ROUNDUP(E165*0.055,2),IF(E165*0.055&lt;=20,20,250))</f>
        <v>20</v>
      </c>
      <c r="Z165" s="83">
        <f>ROUND(M165*0.05,2)</f>
        <v>0</v>
      </c>
      <c r="AA165" s="83">
        <f>IF(N165=0,0,IF(ROUND(E165*N165,2)&gt;5,ROUND(E165*N165,2),5))</f>
        <v>0</v>
      </c>
      <c r="AB165" s="83">
        <f>IF(O165="Да",ROUND(E165*0.1111,2),0)</f>
        <v>0</v>
      </c>
      <c r="AC165" s="53">
        <f>V165+W165+T165+X165+Y165+Z165+AA165+AB165</f>
        <v>107</v>
      </c>
      <c r="AD165" s="8">
        <v>0</v>
      </c>
      <c r="AE165" s="36">
        <f>ROUND(E165*AD165,2)</f>
        <v>0</v>
      </c>
      <c r="AF165" s="6">
        <v>15</v>
      </c>
      <c r="AG165" s="6">
        <v>15</v>
      </c>
      <c r="AH165" s="59">
        <f>AH164*2</f>
        <v>45.9</v>
      </c>
      <c r="AI165" s="57">
        <f>E165-AC165-AE165-AH165</f>
        <v>47.1</v>
      </c>
      <c r="AJ165" s="17">
        <f>E165-AC165</f>
        <v>93</v>
      </c>
      <c r="AK165" s="20">
        <f>ROUND(AI165/E165,2)</f>
        <v>0.24</v>
      </c>
      <c r="AL165" s="21">
        <f t="shared" si="14"/>
        <v>1.03</v>
      </c>
    </row>
    <row r="166" spans="1:38" x14ac:dyDescent="0.25">
      <c r="A166" s="27" t="s">
        <v>483</v>
      </c>
      <c r="B166" s="45" t="s">
        <v>494</v>
      </c>
      <c r="C166" s="31">
        <v>240</v>
      </c>
      <c r="D166" s="38">
        <v>0</v>
      </c>
      <c r="E166" s="50">
        <f t="shared" si="5"/>
        <v>240</v>
      </c>
      <c r="F166" s="24">
        <v>0.15</v>
      </c>
      <c r="G166" s="7">
        <v>10</v>
      </c>
      <c r="H166" s="7">
        <v>10</v>
      </c>
      <c r="I166" s="7">
        <v>17</v>
      </c>
      <c r="J166" s="78">
        <f t="shared" si="24"/>
        <v>1.7</v>
      </c>
      <c r="K166" s="2">
        <f t="shared" si="25"/>
        <v>0.3</v>
      </c>
      <c r="L166" s="8">
        <v>0</v>
      </c>
      <c r="M166" s="1">
        <f t="shared" si="13"/>
        <v>0</v>
      </c>
      <c r="N166" s="41">
        <v>0</v>
      </c>
      <c r="O166" s="84" t="s">
        <v>275</v>
      </c>
      <c r="P166" s="24" t="s">
        <v>562</v>
      </c>
      <c r="Q166" s="7" t="s">
        <v>557</v>
      </c>
      <c r="R166" s="7"/>
      <c r="S166" s="81">
        <v>0.09</v>
      </c>
      <c r="T166" s="7">
        <v>25</v>
      </c>
      <c r="U166" s="82"/>
      <c r="V166" s="83">
        <f>ROUNDUP(E166*S166,2)</f>
        <v>21.6</v>
      </c>
      <c r="W166" s="83">
        <f>ROUNDUP(E166*0.015,2)</f>
        <v>3.6</v>
      </c>
      <c r="X166" s="82">
        <f>MAX(MIN(SUMIFS(Логистика!$C$2:$C$38,Логистика!$A$2:$A$38,"&lt;="&amp;K166,Логистика!$B$2:$B$38,"&gt;="&amp;K166)*E166,SUMIFS(Логистика!$E$2:$E$38,Логистика!$A$2:$A$38,"&lt;="&amp;K166,Логистика!$B$2:$B$38,"&gt;="&amp;K166)),SUMIFS(Логистика!$D$2:$D$38,Логистика!$A$2:$A$38,"&lt;="&amp;K166,Логистика!$B$2:$B$38,"&gt;="&amp;K166))</f>
        <v>42</v>
      </c>
      <c r="Y166" s="83">
        <f>IF(AND(E166*0.055&gt;20,E166*0.055&lt;250),ROUNDUP(E166*0.055,2),IF(E166*0.055&lt;=20,20,250))</f>
        <v>20</v>
      </c>
      <c r="Z166" s="83">
        <f>ROUND(M166*0.05,2)</f>
        <v>0</v>
      </c>
      <c r="AA166" s="83">
        <f>IF(N166=0,0,IF(ROUND(E166*N166,2)&gt;5,ROUND(E166*N166,2),5))</f>
        <v>0</v>
      </c>
      <c r="AB166" s="83">
        <f>IF(O166="Да",ROUND(E166*0.1111,2),0)</f>
        <v>0</v>
      </c>
      <c r="AC166" s="53">
        <f>V166+W166+T166+X166+Y166+Z166+AA166+AB166</f>
        <v>112.2</v>
      </c>
      <c r="AD166" s="8">
        <v>0</v>
      </c>
      <c r="AE166" s="36">
        <f>ROUND(E166*AD166,2)</f>
        <v>0</v>
      </c>
      <c r="AF166" s="6">
        <v>15</v>
      </c>
      <c r="AG166" s="6">
        <v>15</v>
      </c>
      <c r="AH166" s="59">
        <f>AH164*3</f>
        <v>68.849999999999994</v>
      </c>
      <c r="AI166" s="57">
        <f>E166-AC166-AE166-AH166</f>
        <v>58.95</v>
      </c>
      <c r="AJ166" s="17">
        <f>E166-AC166</f>
        <v>127.8</v>
      </c>
      <c r="AK166" s="20">
        <f>ROUND(AI166/E166,2)</f>
        <v>0.25</v>
      </c>
      <c r="AL166" s="21">
        <f t="shared" si="14"/>
        <v>0.86</v>
      </c>
    </row>
    <row r="167" spans="1:38" x14ac:dyDescent="0.25">
      <c r="A167" s="27" t="s">
        <v>484</v>
      </c>
      <c r="B167" s="45" t="s">
        <v>495</v>
      </c>
      <c r="C167" s="31">
        <v>280</v>
      </c>
      <c r="D167" s="38">
        <v>0</v>
      </c>
      <c r="E167" s="50">
        <f t="shared" si="5"/>
        <v>280</v>
      </c>
      <c r="F167" s="24">
        <v>0.2</v>
      </c>
      <c r="G167" s="7">
        <v>10</v>
      </c>
      <c r="H167" s="7">
        <v>10</v>
      </c>
      <c r="I167" s="7">
        <v>22</v>
      </c>
      <c r="J167" s="78">
        <f t="shared" si="24"/>
        <v>2.2000000000000002</v>
      </c>
      <c r="K167" s="2">
        <f t="shared" si="25"/>
        <v>0.4</v>
      </c>
      <c r="L167" s="8">
        <v>0</v>
      </c>
      <c r="M167" s="1">
        <f t="shared" ref="M167" si="26">IF(L167=0,0,IF(ROUND(E167*L167,0)&gt;20,ROUND(E167*L167,0),20))</f>
        <v>0</v>
      </c>
      <c r="N167" s="41">
        <v>0</v>
      </c>
      <c r="O167" s="84" t="s">
        <v>275</v>
      </c>
      <c r="P167" s="24" t="s">
        <v>562</v>
      </c>
      <c r="Q167" s="7" t="s">
        <v>557</v>
      </c>
      <c r="R167" s="7"/>
      <c r="S167" s="81">
        <v>0.09</v>
      </c>
      <c r="T167" s="7">
        <v>25</v>
      </c>
      <c r="U167" s="82"/>
      <c r="V167" s="83">
        <f>ROUNDUP(E167*S167,2)</f>
        <v>25.2</v>
      </c>
      <c r="W167" s="83">
        <f>ROUNDUP(E167*0.015,2)</f>
        <v>4.2</v>
      </c>
      <c r="X167" s="82">
        <f>MAX(MIN(SUMIFS(Логистика!$C$2:$C$38,Логистика!$A$2:$A$38,"&lt;="&amp;K167,Логистика!$B$2:$B$38,"&gt;="&amp;K167)*E167,SUMIFS(Логистика!$E$2:$E$38,Логистика!$A$2:$A$38,"&lt;="&amp;K167,Логистика!$B$2:$B$38,"&gt;="&amp;K167)),SUMIFS(Логистика!$D$2:$D$38,Логистика!$A$2:$A$38,"&lt;="&amp;K167,Логистика!$B$2:$B$38,"&gt;="&amp;K167))</f>
        <v>43</v>
      </c>
      <c r="Y167" s="83">
        <f>IF(AND(E167*0.055&gt;20,E167*0.055&lt;250),ROUNDUP(E167*0.055,2),IF(E167*0.055&lt;=20,20,250))</f>
        <v>20</v>
      </c>
      <c r="Z167" s="83">
        <f>ROUND(M167*0.05,2)</f>
        <v>0</v>
      </c>
      <c r="AA167" s="83">
        <f>IF(N167=0,0,IF(ROUND(E167*N167,2)&gt;5,ROUND(E167*N167,2),5))</f>
        <v>0</v>
      </c>
      <c r="AB167" s="83">
        <f>IF(O167="Да",ROUND(E167*0.1111,2),0)</f>
        <v>0</v>
      </c>
      <c r="AC167" s="53">
        <f>V167+W167+T167+X167+Y167+Z167+AA167+AB167</f>
        <v>117.4</v>
      </c>
      <c r="AD167" s="8">
        <v>0</v>
      </c>
      <c r="AE167" s="36">
        <f>ROUND(E167*AD167,2)</f>
        <v>0</v>
      </c>
      <c r="AF167" s="6">
        <v>15</v>
      </c>
      <c r="AG167" s="6">
        <v>15</v>
      </c>
      <c r="AH167" s="59">
        <f>AH164*4</f>
        <v>91.8</v>
      </c>
      <c r="AI167" s="57">
        <f>E167-AC167-AE167-AH167</f>
        <v>70.8</v>
      </c>
      <c r="AJ167" s="17">
        <f>E167-AC167</f>
        <v>162.6</v>
      </c>
      <c r="AK167" s="20">
        <f>ROUND(AI167/E167,2)</f>
        <v>0.25</v>
      </c>
      <c r="AL167" s="21">
        <f t="shared" ref="AL167" si="27">ROUND(AI167/AH167,2)</f>
        <v>0.77</v>
      </c>
    </row>
    <row r="168" spans="1:38" x14ac:dyDescent="0.25">
      <c r="A168" s="27" t="s">
        <v>485</v>
      </c>
      <c r="B168" s="45" t="s">
        <v>496</v>
      </c>
      <c r="C168" s="31">
        <v>320</v>
      </c>
      <c r="D168" s="38">
        <v>0</v>
      </c>
      <c r="E168" s="50">
        <f t="shared" si="5"/>
        <v>320</v>
      </c>
      <c r="F168" s="24">
        <v>0.25</v>
      </c>
      <c r="G168" s="7">
        <v>10</v>
      </c>
      <c r="H168" s="7">
        <v>10</v>
      </c>
      <c r="I168" s="7">
        <v>27</v>
      </c>
      <c r="J168" s="78">
        <f t="shared" si="24"/>
        <v>2.7</v>
      </c>
      <c r="K168" s="2">
        <f t="shared" si="25"/>
        <v>0.5</v>
      </c>
      <c r="L168" s="8">
        <v>0</v>
      </c>
      <c r="M168" s="1">
        <f t="shared" si="0"/>
        <v>0</v>
      </c>
      <c r="N168" s="41">
        <v>0</v>
      </c>
      <c r="O168" s="84" t="s">
        <v>275</v>
      </c>
      <c r="P168" s="24" t="s">
        <v>562</v>
      </c>
      <c r="Q168" s="7" t="s">
        <v>557</v>
      </c>
      <c r="R168" s="7"/>
      <c r="S168" s="81">
        <v>0.09</v>
      </c>
      <c r="T168" s="7">
        <v>25</v>
      </c>
      <c r="U168" s="82"/>
      <c r="V168" s="83">
        <f>ROUNDUP(E168*S168,2)</f>
        <v>28.8</v>
      </c>
      <c r="W168" s="83">
        <f>ROUNDUP(E168*0.015,2)</f>
        <v>4.8</v>
      </c>
      <c r="X168" s="82">
        <f>MAX(MIN(SUMIFS(Логистика!$C$2:$C$38,Логистика!$A$2:$A$38,"&lt;="&amp;K168,Логистика!$B$2:$B$38,"&gt;="&amp;K168)*E168,SUMIFS(Логистика!$E$2:$E$38,Логистика!$A$2:$A$38,"&lt;="&amp;K168,Логистика!$B$2:$B$38,"&gt;="&amp;K168)),SUMIFS(Логистика!$D$2:$D$38,Логистика!$A$2:$A$38,"&lt;="&amp;K168,Логистика!$B$2:$B$38,"&gt;="&amp;K168))</f>
        <v>43</v>
      </c>
      <c r="Y168" s="83">
        <f>IF(AND(E168*0.055&gt;20,E168*0.055&lt;250),ROUNDUP(E168*0.055,2),IF(E168*0.055&lt;=20,20,250))</f>
        <v>20</v>
      </c>
      <c r="Z168" s="83">
        <f>ROUND(M168*0.05,2)</f>
        <v>0</v>
      </c>
      <c r="AA168" s="83">
        <f>IF(N168=0,0,IF(ROUND(E168*N168,2)&gt;5,ROUND(E168*N168,2),5))</f>
        <v>0</v>
      </c>
      <c r="AB168" s="83">
        <f>IF(O168="Да",ROUND(E168*0.1111,2),0)</f>
        <v>0</v>
      </c>
      <c r="AC168" s="53">
        <f>V168+W168+T168+X168+Y168+Z168+AA168+AB168</f>
        <v>121.6</v>
      </c>
      <c r="AD168" s="8">
        <v>0</v>
      </c>
      <c r="AE168" s="36">
        <f>ROUND(E168*AD168,2)</f>
        <v>0</v>
      </c>
      <c r="AF168" s="6">
        <v>15</v>
      </c>
      <c r="AG168" s="6">
        <v>15</v>
      </c>
      <c r="AH168" s="59">
        <f>AH164*5</f>
        <v>114.75</v>
      </c>
      <c r="AI168" s="57">
        <f>E168-AC168-AE168-AH168</f>
        <v>83.65</v>
      </c>
      <c r="AJ168" s="17">
        <f>E168-AC168</f>
        <v>198.4</v>
      </c>
      <c r="AK168" s="20">
        <f>ROUND(AI168/E168,2)</f>
        <v>0.26</v>
      </c>
      <c r="AL168" s="21">
        <f t="shared" si="12"/>
        <v>0.73</v>
      </c>
    </row>
    <row r="169" spans="1:38" x14ac:dyDescent="0.25">
      <c r="A169" s="27" t="s">
        <v>486</v>
      </c>
      <c r="B169" s="45" t="s">
        <v>497</v>
      </c>
      <c r="C169" s="31">
        <v>360</v>
      </c>
      <c r="D169" s="38">
        <v>0</v>
      </c>
      <c r="E169" s="50">
        <f t="shared" si="5"/>
        <v>360</v>
      </c>
      <c r="F169" s="24">
        <v>0.3</v>
      </c>
      <c r="G169" s="7">
        <v>10</v>
      </c>
      <c r="H169" s="7">
        <v>17</v>
      </c>
      <c r="I169" s="7">
        <v>17</v>
      </c>
      <c r="J169" s="78">
        <f t="shared" si="24"/>
        <v>2.89</v>
      </c>
      <c r="K169" s="2">
        <f t="shared" si="25"/>
        <v>0.6</v>
      </c>
      <c r="L169" s="8">
        <v>0</v>
      </c>
      <c r="M169" s="1">
        <f t="shared" si="0"/>
        <v>0</v>
      </c>
      <c r="N169" s="41">
        <v>0</v>
      </c>
      <c r="O169" s="84" t="s">
        <v>275</v>
      </c>
      <c r="P169" s="24" t="s">
        <v>562</v>
      </c>
      <c r="Q169" s="7" t="s">
        <v>557</v>
      </c>
      <c r="R169" s="7"/>
      <c r="S169" s="81">
        <v>0.09</v>
      </c>
      <c r="T169" s="7">
        <v>25</v>
      </c>
      <c r="U169" s="82"/>
      <c r="V169" s="83">
        <f>ROUNDUP(E169*S169,2)</f>
        <v>32.4</v>
      </c>
      <c r="W169" s="83">
        <f>ROUNDUP(E169*0.015,2)</f>
        <v>5.4</v>
      </c>
      <c r="X169" s="82">
        <f>MAX(MIN(SUMIFS(Логистика!$C$2:$C$38,Логистика!$A$2:$A$38,"&lt;="&amp;K169,Логистика!$B$2:$B$38,"&gt;="&amp;K169)*E169,SUMIFS(Логистика!$E$2:$E$38,Логистика!$A$2:$A$38,"&lt;="&amp;K169,Логистика!$B$2:$B$38,"&gt;="&amp;K169)),SUMIFS(Логистика!$D$2:$D$38,Логистика!$A$2:$A$38,"&lt;="&amp;K169,Логистика!$B$2:$B$38,"&gt;="&amp;K169))</f>
        <v>45</v>
      </c>
      <c r="Y169" s="83">
        <f>IF(AND(E169*0.055&gt;20,E169*0.055&lt;250),ROUNDUP(E169*0.055,2),IF(E169*0.055&lt;=20,20,250))</f>
        <v>20</v>
      </c>
      <c r="Z169" s="83">
        <f>ROUND(M169*0.05,2)</f>
        <v>0</v>
      </c>
      <c r="AA169" s="83">
        <f>IF(N169=0,0,IF(ROUND(E169*N169,2)&gt;5,ROUND(E169*N169,2),5))</f>
        <v>0</v>
      </c>
      <c r="AB169" s="83">
        <f>IF(O169="Да",ROUND(E169*0.1111,2),0)</f>
        <v>0</v>
      </c>
      <c r="AC169" s="53">
        <f>V169+W169+T169+X169+Y169+Z169+AA169+AB169</f>
        <v>127.8</v>
      </c>
      <c r="AD169" s="8">
        <v>0</v>
      </c>
      <c r="AE169" s="36">
        <f>ROUND(E169*AD169,2)</f>
        <v>0</v>
      </c>
      <c r="AF169" s="6">
        <v>15</v>
      </c>
      <c r="AG169" s="6">
        <v>15</v>
      </c>
      <c r="AH169" s="59">
        <f>AH164*6</f>
        <v>137.69999999999999</v>
      </c>
      <c r="AI169" s="57">
        <f>E169-AC169-AE169-AH169</f>
        <v>94.5</v>
      </c>
      <c r="AJ169" s="17">
        <f>E169-AC169</f>
        <v>232.2</v>
      </c>
      <c r="AK169" s="20">
        <f>ROUND(AI169/E169,2)</f>
        <v>0.26</v>
      </c>
      <c r="AL169" s="21">
        <f t="shared" si="12"/>
        <v>0.69</v>
      </c>
    </row>
    <row r="170" spans="1:38" x14ac:dyDescent="0.25">
      <c r="A170" s="27" t="s">
        <v>487</v>
      </c>
      <c r="B170" s="45" t="s">
        <v>498</v>
      </c>
      <c r="C170" s="31">
        <v>440</v>
      </c>
      <c r="D170" s="38">
        <v>0</v>
      </c>
      <c r="E170" s="50">
        <f t="shared" si="5"/>
        <v>440</v>
      </c>
      <c r="F170" s="24">
        <v>0.4</v>
      </c>
      <c r="G170" s="7">
        <v>10</v>
      </c>
      <c r="H170" s="7">
        <v>17</v>
      </c>
      <c r="I170" s="7">
        <v>22</v>
      </c>
      <c r="J170" s="78">
        <f t="shared" si="24"/>
        <v>3.74</v>
      </c>
      <c r="K170" s="2">
        <f t="shared" si="25"/>
        <v>0.7</v>
      </c>
      <c r="L170" s="8">
        <v>0</v>
      </c>
      <c r="M170" s="1">
        <f t="shared" si="0"/>
        <v>0</v>
      </c>
      <c r="N170" s="41">
        <v>0</v>
      </c>
      <c r="O170" s="84" t="s">
        <v>275</v>
      </c>
      <c r="P170" s="24" t="s">
        <v>562</v>
      </c>
      <c r="Q170" s="7" t="s">
        <v>557</v>
      </c>
      <c r="R170" s="7"/>
      <c r="S170" s="81">
        <v>0.09</v>
      </c>
      <c r="T170" s="7">
        <v>25</v>
      </c>
      <c r="U170" s="82"/>
      <c r="V170" s="83">
        <f>ROUNDUP(E170*S170,2)</f>
        <v>39.6</v>
      </c>
      <c r="W170" s="83">
        <f>ROUNDUP(E170*0.015,2)</f>
        <v>6.6</v>
      </c>
      <c r="X170" s="82">
        <f>MAX(MIN(SUMIFS(Логистика!$C$2:$C$38,Логистика!$A$2:$A$38,"&lt;="&amp;K170,Логистика!$B$2:$B$38,"&gt;="&amp;K170)*E170,SUMIFS(Логистика!$E$2:$E$38,Логистика!$A$2:$A$38,"&lt;="&amp;K170,Логистика!$B$2:$B$38,"&gt;="&amp;K170)),SUMIFS(Логистика!$D$2:$D$38,Логистика!$A$2:$A$38,"&lt;="&amp;K170,Логистика!$B$2:$B$38,"&gt;="&amp;K170))</f>
        <v>45</v>
      </c>
      <c r="Y170" s="83">
        <f>IF(AND(E170*0.055&gt;20,E170*0.055&lt;250),ROUNDUP(E170*0.055,2),IF(E170*0.055&lt;=20,20,250))</f>
        <v>24.2</v>
      </c>
      <c r="Z170" s="83">
        <f>ROUND(M170*0.05,2)</f>
        <v>0</v>
      </c>
      <c r="AA170" s="83">
        <f>IF(N170=0,0,IF(ROUND(E170*N170,2)&gt;5,ROUND(E170*N170,2),5))</f>
        <v>0</v>
      </c>
      <c r="AB170" s="83">
        <f>IF(O170="Да",ROUND(E170*0.1111,2),0)</f>
        <v>0</v>
      </c>
      <c r="AC170" s="53">
        <f>V170+W170+T170+X170+Y170+Z170+AA170+AB170</f>
        <v>140.4</v>
      </c>
      <c r="AD170" s="8">
        <v>0</v>
      </c>
      <c r="AE170" s="36">
        <f>ROUND(E170*AD170,2)</f>
        <v>0</v>
      </c>
      <c r="AF170" s="6">
        <v>15</v>
      </c>
      <c r="AG170" s="6">
        <v>15</v>
      </c>
      <c r="AH170" s="59">
        <f>AH164*8</f>
        <v>183.6</v>
      </c>
      <c r="AI170" s="57">
        <f>E170-AC170-AE170-AH170</f>
        <v>116.00000000000003</v>
      </c>
      <c r="AJ170" s="17">
        <f>E170-AC170</f>
        <v>299.60000000000002</v>
      </c>
      <c r="AK170" s="20">
        <f>ROUND(AI170/E170,2)</f>
        <v>0.26</v>
      </c>
      <c r="AL170" s="21">
        <f t="shared" si="12"/>
        <v>0.63</v>
      </c>
    </row>
    <row r="171" spans="1:38" x14ac:dyDescent="0.25">
      <c r="A171" s="27" t="s">
        <v>488</v>
      </c>
      <c r="B171" s="45" t="s">
        <v>499</v>
      </c>
      <c r="C171" s="31">
        <v>520</v>
      </c>
      <c r="D171" s="38">
        <v>0</v>
      </c>
      <c r="E171" s="50">
        <f t="shared" si="5"/>
        <v>520</v>
      </c>
      <c r="F171" s="24">
        <v>0.5</v>
      </c>
      <c r="G171" s="7">
        <v>10</v>
      </c>
      <c r="H171" s="7">
        <v>17</v>
      </c>
      <c r="I171" s="7">
        <v>27</v>
      </c>
      <c r="J171" s="78">
        <f t="shared" si="24"/>
        <v>4.59</v>
      </c>
      <c r="K171" s="2">
        <f t="shared" si="25"/>
        <v>0.9</v>
      </c>
      <c r="L171" s="8">
        <v>0</v>
      </c>
      <c r="M171" s="1">
        <f t="shared" si="0"/>
        <v>0</v>
      </c>
      <c r="N171" s="41">
        <v>0</v>
      </c>
      <c r="O171" s="84" t="s">
        <v>275</v>
      </c>
      <c r="P171" s="24" t="s">
        <v>562</v>
      </c>
      <c r="Q171" s="7" t="s">
        <v>557</v>
      </c>
      <c r="R171" s="7"/>
      <c r="S171" s="81">
        <v>0.09</v>
      </c>
      <c r="T171" s="7">
        <v>25</v>
      </c>
      <c r="U171" s="82"/>
      <c r="V171" s="83">
        <f>ROUNDUP(E171*S171,2)</f>
        <v>46.8</v>
      </c>
      <c r="W171" s="83">
        <f>ROUNDUP(E171*0.015,2)</f>
        <v>7.8</v>
      </c>
      <c r="X171" s="82">
        <f>MAX(MIN(SUMIFS(Логистика!$C$2:$C$38,Логистика!$A$2:$A$38,"&lt;="&amp;K171,Логистика!$B$2:$B$38,"&gt;="&amp;K171)*E171,SUMIFS(Логистика!$E$2:$E$38,Логистика!$A$2:$A$38,"&lt;="&amp;K171,Логистика!$B$2:$B$38,"&gt;="&amp;K171)),SUMIFS(Логистика!$D$2:$D$38,Логистика!$A$2:$A$38,"&lt;="&amp;K171,Логистика!$B$2:$B$38,"&gt;="&amp;K171))</f>
        <v>49</v>
      </c>
      <c r="Y171" s="83">
        <f>IF(AND(E171*0.055&gt;20,E171*0.055&lt;250),ROUNDUP(E171*0.055,2),IF(E171*0.055&lt;=20,20,250))</f>
        <v>28.6</v>
      </c>
      <c r="Z171" s="83">
        <f>ROUND(M171*0.05,2)</f>
        <v>0</v>
      </c>
      <c r="AA171" s="83">
        <f>IF(N171=0,0,IF(ROUND(E171*N171,2)&gt;5,ROUND(E171*N171,2),5))</f>
        <v>0</v>
      </c>
      <c r="AB171" s="83">
        <f>IF(O171="Да",ROUND(E171*0.1111,2),0)</f>
        <v>0</v>
      </c>
      <c r="AC171" s="53">
        <f>V171+W171+T171+X171+Y171+Z171+AA171+AB171</f>
        <v>157.19999999999999</v>
      </c>
      <c r="AD171" s="8">
        <v>0</v>
      </c>
      <c r="AE171" s="36">
        <f>ROUND(E171*AD171,2)</f>
        <v>0</v>
      </c>
      <c r="AF171" s="6">
        <v>15</v>
      </c>
      <c r="AG171" s="6">
        <v>15</v>
      </c>
      <c r="AH171" s="59">
        <f>AH164*10</f>
        <v>229.5</v>
      </c>
      <c r="AI171" s="57">
        <f>E171-AC171-AE171-AH171</f>
        <v>133.30000000000001</v>
      </c>
      <c r="AJ171" s="17">
        <f>E171-AC171</f>
        <v>362.8</v>
      </c>
      <c r="AK171" s="20">
        <f>ROUND(AI171/E171,2)</f>
        <v>0.26</v>
      </c>
      <c r="AL171" s="21">
        <f t="shared" si="12"/>
        <v>0.57999999999999996</v>
      </c>
    </row>
    <row r="172" spans="1:38" x14ac:dyDescent="0.25">
      <c r="A172" s="27" t="s">
        <v>489</v>
      </c>
      <c r="B172" s="45" t="s">
        <v>500</v>
      </c>
      <c r="C172" s="31">
        <v>770</v>
      </c>
      <c r="D172" s="38">
        <v>0</v>
      </c>
      <c r="E172" s="50">
        <f t="shared" si="5"/>
        <v>770</v>
      </c>
      <c r="F172" s="24">
        <v>0.8</v>
      </c>
      <c r="G172" s="7">
        <v>17</v>
      </c>
      <c r="H172" s="7">
        <v>17</v>
      </c>
      <c r="I172" s="7">
        <v>22</v>
      </c>
      <c r="J172" s="78">
        <f t="shared" si="24"/>
        <v>6.3579999999999997</v>
      </c>
      <c r="K172" s="2">
        <f t="shared" si="25"/>
        <v>1.3</v>
      </c>
      <c r="L172" s="8">
        <v>0</v>
      </c>
      <c r="M172" s="1">
        <f t="shared" si="0"/>
        <v>0</v>
      </c>
      <c r="N172" s="41">
        <v>0</v>
      </c>
      <c r="O172" s="84" t="s">
        <v>275</v>
      </c>
      <c r="P172" s="24" t="s">
        <v>562</v>
      </c>
      <c r="Q172" s="7" t="s">
        <v>557</v>
      </c>
      <c r="R172" s="7"/>
      <c r="S172" s="81">
        <v>0.09</v>
      </c>
      <c r="T172" s="7">
        <v>25</v>
      </c>
      <c r="U172" s="82"/>
      <c r="V172" s="83">
        <f>ROUNDUP(E172*S172,2)</f>
        <v>69.3</v>
      </c>
      <c r="W172" s="83">
        <f>ROUNDUP(E172*0.015,2)</f>
        <v>11.55</v>
      </c>
      <c r="X172" s="82">
        <f>MAX(MIN(SUMIFS(Логистика!$C$2:$C$38,Логистика!$A$2:$A$38,"&lt;="&amp;K172,Логистика!$B$2:$B$38,"&gt;="&amp;K172)*E172,SUMIFS(Логистика!$E$2:$E$38,Логистика!$A$2:$A$38,"&lt;="&amp;K172,Логистика!$B$2:$B$38,"&gt;="&amp;K172)),SUMIFS(Логистика!$D$2:$D$38,Логистика!$A$2:$A$38,"&lt;="&amp;K172,Логистика!$B$2:$B$38,"&gt;="&amp;K172))</f>
        <v>61</v>
      </c>
      <c r="Y172" s="83">
        <f>IF(AND(E172*0.055&gt;20,E172*0.055&lt;250),ROUNDUP(E172*0.055,2),IF(E172*0.055&lt;=20,20,250))</f>
        <v>42.35</v>
      </c>
      <c r="Z172" s="83">
        <f>ROUND(M172*0.05,2)</f>
        <v>0</v>
      </c>
      <c r="AA172" s="83">
        <f>IF(N172=0,0,IF(ROUND(E172*N172,2)&gt;5,ROUND(E172*N172,2),5))</f>
        <v>0</v>
      </c>
      <c r="AB172" s="83">
        <f>IF(O172="Да",ROUND(E172*0.1111,2),0)</f>
        <v>0</v>
      </c>
      <c r="AC172" s="53">
        <f>V172+W172+T172+X172+Y172+Z172+AA172+AB172</f>
        <v>209.2</v>
      </c>
      <c r="AD172" s="8">
        <v>0</v>
      </c>
      <c r="AE172" s="36">
        <f>ROUND(E172*AD172,2)</f>
        <v>0</v>
      </c>
      <c r="AF172" s="6">
        <v>15</v>
      </c>
      <c r="AG172" s="6">
        <v>15</v>
      </c>
      <c r="AH172" s="59">
        <f>AH164*16</f>
        <v>367.2</v>
      </c>
      <c r="AI172" s="57">
        <f>E172-AC172-AE172-AH172</f>
        <v>193.59999999999997</v>
      </c>
      <c r="AJ172" s="17">
        <f>E172-AC172</f>
        <v>560.79999999999995</v>
      </c>
      <c r="AK172" s="20">
        <f>ROUND(AI172/E172,2)</f>
        <v>0.25</v>
      </c>
      <c r="AL172" s="21">
        <f t="shared" si="12"/>
        <v>0.53</v>
      </c>
    </row>
    <row r="173" spans="1:38" x14ac:dyDescent="0.25">
      <c r="A173" s="27" t="s">
        <v>490</v>
      </c>
      <c r="B173" s="45" t="s">
        <v>501</v>
      </c>
      <c r="C173" s="31">
        <v>940</v>
      </c>
      <c r="D173" s="38">
        <v>0</v>
      </c>
      <c r="E173" s="50">
        <f t="shared" si="5"/>
        <v>940</v>
      </c>
      <c r="F173" s="24">
        <v>1</v>
      </c>
      <c r="G173" s="7">
        <v>17</v>
      </c>
      <c r="H173" s="7">
        <v>17</v>
      </c>
      <c r="I173" s="7">
        <v>27</v>
      </c>
      <c r="J173" s="78">
        <f t="shared" si="24"/>
        <v>7.8029999999999999</v>
      </c>
      <c r="K173" s="2">
        <f t="shared" si="25"/>
        <v>1.6</v>
      </c>
      <c r="L173" s="8">
        <v>0</v>
      </c>
      <c r="M173" s="1">
        <f t="shared" si="0"/>
        <v>0</v>
      </c>
      <c r="N173" s="41">
        <v>0</v>
      </c>
      <c r="O173" s="84" t="s">
        <v>275</v>
      </c>
      <c r="P173" s="24" t="s">
        <v>562</v>
      </c>
      <c r="Q173" s="7" t="s">
        <v>557</v>
      </c>
      <c r="R173" s="7"/>
      <c r="S173" s="81">
        <v>0.09</v>
      </c>
      <c r="T173" s="7">
        <v>25</v>
      </c>
      <c r="U173" s="82"/>
      <c r="V173" s="83">
        <f>ROUNDUP(E173*S173,2)</f>
        <v>84.6</v>
      </c>
      <c r="W173" s="83">
        <f>ROUNDUP(E173*0.015,2)</f>
        <v>14.1</v>
      </c>
      <c r="X173" s="82">
        <f>MAX(MIN(SUMIFS(Логистика!$C$2:$C$38,Логистика!$A$2:$A$38,"&lt;="&amp;K173,Логистика!$B$2:$B$38,"&gt;="&amp;K173)*E173,SUMIFS(Логистика!$E$2:$E$38,Логистика!$A$2:$A$38,"&lt;="&amp;K173,Логистика!$B$2:$B$38,"&gt;="&amp;K173)),SUMIFS(Логистика!$D$2:$D$38,Логистика!$A$2:$A$38,"&lt;="&amp;K173,Логистика!$B$2:$B$38,"&gt;="&amp;K173))</f>
        <v>67</v>
      </c>
      <c r="Y173" s="83">
        <f>IF(AND(E173*0.055&gt;20,E173*0.055&lt;250),ROUNDUP(E173*0.055,2),IF(E173*0.055&lt;=20,20,250))</f>
        <v>51.7</v>
      </c>
      <c r="Z173" s="83">
        <f>ROUND(M173*0.05,2)</f>
        <v>0</v>
      </c>
      <c r="AA173" s="83">
        <f>IF(N173=0,0,IF(ROUND(E173*N173,2)&gt;5,ROUND(E173*N173,2),5))</f>
        <v>0</v>
      </c>
      <c r="AB173" s="83">
        <f>IF(O173="Да",ROUND(E173*0.1111,2),0)</f>
        <v>0</v>
      </c>
      <c r="AC173" s="53">
        <f>V173+W173+T173+X173+Y173+Z173+AA173+AB173</f>
        <v>242.39999999999998</v>
      </c>
      <c r="AD173" s="8">
        <v>0</v>
      </c>
      <c r="AE173" s="36">
        <f>ROUND(E173*AD173,2)</f>
        <v>0</v>
      </c>
      <c r="AF173" s="6">
        <v>15</v>
      </c>
      <c r="AG173" s="6">
        <v>15</v>
      </c>
      <c r="AH173" s="59">
        <f>AH164*20</f>
        <v>459</v>
      </c>
      <c r="AI173" s="57">
        <f>E173-AC173-AE173-AH173</f>
        <v>238.60000000000002</v>
      </c>
      <c r="AJ173" s="17">
        <f>E173-AC173</f>
        <v>697.6</v>
      </c>
      <c r="AK173" s="20">
        <f>ROUND(AI173/E173,2)</f>
        <v>0.25</v>
      </c>
      <c r="AL173" s="21">
        <f t="shared" si="12"/>
        <v>0.52</v>
      </c>
    </row>
    <row r="174" spans="1:38" x14ac:dyDescent="0.25">
      <c r="A174" s="27" t="s">
        <v>491</v>
      </c>
      <c r="B174" s="45" t="s">
        <v>502</v>
      </c>
      <c r="C174" s="31">
        <v>1350</v>
      </c>
      <c r="D174" s="38">
        <v>0</v>
      </c>
      <c r="E174" s="50">
        <f t="shared" si="5"/>
        <v>1350</v>
      </c>
      <c r="F174" s="24">
        <v>1.5</v>
      </c>
      <c r="G174" s="7">
        <v>22</v>
      </c>
      <c r="H174" s="7">
        <v>17</v>
      </c>
      <c r="I174" s="7">
        <v>27</v>
      </c>
      <c r="J174" s="78">
        <f t="shared" si="24"/>
        <v>10.098000000000001</v>
      </c>
      <c r="K174" s="2">
        <f t="shared" si="25"/>
        <v>2</v>
      </c>
      <c r="L174" s="8">
        <v>0</v>
      </c>
      <c r="M174" s="1">
        <f t="shared" si="0"/>
        <v>0</v>
      </c>
      <c r="N174" s="41">
        <v>0</v>
      </c>
      <c r="O174" s="84" t="s">
        <v>275</v>
      </c>
      <c r="P174" s="24" t="s">
        <v>562</v>
      </c>
      <c r="Q174" s="7" t="s">
        <v>557</v>
      </c>
      <c r="R174" s="7"/>
      <c r="S174" s="81">
        <v>0.09</v>
      </c>
      <c r="T174" s="7">
        <v>25</v>
      </c>
      <c r="U174" s="82"/>
      <c r="V174" s="83">
        <f>ROUNDUP(E174*S174,2)</f>
        <v>121.5</v>
      </c>
      <c r="W174" s="83">
        <f>ROUNDUP(E174*0.015,2)</f>
        <v>20.25</v>
      </c>
      <c r="X174" s="82">
        <f>MAX(MIN(SUMIFS(Логистика!$C$2:$C$38,Логистика!$A$2:$A$38,"&lt;="&amp;K174,Логистика!$B$2:$B$38,"&gt;="&amp;K174)*E174,SUMIFS(Логистика!$E$2:$E$38,Логистика!$A$2:$A$38,"&lt;="&amp;K174,Логистика!$B$2:$B$38,"&gt;="&amp;K174)),SUMIFS(Логистика!$D$2:$D$38,Логистика!$A$2:$A$38,"&lt;="&amp;K174,Логистика!$B$2:$B$38,"&gt;="&amp;K174))</f>
        <v>81</v>
      </c>
      <c r="Y174" s="83">
        <f>IF(AND(E174*0.055&gt;20,E174*0.055&lt;250),ROUNDUP(E174*0.055,2),IF(E174*0.055&lt;=20,20,250))</f>
        <v>74.25</v>
      </c>
      <c r="Z174" s="83">
        <f>ROUND(M174*0.05,2)</f>
        <v>0</v>
      </c>
      <c r="AA174" s="83">
        <f>IF(N174=0,0,IF(ROUND(E174*N174,2)&gt;5,ROUND(E174*N174,2),5))</f>
        <v>0</v>
      </c>
      <c r="AB174" s="83">
        <f>IF(O174="Да",ROUND(E174*0.1111,2),0)</f>
        <v>0</v>
      </c>
      <c r="AC174" s="53">
        <f>V174+W174+T174+X174+Y174+Z174+AA174+AB174</f>
        <v>322</v>
      </c>
      <c r="AD174" s="8">
        <v>0</v>
      </c>
      <c r="AE174" s="36">
        <f>ROUND(E174*AD174,2)</f>
        <v>0</v>
      </c>
      <c r="AF174" s="6">
        <v>15</v>
      </c>
      <c r="AG174" s="6">
        <v>15</v>
      </c>
      <c r="AH174" s="59">
        <f>AH164*30</f>
        <v>688.5</v>
      </c>
      <c r="AI174" s="57">
        <f>E174-AC174-AE174-AH174</f>
        <v>339.5</v>
      </c>
      <c r="AJ174" s="17">
        <f>E174-AC174</f>
        <v>1028</v>
      </c>
      <c r="AK174" s="20">
        <f>ROUND(AI174/E174,2)</f>
        <v>0.25</v>
      </c>
      <c r="AL174" s="21">
        <f t="shared" si="12"/>
        <v>0.49</v>
      </c>
    </row>
    <row r="175" spans="1:38" x14ac:dyDescent="0.25">
      <c r="A175" s="27"/>
      <c r="B175" s="45"/>
      <c r="C175" s="31"/>
      <c r="D175" s="38">
        <v>0</v>
      </c>
      <c r="E175" s="50">
        <f t="shared" si="5"/>
        <v>0</v>
      </c>
      <c r="F175" s="24"/>
      <c r="G175" s="7">
        <v>0</v>
      </c>
      <c r="H175" s="7">
        <v>0</v>
      </c>
      <c r="I175" s="7">
        <v>0</v>
      </c>
      <c r="J175" s="78">
        <f t="shared" si="24"/>
        <v>0</v>
      </c>
      <c r="K175" s="2">
        <f t="shared" si="25"/>
        <v>0</v>
      </c>
      <c r="L175" s="8">
        <v>0</v>
      </c>
      <c r="M175" s="1">
        <f t="shared" si="0"/>
        <v>0</v>
      </c>
      <c r="N175" s="41">
        <v>0</v>
      </c>
      <c r="O175" s="84" t="s">
        <v>275</v>
      </c>
      <c r="P175" s="24" t="s">
        <v>562</v>
      </c>
      <c r="Q175" s="7" t="s">
        <v>557</v>
      </c>
      <c r="R175" s="7"/>
      <c r="S175" s="81">
        <v>0.09</v>
      </c>
      <c r="T175" s="7">
        <v>25</v>
      </c>
      <c r="U175" s="82"/>
      <c r="V175" s="83">
        <f>ROUNDUP(E175*S175,2)</f>
        <v>0</v>
      </c>
      <c r="W175" s="83">
        <f>ROUNDUP(E175*0.015,2)</f>
        <v>0</v>
      </c>
      <c r="X175" s="82">
        <f>MAX(MIN(SUMIFS(Логистика!$C$2:$C$38,Логистика!$A$2:$A$38,"&lt;="&amp;K175,Логистика!$B$2:$B$38,"&gt;="&amp;K175)*E175,SUMIFS(Логистика!$E$2:$E$38,Логистика!$A$2:$A$38,"&lt;="&amp;K175,Логистика!$B$2:$B$38,"&gt;="&amp;K175)),SUMIFS(Логистика!$D$2:$D$38,Логистика!$A$2:$A$38,"&lt;="&amp;K175,Логистика!$B$2:$B$38,"&gt;="&amp;K175))</f>
        <v>0</v>
      </c>
      <c r="Y175" s="83">
        <f>IF(AND(E175*0.055&gt;20,E175*0.055&lt;250),ROUNDUP(E175*0.055,2),IF(E175*0.055&lt;=20,20,250))</f>
        <v>20</v>
      </c>
      <c r="Z175" s="83">
        <f>ROUND(M175*0.05,2)</f>
        <v>0</v>
      </c>
      <c r="AA175" s="83">
        <f>IF(N175=0,0,IF(ROUND(E175*N175,2)&gt;5,ROUND(E175*N175,2),5))</f>
        <v>0</v>
      </c>
      <c r="AB175" s="83">
        <f>IF(O175="Да",ROUND(E175*0.1111,2),0)</f>
        <v>0</v>
      </c>
      <c r="AC175" s="53">
        <f>V175+W175+T175+X175+Y175+Z175+AA175+AB175</f>
        <v>45</v>
      </c>
      <c r="AD175" s="8">
        <v>0</v>
      </c>
      <c r="AE175" s="36">
        <f>ROUND(E175*AD175,2)</f>
        <v>0</v>
      </c>
      <c r="AF175" s="6">
        <v>15</v>
      </c>
      <c r="AG175" s="6">
        <v>15</v>
      </c>
      <c r="AH175" s="5"/>
      <c r="AI175" s="57">
        <f>E175-AC175-AE175-AH175</f>
        <v>-45</v>
      </c>
      <c r="AJ175" s="17">
        <f>E175-AC175</f>
        <v>-45</v>
      </c>
      <c r="AK175" s="20" t="e">
        <f>ROUND(AI175/E175,2)</f>
        <v>#DIV/0!</v>
      </c>
      <c r="AL175" s="21" t="e">
        <f t="shared" si="12"/>
        <v>#DIV/0!</v>
      </c>
    </row>
    <row r="176" spans="1:38" x14ac:dyDescent="0.25">
      <c r="A176" s="27" t="s">
        <v>503</v>
      </c>
      <c r="B176" s="45" t="s">
        <v>504</v>
      </c>
      <c r="C176" s="31"/>
      <c r="D176" s="38">
        <v>0</v>
      </c>
      <c r="E176" s="50">
        <f t="shared" si="5"/>
        <v>0</v>
      </c>
      <c r="F176" s="24">
        <v>0.05</v>
      </c>
      <c r="G176" s="7">
        <v>16</v>
      </c>
      <c r="H176" s="7">
        <v>16</v>
      </c>
      <c r="I176" s="7">
        <v>9</v>
      </c>
      <c r="J176" s="78">
        <f t="shared" si="24"/>
        <v>2.3039999999999998</v>
      </c>
      <c r="K176" s="2">
        <f t="shared" si="25"/>
        <v>0.5</v>
      </c>
      <c r="L176" s="8">
        <v>0</v>
      </c>
      <c r="M176" s="1">
        <f t="shared" si="0"/>
        <v>0</v>
      </c>
      <c r="N176" s="41">
        <v>0</v>
      </c>
      <c r="O176" s="84" t="s">
        <v>275</v>
      </c>
      <c r="P176" s="24" t="s">
        <v>562</v>
      </c>
      <c r="Q176" s="7" t="s">
        <v>557</v>
      </c>
      <c r="R176" s="7"/>
      <c r="S176" s="81">
        <v>0.09</v>
      </c>
      <c r="T176" s="7">
        <v>25</v>
      </c>
      <c r="U176" s="82"/>
      <c r="V176" s="83">
        <f>ROUNDUP(E176*S176,2)</f>
        <v>0</v>
      </c>
      <c r="W176" s="83">
        <f>ROUNDUP(E176*0.015,2)</f>
        <v>0</v>
      </c>
      <c r="X176" s="82">
        <f>MAX(MIN(SUMIFS(Логистика!$C$2:$C$38,Логистика!$A$2:$A$38,"&lt;="&amp;K176,Логистика!$B$2:$B$38,"&gt;="&amp;K176)*E176,SUMIFS(Логистика!$E$2:$E$38,Логистика!$A$2:$A$38,"&lt;="&amp;K176,Логистика!$B$2:$B$38,"&gt;="&amp;K176)),SUMIFS(Логистика!$D$2:$D$38,Логистика!$A$2:$A$38,"&lt;="&amp;K176,Логистика!$B$2:$B$38,"&gt;="&amp;K176))</f>
        <v>43</v>
      </c>
      <c r="Y176" s="83">
        <f>IF(AND(E176*0.055&gt;20,E176*0.055&lt;250),ROUNDUP(E176*0.055,2),IF(E176*0.055&lt;=20,20,250))</f>
        <v>20</v>
      </c>
      <c r="Z176" s="83">
        <f>ROUND(M176*0.05,2)</f>
        <v>0</v>
      </c>
      <c r="AA176" s="83">
        <f>IF(N176=0,0,IF(ROUND(E176*N176,2)&gt;5,ROUND(E176*N176,2),5))</f>
        <v>0</v>
      </c>
      <c r="AB176" s="83">
        <f>IF(O176="Да",ROUND(E176*0.1111,2),0)</f>
        <v>0</v>
      </c>
      <c r="AC176" s="53">
        <f>V176+W176+T176+X176+Y176+Z176+AA176+AB176</f>
        <v>88</v>
      </c>
      <c r="AD176" s="8">
        <v>0</v>
      </c>
      <c r="AE176" s="36">
        <f>ROUND(E176*AD176,2)</f>
        <v>0</v>
      </c>
      <c r="AF176" s="6">
        <v>15</v>
      </c>
      <c r="AG176" s="6">
        <v>15</v>
      </c>
      <c r="AH176" s="5">
        <v>122.49</v>
      </c>
      <c r="AI176" s="57">
        <f>E176-AC176-AE176-AH176</f>
        <v>-210.49</v>
      </c>
      <c r="AJ176" s="17">
        <f>E176-AC176</f>
        <v>-88</v>
      </c>
      <c r="AK176" s="20" t="e">
        <f>ROUND(AI176/E176,2)</f>
        <v>#DIV/0!</v>
      </c>
      <c r="AL176" s="21">
        <f t="shared" si="12"/>
        <v>-1.72</v>
      </c>
    </row>
    <row r="177" spans="1:38" x14ac:dyDescent="0.25">
      <c r="A177" s="27" t="s">
        <v>505</v>
      </c>
      <c r="B177" s="45" t="s">
        <v>515</v>
      </c>
      <c r="C177" s="31"/>
      <c r="D177" s="38">
        <v>0</v>
      </c>
      <c r="E177" s="50">
        <f t="shared" si="5"/>
        <v>0</v>
      </c>
      <c r="F177" s="24">
        <v>0.1</v>
      </c>
      <c r="G177" s="7">
        <v>30</v>
      </c>
      <c r="H177" s="7">
        <v>16</v>
      </c>
      <c r="I177" s="7">
        <v>9</v>
      </c>
      <c r="J177" s="78">
        <f t="shared" si="24"/>
        <v>4.32</v>
      </c>
      <c r="K177" s="2">
        <f t="shared" si="25"/>
        <v>0.9</v>
      </c>
      <c r="L177" s="8">
        <v>0</v>
      </c>
      <c r="M177" s="1">
        <f t="shared" si="0"/>
        <v>0</v>
      </c>
      <c r="N177" s="41">
        <v>0</v>
      </c>
      <c r="O177" s="84" t="s">
        <v>275</v>
      </c>
      <c r="P177" s="24" t="s">
        <v>562</v>
      </c>
      <c r="Q177" s="7" t="s">
        <v>557</v>
      </c>
      <c r="R177" s="7"/>
      <c r="S177" s="81">
        <v>0.09</v>
      </c>
      <c r="T177" s="7">
        <v>25</v>
      </c>
      <c r="U177" s="82"/>
      <c r="V177" s="83">
        <f>ROUNDUP(E177*S177,2)</f>
        <v>0</v>
      </c>
      <c r="W177" s="83">
        <f>ROUNDUP(E177*0.015,2)</f>
        <v>0</v>
      </c>
      <c r="X177" s="82">
        <f>MAX(MIN(SUMIFS(Логистика!$C$2:$C$38,Логистика!$A$2:$A$38,"&lt;="&amp;K177,Логистика!$B$2:$B$38,"&gt;="&amp;K177)*E177,SUMIFS(Логистика!$E$2:$E$38,Логистика!$A$2:$A$38,"&lt;="&amp;K177,Логистика!$B$2:$B$38,"&gt;="&amp;K177)),SUMIFS(Логистика!$D$2:$D$38,Логистика!$A$2:$A$38,"&lt;="&amp;K177,Логистика!$B$2:$B$38,"&gt;="&amp;K177))</f>
        <v>49</v>
      </c>
      <c r="Y177" s="83">
        <f>IF(AND(E177*0.055&gt;20,E177*0.055&lt;250),ROUNDUP(E177*0.055,2),IF(E177*0.055&lt;=20,20,250))</f>
        <v>20</v>
      </c>
      <c r="Z177" s="83">
        <f>ROUND(M177*0.05,2)</f>
        <v>0</v>
      </c>
      <c r="AA177" s="83">
        <f>IF(N177=0,0,IF(ROUND(E177*N177,2)&gt;5,ROUND(E177*N177,2),5))</f>
        <v>0</v>
      </c>
      <c r="AB177" s="83">
        <f>IF(O177="Да",ROUND(E177*0.1111,2),0)</f>
        <v>0</v>
      </c>
      <c r="AC177" s="53">
        <f>V177+W177+T177+X177+Y177+Z177+AA177+AB177</f>
        <v>94</v>
      </c>
      <c r="AD177" s="8">
        <v>0</v>
      </c>
      <c r="AE177" s="36">
        <f>ROUND(E177*AD177,2)</f>
        <v>0</v>
      </c>
      <c r="AF177" s="6">
        <v>15</v>
      </c>
      <c r="AG177" s="6">
        <v>15</v>
      </c>
      <c r="AH177" s="59">
        <f>AH176*2</f>
        <v>244.98</v>
      </c>
      <c r="AI177" s="57">
        <f>E177-AC177-AE177-AH177</f>
        <v>-338.98</v>
      </c>
      <c r="AJ177" s="17">
        <f>E177-AC177</f>
        <v>-94</v>
      </c>
      <c r="AK177" s="20" t="e">
        <f>ROUND(AI177/E177,2)</f>
        <v>#DIV/0!</v>
      </c>
      <c r="AL177" s="21">
        <f t="shared" si="12"/>
        <v>-1.38</v>
      </c>
    </row>
    <row r="178" spans="1:38" x14ac:dyDescent="0.25">
      <c r="A178" s="27" t="s">
        <v>506</v>
      </c>
      <c r="B178" s="45" t="s">
        <v>516</v>
      </c>
      <c r="C178" s="31"/>
      <c r="D178" s="38">
        <v>0</v>
      </c>
      <c r="E178" s="50">
        <f t="shared" si="5"/>
        <v>0</v>
      </c>
      <c r="F178" s="24">
        <v>0.15</v>
      </c>
      <c r="G178" s="7">
        <v>16</v>
      </c>
      <c r="H178" s="7">
        <v>16</v>
      </c>
      <c r="I178" s="7">
        <v>23</v>
      </c>
      <c r="J178" s="78">
        <f t="shared" si="24"/>
        <v>5.8879999999999999</v>
      </c>
      <c r="K178" s="2">
        <f t="shared" si="25"/>
        <v>1.2</v>
      </c>
      <c r="L178" s="8">
        <v>0</v>
      </c>
      <c r="M178" s="1">
        <f t="shared" si="0"/>
        <v>0</v>
      </c>
      <c r="N178" s="41">
        <v>0</v>
      </c>
      <c r="O178" s="84" t="s">
        <v>275</v>
      </c>
      <c r="P178" s="24" t="s">
        <v>562</v>
      </c>
      <c r="Q178" s="7" t="s">
        <v>557</v>
      </c>
      <c r="R178" s="7"/>
      <c r="S178" s="81">
        <v>0.09</v>
      </c>
      <c r="T178" s="7">
        <v>25</v>
      </c>
      <c r="U178" s="82"/>
      <c r="V178" s="83">
        <f>ROUNDUP(E178*S178,2)</f>
        <v>0</v>
      </c>
      <c r="W178" s="83">
        <f>ROUNDUP(E178*0.015,2)</f>
        <v>0</v>
      </c>
      <c r="X178" s="82">
        <f>MAX(MIN(SUMIFS(Логистика!$C$2:$C$38,Логистика!$A$2:$A$38,"&lt;="&amp;K178,Логистика!$B$2:$B$38,"&gt;="&amp;K178)*E178,SUMIFS(Логистика!$E$2:$E$38,Логистика!$A$2:$A$38,"&lt;="&amp;K178,Логистика!$B$2:$B$38,"&gt;="&amp;K178)),SUMIFS(Логистика!$D$2:$D$38,Логистика!$A$2:$A$38,"&lt;="&amp;K178,Логистика!$B$2:$B$38,"&gt;="&amp;K178))</f>
        <v>57</v>
      </c>
      <c r="Y178" s="83">
        <f>IF(AND(E178*0.055&gt;20,E178*0.055&lt;250),ROUNDUP(E178*0.055,2),IF(E178*0.055&lt;=20,20,250))</f>
        <v>20</v>
      </c>
      <c r="Z178" s="83">
        <f>ROUND(M178*0.05,2)</f>
        <v>0</v>
      </c>
      <c r="AA178" s="83">
        <f>IF(N178=0,0,IF(ROUND(E178*N178,2)&gt;5,ROUND(E178*N178,2),5))</f>
        <v>0</v>
      </c>
      <c r="AB178" s="83">
        <f>IF(O178="Да",ROUND(E178*0.1111,2),0)</f>
        <v>0</v>
      </c>
      <c r="AC178" s="53">
        <f>V178+W178+T178+X178+Y178+Z178+AA178+AB178</f>
        <v>102</v>
      </c>
      <c r="AD178" s="8">
        <v>0</v>
      </c>
      <c r="AE178" s="36">
        <f>ROUND(E178*AD178,2)</f>
        <v>0</v>
      </c>
      <c r="AF178" s="6">
        <v>15</v>
      </c>
      <c r="AG178" s="6">
        <v>15</v>
      </c>
      <c r="AH178" s="59">
        <f>AH176*3</f>
        <v>367.46999999999997</v>
      </c>
      <c r="AI178" s="57">
        <f>E178-AC178-AE178-AH178</f>
        <v>-469.46999999999997</v>
      </c>
      <c r="AJ178" s="17">
        <f>E178-AC178</f>
        <v>-102</v>
      </c>
      <c r="AK178" s="20" t="e">
        <f>ROUND(AI178/E178,2)</f>
        <v>#DIV/0!</v>
      </c>
      <c r="AL178" s="21">
        <f t="shared" si="12"/>
        <v>-1.28</v>
      </c>
    </row>
    <row r="179" spans="1:38" x14ac:dyDescent="0.25">
      <c r="A179" s="27" t="s">
        <v>507</v>
      </c>
      <c r="B179" s="45" t="s">
        <v>517</v>
      </c>
      <c r="C179" s="31"/>
      <c r="D179" s="38">
        <v>0</v>
      </c>
      <c r="E179" s="50">
        <f t="shared" si="5"/>
        <v>0</v>
      </c>
      <c r="F179" s="24">
        <v>0.2</v>
      </c>
      <c r="G179" s="7">
        <v>30</v>
      </c>
      <c r="H179" s="7">
        <v>16</v>
      </c>
      <c r="I179" s="7">
        <v>16</v>
      </c>
      <c r="J179" s="78">
        <f t="shared" si="24"/>
        <v>7.68</v>
      </c>
      <c r="K179" s="2">
        <f t="shared" si="25"/>
        <v>1.5</v>
      </c>
      <c r="L179" s="8">
        <v>0</v>
      </c>
      <c r="M179" s="1">
        <f t="shared" ref="M179:M304" si="28">IF(L179=0,0,IF(ROUND(E179*L179,0)&gt;20,ROUND(E179*L179,0),20))</f>
        <v>0</v>
      </c>
      <c r="N179" s="41">
        <v>0</v>
      </c>
      <c r="O179" s="84" t="s">
        <v>275</v>
      </c>
      <c r="P179" s="24" t="s">
        <v>562</v>
      </c>
      <c r="Q179" s="7" t="s">
        <v>557</v>
      </c>
      <c r="R179" s="7"/>
      <c r="S179" s="81">
        <v>0.09</v>
      </c>
      <c r="T179" s="7">
        <v>25</v>
      </c>
      <c r="U179" s="82"/>
      <c r="V179" s="83">
        <f>ROUNDUP(E179*S179,2)</f>
        <v>0</v>
      </c>
      <c r="W179" s="83">
        <f>ROUNDUP(E179*0.015,2)</f>
        <v>0</v>
      </c>
      <c r="X179" s="82">
        <f>MAX(MIN(SUMIFS(Логистика!$C$2:$C$38,Логистика!$A$2:$A$38,"&lt;="&amp;K179,Логистика!$B$2:$B$38,"&gt;="&amp;K179)*E179,SUMIFS(Логистика!$E$2:$E$38,Логистика!$A$2:$A$38,"&lt;="&amp;K179,Логистика!$B$2:$B$38,"&gt;="&amp;K179)),SUMIFS(Логистика!$D$2:$D$38,Логистика!$A$2:$A$38,"&lt;="&amp;K179,Логистика!$B$2:$B$38,"&gt;="&amp;K179))</f>
        <v>65</v>
      </c>
      <c r="Y179" s="83">
        <f>IF(AND(E179*0.055&gt;20,E179*0.055&lt;250),ROUNDUP(E179*0.055,2),IF(E179*0.055&lt;=20,20,250))</f>
        <v>20</v>
      </c>
      <c r="Z179" s="83">
        <f>ROUND(M179*0.05,2)</f>
        <v>0</v>
      </c>
      <c r="AA179" s="83">
        <f>IF(N179=0,0,IF(ROUND(E179*N179,2)&gt;5,ROUND(E179*N179,2),5))</f>
        <v>0</v>
      </c>
      <c r="AB179" s="83">
        <f>IF(O179="Да",ROUND(E179*0.1111,2),0)</f>
        <v>0</v>
      </c>
      <c r="AC179" s="53">
        <f>V179+W179+T179+X179+Y179+Z179+AA179+AB179</f>
        <v>110</v>
      </c>
      <c r="AD179" s="8">
        <v>0</v>
      </c>
      <c r="AE179" s="36">
        <f>ROUND(E179*AD179,2)</f>
        <v>0</v>
      </c>
      <c r="AF179" s="6">
        <v>15</v>
      </c>
      <c r="AG179" s="6">
        <v>15</v>
      </c>
      <c r="AH179" s="59">
        <f>AH176*4</f>
        <v>489.96</v>
      </c>
      <c r="AI179" s="57">
        <f>E179-AC179-AE179-AH179</f>
        <v>-599.96</v>
      </c>
      <c r="AJ179" s="17">
        <f>E179-AC179</f>
        <v>-110</v>
      </c>
      <c r="AK179" s="20" t="e">
        <f>ROUND(AI179/E179,2)</f>
        <v>#DIV/0!</v>
      </c>
      <c r="AL179" s="21">
        <f t="shared" si="12"/>
        <v>-1.22</v>
      </c>
    </row>
    <row r="180" spans="1:38" x14ac:dyDescent="0.25">
      <c r="A180" s="27" t="s">
        <v>508</v>
      </c>
      <c r="B180" s="45" t="s">
        <v>518</v>
      </c>
      <c r="C180" s="31"/>
      <c r="D180" s="38">
        <v>0</v>
      </c>
      <c r="E180" s="50">
        <f t="shared" si="5"/>
        <v>0</v>
      </c>
      <c r="F180" s="24">
        <v>0.25</v>
      </c>
      <c r="G180" s="7">
        <v>16</v>
      </c>
      <c r="H180" s="7">
        <v>16</v>
      </c>
      <c r="I180" s="7">
        <v>37</v>
      </c>
      <c r="J180" s="78">
        <f t="shared" si="24"/>
        <v>9.4719999999999995</v>
      </c>
      <c r="K180" s="2">
        <f t="shared" si="25"/>
        <v>1.9</v>
      </c>
      <c r="L180" s="8">
        <v>0</v>
      </c>
      <c r="M180" s="1">
        <f t="shared" si="28"/>
        <v>0</v>
      </c>
      <c r="N180" s="41">
        <v>0</v>
      </c>
      <c r="O180" s="84" t="s">
        <v>275</v>
      </c>
      <c r="P180" s="24" t="s">
        <v>562</v>
      </c>
      <c r="Q180" s="7" t="s">
        <v>557</v>
      </c>
      <c r="R180" s="7"/>
      <c r="S180" s="81">
        <v>0.09</v>
      </c>
      <c r="T180" s="7">
        <v>25</v>
      </c>
      <c r="U180" s="82"/>
      <c r="V180" s="83">
        <f>ROUNDUP(E180*S180,2)</f>
        <v>0</v>
      </c>
      <c r="W180" s="83">
        <f>ROUNDUP(E180*0.015,2)</f>
        <v>0</v>
      </c>
      <c r="X180" s="82">
        <f>MAX(MIN(SUMIFS(Логистика!$C$2:$C$38,Логистика!$A$2:$A$38,"&lt;="&amp;K180,Логистика!$B$2:$B$38,"&gt;="&amp;K180)*E180,SUMIFS(Логистика!$E$2:$E$38,Логистика!$A$2:$A$38,"&lt;="&amp;K180,Логистика!$B$2:$B$38,"&gt;="&amp;K180)),SUMIFS(Логистика!$D$2:$D$38,Логистика!$A$2:$A$38,"&lt;="&amp;K180,Логистика!$B$2:$B$38,"&gt;="&amp;K180))</f>
        <v>71</v>
      </c>
      <c r="Y180" s="83">
        <f>IF(AND(E180*0.055&gt;20,E180*0.055&lt;250),ROUNDUP(E180*0.055,2),IF(E180*0.055&lt;=20,20,250))</f>
        <v>20</v>
      </c>
      <c r="Z180" s="83">
        <f>ROUND(M180*0.05,2)</f>
        <v>0</v>
      </c>
      <c r="AA180" s="83">
        <f>IF(N180=0,0,IF(ROUND(E180*N180,2)&gt;5,ROUND(E180*N180,2),5))</f>
        <v>0</v>
      </c>
      <c r="AB180" s="83">
        <f>IF(O180="Да",ROUND(E180*0.1111,2),0)</f>
        <v>0</v>
      </c>
      <c r="AC180" s="53">
        <f>V180+W180+T180+X180+Y180+Z180+AA180+AB180</f>
        <v>116</v>
      </c>
      <c r="AD180" s="8">
        <v>0</v>
      </c>
      <c r="AE180" s="36">
        <f>ROUND(E180*AD180,2)</f>
        <v>0</v>
      </c>
      <c r="AF180" s="6">
        <v>15</v>
      </c>
      <c r="AG180" s="6">
        <v>15</v>
      </c>
      <c r="AH180" s="59">
        <f>AH176*5</f>
        <v>612.44999999999993</v>
      </c>
      <c r="AI180" s="57">
        <f>E180-AC180-AE180-AH180</f>
        <v>-728.44999999999993</v>
      </c>
      <c r="AJ180" s="17">
        <f>E180-AC180</f>
        <v>-116</v>
      </c>
      <c r="AK180" s="20" t="e">
        <f>ROUND(AI180/E180,2)</f>
        <v>#DIV/0!</v>
      </c>
      <c r="AL180" s="21">
        <f t="shared" si="12"/>
        <v>-1.19</v>
      </c>
    </row>
    <row r="181" spans="1:38" x14ac:dyDescent="0.25">
      <c r="A181" s="27" t="s">
        <v>509</v>
      </c>
      <c r="B181" s="45" t="s">
        <v>519</v>
      </c>
      <c r="C181" s="31"/>
      <c r="D181" s="38">
        <v>0</v>
      </c>
      <c r="E181" s="50">
        <f t="shared" si="5"/>
        <v>0</v>
      </c>
      <c r="F181" s="24">
        <v>0.3</v>
      </c>
      <c r="G181" s="7">
        <v>30</v>
      </c>
      <c r="H181" s="7">
        <v>16</v>
      </c>
      <c r="I181" s="7">
        <v>23</v>
      </c>
      <c r="J181" s="78">
        <f t="shared" si="24"/>
        <v>11.04</v>
      </c>
      <c r="K181" s="2">
        <f t="shared" si="25"/>
        <v>2.2000000000000002</v>
      </c>
      <c r="L181" s="8">
        <v>0</v>
      </c>
      <c r="M181" s="1">
        <f t="shared" si="28"/>
        <v>0</v>
      </c>
      <c r="N181" s="41">
        <v>0</v>
      </c>
      <c r="O181" s="84" t="s">
        <v>275</v>
      </c>
      <c r="P181" s="24" t="s">
        <v>562</v>
      </c>
      <c r="Q181" s="7" t="s">
        <v>557</v>
      </c>
      <c r="R181" s="7"/>
      <c r="S181" s="81">
        <v>0.09</v>
      </c>
      <c r="T181" s="7">
        <v>25</v>
      </c>
      <c r="U181" s="82"/>
      <c r="V181" s="83">
        <f>ROUNDUP(E181*S181,2)</f>
        <v>0</v>
      </c>
      <c r="W181" s="83">
        <f>ROUNDUP(E181*0.015,2)</f>
        <v>0</v>
      </c>
      <c r="X181" s="82">
        <f>MAX(MIN(SUMIFS(Логистика!$C$2:$C$38,Логистика!$A$2:$A$38,"&lt;="&amp;K181,Логистика!$B$2:$B$38,"&gt;="&amp;K181)*E181,SUMIFS(Логистика!$E$2:$E$38,Логистика!$A$2:$A$38,"&lt;="&amp;K181,Логистика!$B$2:$B$38,"&gt;="&amp;K181)),SUMIFS(Логистика!$D$2:$D$38,Логистика!$A$2:$A$38,"&lt;="&amp;K181,Логистика!$B$2:$B$38,"&gt;="&amp;K181))</f>
        <v>79</v>
      </c>
      <c r="Y181" s="83">
        <f>IF(AND(E181*0.055&gt;20,E181*0.055&lt;250),ROUNDUP(E181*0.055,2),IF(E181*0.055&lt;=20,20,250))</f>
        <v>20</v>
      </c>
      <c r="Z181" s="83">
        <f>ROUND(M181*0.05,2)</f>
        <v>0</v>
      </c>
      <c r="AA181" s="83">
        <f>IF(N181=0,0,IF(ROUND(E181*N181,2)&gt;5,ROUND(E181*N181,2),5))</f>
        <v>0</v>
      </c>
      <c r="AB181" s="83">
        <f>IF(O181="Да",ROUND(E181*0.1111,2),0)</f>
        <v>0</v>
      </c>
      <c r="AC181" s="53">
        <f>V181+W181+T181+X181+Y181+Z181+AA181+AB181</f>
        <v>124</v>
      </c>
      <c r="AD181" s="8">
        <v>0</v>
      </c>
      <c r="AE181" s="36">
        <f>ROUND(E181*AD181,2)</f>
        <v>0</v>
      </c>
      <c r="AF181" s="6">
        <v>15</v>
      </c>
      <c r="AG181" s="6">
        <v>15</v>
      </c>
      <c r="AH181" s="59">
        <f>AH176*6</f>
        <v>734.93999999999994</v>
      </c>
      <c r="AI181" s="57">
        <f>E181-AC181-AE181-AH181</f>
        <v>-858.93999999999994</v>
      </c>
      <c r="AJ181" s="17">
        <f>E181-AC181</f>
        <v>-124</v>
      </c>
      <c r="AK181" s="20" t="e">
        <f>ROUND(AI181/E181,2)</f>
        <v>#DIV/0!</v>
      </c>
      <c r="AL181" s="21">
        <f t="shared" si="12"/>
        <v>-1.17</v>
      </c>
    </row>
    <row r="182" spans="1:38" x14ac:dyDescent="0.25">
      <c r="A182" s="27" t="s">
        <v>510</v>
      </c>
      <c r="B182" s="45" t="s">
        <v>520</v>
      </c>
      <c r="C182" s="31"/>
      <c r="D182" s="38">
        <v>0</v>
      </c>
      <c r="E182" s="50">
        <f t="shared" si="5"/>
        <v>0</v>
      </c>
      <c r="F182" s="24">
        <v>0.4</v>
      </c>
      <c r="G182" s="7">
        <v>30</v>
      </c>
      <c r="H182" s="7">
        <v>16</v>
      </c>
      <c r="I182" s="7">
        <v>30</v>
      </c>
      <c r="J182" s="78">
        <f t="shared" si="24"/>
        <v>14.4</v>
      </c>
      <c r="K182" s="2">
        <f t="shared" si="25"/>
        <v>2.9</v>
      </c>
      <c r="L182" s="8">
        <v>0</v>
      </c>
      <c r="M182" s="1">
        <f t="shared" si="28"/>
        <v>0</v>
      </c>
      <c r="N182" s="41">
        <v>0</v>
      </c>
      <c r="O182" s="84" t="s">
        <v>275</v>
      </c>
      <c r="P182" s="24" t="s">
        <v>562</v>
      </c>
      <c r="Q182" s="7" t="s">
        <v>557</v>
      </c>
      <c r="R182" s="7"/>
      <c r="S182" s="81">
        <v>0.09</v>
      </c>
      <c r="T182" s="7">
        <v>25</v>
      </c>
      <c r="U182" s="82"/>
      <c r="V182" s="83">
        <f>ROUNDUP(E182*S182,2)</f>
        <v>0</v>
      </c>
      <c r="W182" s="83">
        <f>ROUNDUP(E182*0.015,2)</f>
        <v>0</v>
      </c>
      <c r="X182" s="82">
        <f>MAX(MIN(SUMIFS(Логистика!$C$2:$C$38,Логистика!$A$2:$A$38,"&lt;="&amp;K182,Логистика!$B$2:$B$38,"&gt;="&amp;K182)*E182,SUMIFS(Логистика!$E$2:$E$38,Логистика!$A$2:$A$38,"&lt;="&amp;K182,Логистика!$B$2:$B$38,"&gt;="&amp;K182)),SUMIFS(Логистика!$D$2:$D$38,Логистика!$A$2:$A$38,"&lt;="&amp;K182,Логистика!$B$2:$B$38,"&gt;="&amp;K182))</f>
        <v>79</v>
      </c>
      <c r="Y182" s="83">
        <f>IF(AND(E182*0.055&gt;20,E182*0.055&lt;250),ROUNDUP(E182*0.055,2),IF(E182*0.055&lt;=20,20,250))</f>
        <v>20</v>
      </c>
      <c r="Z182" s="83">
        <f>ROUND(M182*0.05,2)</f>
        <v>0</v>
      </c>
      <c r="AA182" s="83">
        <f>IF(N182=0,0,IF(ROUND(E182*N182,2)&gt;5,ROUND(E182*N182,2),5))</f>
        <v>0</v>
      </c>
      <c r="AB182" s="83">
        <f>IF(O182="Да",ROUND(E182*0.1111,2),0)</f>
        <v>0</v>
      </c>
      <c r="AC182" s="53">
        <f>V182+W182+T182+X182+Y182+Z182+AA182+AB182</f>
        <v>124</v>
      </c>
      <c r="AD182" s="8">
        <v>0</v>
      </c>
      <c r="AE182" s="36">
        <f>ROUND(E182*AD182,2)</f>
        <v>0</v>
      </c>
      <c r="AF182" s="6">
        <v>15</v>
      </c>
      <c r="AG182" s="6">
        <v>15</v>
      </c>
      <c r="AH182" s="59">
        <f>AH176*8</f>
        <v>979.92</v>
      </c>
      <c r="AI182" s="57">
        <f>E182-AC182-AE182-AH182</f>
        <v>-1103.92</v>
      </c>
      <c r="AJ182" s="17">
        <f>E182-AC182</f>
        <v>-124</v>
      </c>
      <c r="AK182" s="20" t="e">
        <f>ROUND(AI182/E182,2)</f>
        <v>#DIV/0!</v>
      </c>
      <c r="AL182" s="21">
        <f t="shared" si="12"/>
        <v>-1.1299999999999999</v>
      </c>
    </row>
    <row r="183" spans="1:38" x14ac:dyDescent="0.25">
      <c r="A183" s="27" t="s">
        <v>511</v>
      </c>
      <c r="B183" s="45" t="s">
        <v>521</v>
      </c>
      <c r="C183" s="31"/>
      <c r="D183" s="38">
        <v>0</v>
      </c>
      <c r="E183" s="50">
        <f t="shared" ref="E183:E308" si="29">ROUND(C183*(1-D183),0)</f>
        <v>0</v>
      </c>
      <c r="F183" s="24">
        <v>0.5</v>
      </c>
      <c r="G183" s="7">
        <v>30</v>
      </c>
      <c r="H183" s="7">
        <v>16</v>
      </c>
      <c r="I183" s="7">
        <v>37</v>
      </c>
      <c r="J183" s="78">
        <f t="shared" si="24"/>
        <v>17.760000000000002</v>
      </c>
      <c r="K183" s="2">
        <f t="shared" si="25"/>
        <v>3.6</v>
      </c>
      <c r="L183" s="8">
        <v>0</v>
      </c>
      <c r="M183" s="1">
        <f t="shared" si="28"/>
        <v>0</v>
      </c>
      <c r="N183" s="41">
        <v>0</v>
      </c>
      <c r="O183" s="84" t="s">
        <v>275</v>
      </c>
      <c r="P183" s="24" t="s">
        <v>562</v>
      </c>
      <c r="Q183" s="7" t="s">
        <v>557</v>
      </c>
      <c r="R183" s="7"/>
      <c r="S183" s="81">
        <v>0.09</v>
      </c>
      <c r="T183" s="7">
        <v>25</v>
      </c>
      <c r="U183" s="82"/>
      <c r="V183" s="83">
        <f>ROUNDUP(E183*S183,2)</f>
        <v>0</v>
      </c>
      <c r="W183" s="83">
        <f>ROUNDUP(E183*0.015,2)</f>
        <v>0</v>
      </c>
      <c r="X183" s="82">
        <f>MAX(MIN(SUMIFS(Логистика!$C$2:$C$38,Логистика!$A$2:$A$38,"&lt;="&amp;K183,Логистика!$B$2:$B$38,"&gt;="&amp;K183)*E183,SUMIFS(Логистика!$E$2:$E$38,Логистика!$A$2:$A$38,"&lt;="&amp;K183,Логистика!$B$2:$B$38,"&gt;="&amp;K183)),SUMIFS(Логистика!$D$2:$D$38,Логистика!$A$2:$A$38,"&lt;="&amp;K183,Логистика!$B$2:$B$38,"&gt;="&amp;K183))</f>
        <v>100</v>
      </c>
      <c r="Y183" s="83">
        <f>IF(AND(E183*0.055&gt;20,E183*0.055&lt;250),ROUNDUP(E183*0.055,2),IF(E183*0.055&lt;=20,20,250))</f>
        <v>20</v>
      </c>
      <c r="Z183" s="83">
        <f>ROUND(M183*0.05,2)</f>
        <v>0</v>
      </c>
      <c r="AA183" s="83">
        <f>IF(N183=0,0,IF(ROUND(E183*N183,2)&gt;5,ROUND(E183*N183,2),5))</f>
        <v>0</v>
      </c>
      <c r="AB183" s="83">
        <f>IF(O183="Да",ROUND(E183*0.1111,2),0)</f>
        <v>0</v>
      </c>
      <c r="AC183" s="53">
        <f>V183+W183+T183+X183+Y183+Z183+AA183+AB183</f>
        <v>145</v>
      </c>
      <c r="AD183" s="8">
        <v>0</v>
      </c>
      <c r="AE183" s="36">
        <f>ROUND(E183*AD183,2)</f>
        <v>0</v>
      </c>
      <c r="AF183" s="6">
        <v>15</v>
      </c>
      <c r="AG183" s="6">
        <v>15</v>
      </c>
      <c r="AH183" s="59">
        <f>AH176*10</f>
        <v>1224.8999999999999</v>
      </c>
      <c r="AI183" s="57">
        <f>E183-AC183-AE183-AH183</f>
        <v>-1369.8999999999999</v>
      </c>
      <c r="AJ183" s="17">
        <f>E183-AC183</f>
        <v>-145</v>
      </c>
      <c r="AK183" s="20" t="e">
        <f>ROUND(AI183/E183,2)</f>
        <v>#DIV/0!</v>
      </c>
      <c r="AL183" s="21">
        <f t="shared" si="12"/>
        <v>-1.1200000000000001</v>
      </c>
    </row>
    <row r="184" spans="1:38" x14ac:dyDescent="0.25">
      <c r="A184" s="27" t="s">
        <v>512</v>
      </c>
      <c r="B184" s="45" t="s">
        <v>522</v>
      </c>
      <c r="C184" s="31"/>
      <c r="D184" s="38">
        <v>0</v>
      </c>
      <c r="E184" s="50">
        <f t="shared" si="29"/>
        <v>0</v>
      </c>
      <c r="F184" s="24">
        <v>0.8</v>
      </c>
      <c r="G184" s="7">
        <v>30</v>
      </c>
      <c r="H184" s="7">
        <v>16</v>
      </c>
      <c r="I184" s="7">
        <v>57.999999999999993</v>
      </c>
      <c r="J184" s="78">
        <f t="shared" si="24"/>
        <v>27.839999999999996</v>
      </c>
      <c r="K184" s="2">
        <f t="shared" si="25"/>
        <v>5.6</v>
      </c>
      <c r="L184" s="8">
        <v>0</v>
      </c>
      <c r="M184" s="1">
        <f t="shared" si="28"/>
        <v>0</v>
      </c>
      <c r="N184" s="41">
        <v>0</v>
      </c>
      <c r="O184" s="84" t="s">
        <v>275</v>
      </c>
      <c r="P184" s="24" t="s">
        <v>562</v>
      </c>
      <c r="Q184" s="7" t="s">
        <v>557</v>
      </c>
      <c r="R184" s="7"/>
      <c r="S184" s="81">
        <v>0.09</v>
      </c>
      <c r="T184" s="7">
        <v>25</v>
      </c>
      <c r="U184" s="82"/>
      <c r="V184" s="83">
        <f>ROUNDUP(E184*S184,2)</f>
        <v>0</v>
      </c>
      <c r="W184" s="83">
        <f>ROUNDUP(E184*0.015,2)</f>
        <v>0</v>
      </c>
      <c r="X184" s="82">
        <f>MAX(MIN(SUMIFS(Логистика!$C$2:$C$38,Логистика!$A$2:$A$38,"&lt;="&amp;K184,Логистика!$B$2:$B$38,"&gt;="&amp;K184)*E184,SUMIFS(Логистика!$E$2:$E$38,Логистика!$A$2:$A$38,"&lt;="&amp;K184,Логистика!$B$2:$B$38,"&gt;="&amp;K184)),SUMIFS(Логистика!$D$2:$D$38,Логистика!$A$2:$A$38,"&lt;="&amp;K184,Логистика!$B$2:$B$38,"&gt;="&amp;K184))</f>
        <v>135</v>
      </c>
      <c r="Y184" s="83">
        <f>IF(AND(E184*0.055&gt;20,E184*0.055&lt;250),ROUNDUP(E184*0.055,2),IF(E184*0.055&lt;=20,20,250))</f>
        <v>20</v>
      </c>
      <c r="Z184" s="83">
        <f>ROUND(M184*0.05,2)</f>
        <v>0</v>
      </c>
      <c r="AA184" s="83">
        <f>IF(N184=0,0,IF(ROUND(E184*N184,2)&gt;5,ROUND(E184*N184,2),5))</f>
        <v>0</v>
      </c>
      <c r="AB184" s="83">
        <f>IF(O184="Да",ROUND(E184*0.1111,2),0)</f>
        <v>0</v>
      </c>
      <c r="AC184" s="53">
        <f>V184+W184+T184+X184+Y184+Z184+AA184+AB184</f>
        <v>180</v>
      </c>
      <c r="AD184" s="8">
        <v>0</v>
      </c>
      <c r="AE184" s="36">
        <f>ROUND(E184*AD184,2)</f>
        <v>0</v>
      </c>
      <c r="AF184" s="6">
        <v>15</v>
      </c>
      <c r="AG184" s="6">
        <v>15</v>
      </c>
      <c r="AH184" s="59">
        <f>AH176*16</f>
        <v>1959.84</v>
      </c>
      <c r="AI184" s="57">
        <f>E184-AC184-AE184-AH184</f>
        <v>-2139.84</v>
      </c>
      <c r="AJ184" s="17">
        <f>E184-AC184</f>
        <v>-180</v>
      </c>
      <c r="AK184" s="20" t="e">
        <f>ROUND(AI184/E184,2)</f>
        <v>#DIV/0!</v>
      </c>
      <c r="AL184" s="21">
        <f t="shared" si="12"/>
        <v>-1.0900000000000001</v>
      </c>
    </row>
    <row r="185" spans="1:38" x14ac:dyDescent="0.25">
      <c r="A185" s="27" t="s">
        <v>513</v>
      </c>
      <c r="B185" s="45" t="s">
        <v>523</v>
      </c>
      <c r="C185" s="31"/>
      <c r="D185" s="38">
        <v>0</v>
      </c>
      <c r="E185" s="50">
        <f t="shared" si="29"/>
        <v>0</v>
      </c>
      <c r="F185" s="24">
        <v>1</v>
      </c>
      <c r="G185" s="7">
        <v>30</v>
      </c>
      <c r="H185" s="7">
        <v>30</v>
      </c>
      <c r="I185" s="7">
        <v>37</v>
      </c>
      <c r="J185" s="78">
        <f t="shared" si="24"/>
        <v>33.299999999999997</v>
      </c>
      <c r="K185" s="2">
        <f t="shared" si="25"/>
        <v>6.7</v>
      </c>
      <c r="L185" s="8">
        <v>0</v>
      </c>
      <c r="M185" s="1">
        <f t="shared" si="28"/>
        <v>0</v>
      </c>
      <c r="N185" s="41">
        <v>0</v>
      </c>
      <c r="O185" s="84" t="s">
        <v>275</v>
      </c>
      <c r="P185" s="24" t="s">
        <v>562</v>
      </c>
      <c r="Q185" s="7" t="s">
        <v>557</v>
      </c>
      <c r="R185" s="7"/>
      <c r="S185" s="81">
        <v>0.09</v>
      </c>
      <c r="T185" s="7">
        <v>25</v>
      </c>
      <c r="U185" s="82"/>
      <c r="V185" s="83">
        <f>ROUNDUP(E185*S185,2)</f>
        <v>0</v>
      </c>
      <c r="W185" s="83">
        <f>ROUNDUP(E185*0.015,2)</f>
        <v>0</v>
      </c>
      <c r="X185" s="82">
        <f>MAX(MIN(SUMIFS(Логистика!$C$2:$C$38,Логистика!$A$2:$A$38,"&lt;="&amp;K185,Логистика!$B$2:$B$38,"&gt;="&amp;K185)*E185,SUMIFS(Логистика!$E$2:$E$38,Логистика!$A$2:$A$38,"&lt;="&amp;K185,Логистика!$B$2:$B$38,"&gt;="&amp;K185)),SUMIFS(Логистика!$D$2:$D$38,Логистика!$A$2:$A$38,"&lt;="&amp;K185,Логистика!$B$2:$B$38,"&gt;="&amp;K185))</f>
        <v>160</v>
      </c>
      <c r="Y185" s="83">
        <f>IF(AND(E185*0.055&gt;20,E185*0.055&lt;250),ROUNDUP(E185*0.055,2),IF(E185*0.055&lt;=20,20,250))</f>
        <v>20</v>
      </c>
      <c r="Z185" s="83">
        <f>ROUND(M185*0.05,2)</f>
        <v>0</v>
      </c>
      <c r="AA185" s="83">
        <f>IF(N185=0,0,IF(ROUND(E185*N185,2)&gt;5,ROUND(E185*N185,2),5))</f>
        <v>0</v>
      </c>
      <c r="AB185" s="83">
        <f>IF(O185="Да",ROUND(E185*0.1111,2),0)</f>
        <v>0</v>
      </c>
      <c r="AC185" s="53">
        <f>V185+W185+T185+X185+Y185+Z185+AA185+AB185</f>
        <v>205</v>
      </c>
      <c r="AD185" s="8">
        <v>0</v>
      </c>
      <c r="AE185" s="36">
        <f>ROUND(E185*AD185,2)</f>
        <v>0</v>
      </c>
      <c r="AF185" s="6">
        <v>15</v>
      </c>
      <c r="AG185" s="6">
        <v>15</v>
      </c>
      <c r="AH185" s="59">
        <f>AH176*20</f>
        <v>2449.7999999999997</v>
      </c>
      <c r="AI185" s="57">
        <f>E185-AC185-AE185-AH185</f>
        <v>-2654.7999999999997</v>
      </c>
      <c r="AJ185" s="17">
        <f>E185-AC185</f>
        <v>-205</v>
      </c>
      <c r="AK185" s="20" t="e">
        <f>ROUND(AI185/E185,2)</f>
        <v>#DIV/0!</v>
      </c>
      <c r="AL185" s="21">
        <f t="shared" si="12"/>
        <v>-1.08</v>
      </c>
    </row>
    <row r="186" spans="1:38" x14ac:dyDescent="0.25">
      <c r="A186" s="27" t="s">
        <v>514</v>
      </c>
      <c r="B186" s="45" t="s">
        <v>524</v>
      </c>
      <c r="C186" s="31"/>
      <c r="D186" s="38">
        <v>0</v>
      </c>
      <c r="E186" s="50">
        <f t="shared" si="29"/>
        <v>0</v>
      </c>
      <c r="F186" s="24">
        <v>1.5</v>
      </c>
      <c r="G186" s="7">
        <v>30</v>
      </c>
      <c r="H186" s="7">
        <v>30</v>
      </c>
      <c r="I186" s="7">
        <v>51</v>
      </c>
      <c r="J186" s="78">
        <f t="shared" si="24"/>
        <v>45.9</v>
      </c>
      <c r="K186" s="2">
        <f t="shared" si="25"/>
        <v>9.1999999999999993</v>
      </c>
      <c r="L186" s="8">
        <v>0</v>
      </c>
      <c r="M186" s="1">
        <f t="shared" si="28"/>
        <v>0</v>
      </c>
      <c r="N186" s="41">
        <v>0</v>
      </c>
      <c r="O186" s="84" t="s">
        <v>275</v>
      </c>
      <c r="P186" s="24" t="s">
        <v>562</v>
      </c>
      <c r="Q186" s="7" t="s">
        <v>557</v>
      </c>
      <c r="R186" s="7"/>
      <c r="S186" s="81">
        <v>0.09</v>
      </c>
      <c r="T186" s="7">
        <v>25</v>
      </c>
      <c r="U186" s="82"/>
      <c r="V186" s="83">
        <f>ROUNDUP(E186*S186,2)</f>
        <v>0</v>
      </c>
      <c r="W186" s="83">
        <f>ROUNDUP(E186*0.015,2)</f>
        <v>0</v>
      </c>
      <c r="X186" s="82">
        <f>MAX(MIN(SUMIFS(Логистика!$C$2:$C$38,Логистика!$A$2:$A$38,"&lt;="&amp;K186,Логистика!$B$2:$B$38,"&gt;="&amp;K186)*E186,SUMIFS(Логистика!$E$2:$E$38,Логистика!$A$2:$A$38,"&lt;="&amp;K186,Логистика!$B$2:$B$38,"&gt;="&amp;K186)),SUMIFS(Логистика!$D$2:$D$38,Логистика!$A$2:$A$38,"&lt;="&amp;K186,Логистика!$B$2:$B$38,"&gt;="&amp;K186))</f>
        <v>225</v>
      </c>
      <c r="Y186" s="83">
        <f>IF(AND(E186*0.055&gt;20,E186*0.055&lt;250),ROUNDUP(E186*0.055,2),IF(E186*0.055&lt;=20,20,250))</f>
        <v>20</v>
      </c>
      <c r="Z186" s="83">
        <f>ROUND(M186*0.05,2)</f>
        <v>0</v>
      </c>
      <c r="AA186" s="83">
        <f>IF(N186=0,0,IF(ROUND(E186*N186,2)&gt;5,ROUND(E186*N186,2),5))</f>
        <v>0</v>
      </c>
      <c r="AB186" s="83">
        <f>IF(O186="Да",ROUND(E186*0.1111,2),0)</f>
        <v>0</v>
      </c>
      <c r="AC186" s="53">
        <f>V186+W186+T186+X186+Y186+Z186+AA186+AB186</f>
        <v>270</v>
      </c>
      <c r="AD186" s="8">
        <v>0</v>
      </c>
      <c r="AE186" s="36">
        <f>ROUND(E186*AD186,2)</f>
        <v>0</v>
      </c>
      <c r="AF186" s="6">
        <v>15</v>
      </c>
      <c r="AG186" s="6">
        <v>15</v>
      </c>
      <c r="AH186" s="59">
        <f>AH176*28</f>
        <v>3429.72</v>
      </c>
      <c r="AI186" s="57">
        <f>E186-AC186-AE186-AH186</f>
        <v>-3699.72</v>
      </c>
      <c r="AJ186" s="17">
        <f>E186-AC186</f>
        <v>-270</v>
      </c>
      <c r="AK186" s="20" t="e">
        <f>ROUND(AI186/E186,2)</f>
        <v>#DIV/0!</v>
      </c>
      <c r="AL186" s="21">
        <f t="shared" si="12"/>
        <v>-1.08</v>
      </c>
    </row>
    <row r="187" spans="1:38" x14ac:dyDescent="0.25">
      <c r="A187" s="27"/>
      <c r="B187" s="45"/>
      <c r="C187" s="31"/>
      <c r="D187" s="38">
        <v>0</v>
      </c>
      <c r="E187" s="50">
        <f t="shared" ref="E187:E196" si="30">ROUND(C187*(1-D187),0)</f>
        <v>0</v>
      </c>
      <c r="F187" s="24"/>
      <c r="G187" s="7">
        <v>0</v>
      </c>
      <c r="H187" s="7">
        <v>0</v>
      </c>
      <c r="I187" s="7">
        <v>0</v>
      </c>
      <c r="J187" s="78">
        <f t="shared" si="24"/>
        <v>0</v>
      </c>
      <c r="K187" s="2">
        <f t="shared" si="25"/>
        <v>0</v>
      </c>
      <c r="L187" s="8">
        <v>0</v>
      </c>
      <c r="M187" s="1">
        <f t="shared" si="28"/>
        <v>0</v>
      </c>
      <c r="N187" s="41">
        <v>0</v>
      </c>
      <c r="O187" s="84" t="s">
        <v>275</v>
      </c>
      <c r="P187" s="24" t="s">
        <v>562</v>
      </c>
      <c r="Q187" s="7" t="s">
        <v>557</v>
      </c>
      <c r="R187" s="7"/>
      <c r="S187" s="81">
        <v>0.09</v>
      </c>
      <c r="T187" s="7">
        <v>25</v>
      </c>
      <c r="U187" s="82"/>
      <c r="V187" s="83">
        <f>ROUNDUP(E187*S187,2)</f>
        <v>0</v>
      </c>
      <c r="W187" s="83">
        <f>ROUNDUP(E187*0.015,2)</f>
        <v>0</v>
      </c>
      <c r="X187" s="82">
        <f>MAX(MIN(SUMIFS(Логистика!$C$2:$C$38,Логистика!$A$2:$A$38,"&lt;="&amp;K187,Логистика!$B$2:$B$38,"&gt;="&amp;K187)*E187,SUMIFS(Логистика!$E$2:$E$38,Логистика!$A$2:$A$38,"&lt;="&amp;K187,Логистика!$B$2:$B$38,"&gt;="&amp;K187)),SUMIFS(Логистика!$D$2:$D$38,Логистика!$A$2:$A$38,"&lt;="&amp;K187,Логистика!$B$2:$B$38,"&gt;="&amp;K187))</f>
        <v>0</v>
      </c>
      <c r="Y187" s="83">
        <f>IF(AND(E187*0.055&gt;20,E187*0.055&lt;250),ROUNDUP(E187*0.055,2),IF(E187*0.055&lt;=20,20,250))</f>
        <v>20</v>
      </c>
      <c r="Z187" s="83">
        <f>ROUND(M187*0.05,2)</f>
        <v>0</v>
      </c>
      <c r="AA187" s="83">
        <f>IF(N187=0,0,IF(ROUND(E187*N187,2)&gt;5,ROUND(E187*N187,2),5))</f>
        <v>0</v>
      </c>
      <c r="AB187" s="83">
        <f>IF(O187="Да",ROUND(E187*0.1111,2),0)</f>
        <v>0</v>
      </c>
      <c r="AC187" s="53">
        <f>V187+W187+T187+X187+Y187+Z187+AA187+AB187</f>
        <v>45</v>
      </c>
      <c r="AD187" s="8">
        <v>0</v>
      </c>
      <c r="AE187" s="36">
        <f>ROUND(E187*AD187,2)</f>
        <v>0</v>
      </c>
      <c r="AF187" s="6">
        <v>15</v>
      </c>
      <c r="AG187" s="6">
        <v>15</v>
      </c>
      <c r="AH187" s="5"/>
      <c r="AI187" s="57">
        <f>E187-AC187-AE187-AH187</f>
        <v>-45</v>
      </c>
      <c r="AJ187" s="17">
        <f>E187-AC187</f>
        <v>-45</v>
      </c>
      <c r="AK187" s="20" t="e">
        <f>ROUND(AI187/E187,2)</f>
        <v>#DIV/0!</v>
      </c>
      <c r="AL187" s="21" t="e">
        <f t="shared" ref="AL187:AL195" si="31">ROUND(AI187/AH187,2)</f>
        <v>#DIV/0!</v>
      </c>
    </row>
    <row r="188" spans="1:38" x14ac:dyDescent="0.25">
      <c r="A188" s="27" t="s">
        <v>535</v>
      </c>
      <c r="B188" s="45" t="s">
        <v>525</v>
      </c>
      <c r="C188" s="31"/>
      <c r="D188" s="38">
        <v>0</v>
      </c>
      <c r="E188" s="50">
        <f t="shared" si="30"/>
        <v>0</v>
      </c>
      <c r="F188" s="24">
        <v>0.05</v>
      </c>
      <c r="G188" s="7">
        <v>0</v>
      </c>
      <c r="H188" s="7">
        <v>0</v>
      </c>
      <c r="I188" s="7">
        <v>0</v>
      </c>
      <c r="J188" s="78">
        <f t="shared" si="24"/>
        <v>0</v>
      </c>
      <c r="K188" s="2">
        <f t="shared" si="25"/>
        <v>0.1</v>
      </c>
      <c r="L188" s="8">
        <v>0</v>
      </c>
      <c r="M188" s="1">
        <f t="shared" ref="M188:M195" si="32">IF(L188=0,0,IF(ROUND(E188*L188,0)&gt;20,ROUND(E188*L188,0),20))</f>
        <v>0</v>
      </c>
      <c r="N188" s="41">
        <v>0</v>
      </c>
      <c r="O188" s="84" t="s">
        <v>275</v>
      </c>
      <c r="P188" s="24" t="s">
        <v>562</v>
      </c>
      <c r="Q188" s="7" t="s">
        <v>557</v>
      </c>
      <c r="R188" s="7"/>
      <c r="S188" s="81">
        <v>0.09</v>
      </c>
      <c r="T188" s="7">
        <v>25</v>
      </c>
      <c r="U188" s="82"/>
      <c r="V188" s="83">
        <f>ROUNDUP(E188*S188,2)</f>
        <v>0</v>
      </c>
      <c r="W188" s="83">
        <f>ROUNDUP(E188*0.015,2)</f>
        <v>0</v>
      </c>
      <c r="X188" s="82">
        <f>MAX(MIN(SUMIFS(Логистика!$C$2:$C$38,Логистика!$A$2:$A$38,"&lt;="&amp;K188,Логистика!$B$2:$B$38,"&gt;="&amp;K188)*E188,SUMIFS(Логистика!$E$2:$E$38,Логистика!$A$2:$A$38,"&lt;="&amp;K188,Логистика!$B$2:$B$38,"&gt;="&amp;K188)),SUMIFS(Логистика!$D$2:$D$38,Логистика!$A$2:$A$38,"&lt;="&amp;K188,Логистика!$B$2:$B$38,"&gt;="&amp;K188))</f>
        <v>40</v>
      </c>
      <c r="Y188" s="83">
        <f>IF(AND(E188*0.055&gt;20,E188*0.055&lt;250),ROUNDUP(E188*0.055,2),IF(E188*0.055&lt;=20,20,250))</f>
        <v>20</v>
      </c>
      <c r="Z188" s="83">
        <f>ROUND(M188*0.05,2)</f>
        <v>0</v>
      </c>
      <c r="AA188" s="83">
        <f>IF(N188=0,0,IF(ROUND(E188*N188,2)&gt;5,ROUND(E188*N188,2),5))</f>
        <v>0</v>
      </c>
      <c r="AB188" s="83">
        <f>IF(O188="Да",ROUND(E188*0.1111,2),0)</f>
        <v>0</v>
      </c>
      <c r="AC188" s="53">
        <f>V188+W188+T188+X188+Y188+Z188+AA188+AB188</f>
        <v>85</v>
      </c>
      <c r="AD188" s="8">
        <v>0</v>
      </c>
      <c r="AE188" s="36">
        <f>ROUND(E188*AD188,2)</f>
        <v>0</v>
      </c>
      <c r="AF188" s="6">
        <v>15</v>
      </c>
      <c r="AG188" s="6">
        <v>15</v>
      </c>
      <c r="AH188" s="5">
        <v>340.29</v>
      </c>
      <c r="AI188" s="57">
        <f>E188-AC188-AE188-AH188</f>
        <v>-425.29</v>
      </c>
      <c r="AJ188" s="17">
        <f>E188-AC188</f>
        <v>-85</v>
      </c>
      <c r="AK188" s="20" t="e">
        <f>ROUND(AI188/E188,2)</f>
        <v>#DIV/0!</v>
      </c>
      <c r="AL188" s="21">
        <f t="shared" si="31"/>
        <v>-1.25</v>
      </c>
    </row>
    <row r="189" spans="1:38" x14ac:dyDescent="0.25">
      <c r="A189" s="27" t="s">
        <v>536</v>
      </c>
      <c r="B189" s="45" t="s">
        <v>526</v>
      </c>
      <c r="C189" s="31"/>
      <c r="D189" s="38">
        <v>0</v>
      </c>
      <c r="E189" s="50">
        <f t="shared" si="30"/>
        <v>0</v>
      </c>
      <c r="F189" s="24">
        <v>0.1</v>
      </c>
      <c r="G189" s="7">
        <v>0</v>
      </c>
      <c r="H189" s="7">
        <v>0</v>
      </c>
      <c r="I189" s="7">
        <v>0</v>
      </c>
      <c r="J189" s="78">
        <f t="shared" si="24"/>
        <v>0</v>
      </c>
      <c r="K189" s="2">
        <f t="shared" si="25"/>
        <v>0.1</v>
      </c>
      <c r="L189" s="8">
        <v>0</v>
      </c>
      <c r="M189" s="1">
        <f t="shared" si="32"/>
        <v>0</v>
      </c>
      <c r="N189" s="41">
        <v>0</v>
      </c>
      <c r="O189" s="84" t="s">
        <v>275</v>
      </c>
      <c r="P189" s="24" t="s">
        <v>562</v>
      </c>
      <c r="Q189" s="7" t="s">
        <v>557</v>
      </c>
      <c r="R189" s="7"/>
      <c r="S189" s="81">
        <v>0.09</v>
      </c>
      <c r="T189" s="7">
        <v>25</v>
      </c>
      <c r="U189" s="82"/>
      <c r="V189" s="83">
        <f>ROUNDUP(E189*S189,2)</f>
        <v>0</v>
      </c>
      <c r="W189" s="83">
        <f>ROUNDUP(E189*0.015,2)</f>
        <v>0</v>
      </c>
      <c r="X189" s="82">
        <f>MAX(MIN(SUMIFS(Логистика!$C$2:$C$38,Логистика!$A$2:$A$38,"&lt;="&amp;K189,Логистика!$B$2:$B$38,"&gt;="&amp;K189)*E189,SUMIFS(Логистика!$E$2:$E$38,Логистика!$A$2:$A$38,"&lt;="&amp;K189,Логистика!$B$2:$B$38,"&gt;="&amp;K189)),SUMIFS(Логистика!$D$2:$D$38,Логистика!$A$2:$A$38,"&lt;="&amp;K189,Логистика!$B$2:$B$38,"&gt;="&amp;K189))</f>
        <v>40</v>
      </c>
      <c r="Y189" s="83">
        <f>IF(AND(E189*0.055&gt;20,E189*0.055&lt;250),ROUNDUP(E189*0.055,2),IF(E189*0.055&lt;=20,20,250))</f>
        <v>20</v>
      </c>
      <c r="Z189" s="83">
        <f>ROUND(M189*0.05,2)</f>
        <v>0</v>
      </c>
      <c r="AA189" s="83">
        <f>IF(N189=0,0,IF(ROUND(E189*N189,2)&gt;5,ROUND(E189*N189,2),5))</f>
        <v>0</v>
      </c>
      <c r="AB189" s="83">
        <f>IF(O189="Да",ROUND(E189*0.1111,2),0)</f>
        <v>0</v>
      </c>
      <c r="AC189" s="53">
        <f>V189+W189+T189+X189+Y189+Z189+AA189+AB189</f>
        <v>85</v>
      </c>
      <c r="AD189" s="8">
        <v>0</v>
      </c>
      <c r="AE189" s="36">
        <f>ROUND(E189*AD189,2)</f>
        <v>0</v>
      </c>
      <c r="AF189" s="6">
        <v>15</v>
      </c>
      <c r="AG189" s="6">
        <v>15</v>
      </c>
      <c r="AH189" s="59">
        <f>AH188*2</f>
        <v>680.58</v>
      </c>
      <c r="AI189" s="57">
        <f>E189-AC189-AE189-AH189</f>
        <v>-765.58</v>
      </c>
      <c r="AJ189" s="17">
        <f>E189-AC189</f>
        <v>-85</v>
      </c>
      <c r="AK189" s="20" t="e">
        <f>ROUND(AI189/E189,2)</f>
        <v>#DIV/0!</v>
      </c>
      <c r="AL189" s="21">
        <f t="shared" si="31"/>
        <v>-1.1200000000000001</v>
      </c>
    </row>
    <row r="190" spans="1:38" x14ac:dyDescent="0.25">
      <c r="A190" s="27" t="s">
        <v>537</v>
      </c>
      <c r="B190" s="45" t="s">
        <v>527</v>
      </c>
      <c r="C190" s="31"/>
      <c r="D190" s="38">
        <v>0</v>
      </c>
      <c r="E190" s="50">
        <f t="shared" si="30"/>
        <v>0</v>
      </c>
      <c r="F190" s="24">
        <v>0.15</v>
      </c>
      <c r="G190" s="7">
        <v>0</v>
      </c>
      <c r="H190" s="7">
        <v>0</v>
      </c>
      <c r="I190" s="7">
        <v>0</v>
      </c>
      <c r="J190" s="78">
        <f t="shared" si="24"/>
        <v>0</v>
      </c>
      <c r="K190" s="2">
        <f t="shared" si="25"/>
        <v>0.2</v>
      </c>
      <c r="L190" s="8">
        <v>0</v>
      </c>
      <c r="M190" s="1">
        <f t="shared" si="32"/>
        <v>0</v>
      </c>
      <c r="N190" s="41">
        <v>0</v>
      </c>
      <c r="O190" s="84" t="s">
        <v>275</v>
      </c>
      <c r="P190" s="24" t="s">
        <v>562</v>
      </c>
      <c r="Q190" s="7" t="s">
        <v>557</v>
      </c>
      <c r="R190" s="7"/>
      <c r="S190" s="81">
        <v>0.09</v>
      </c>
      <c r="T190" s="7">
        <v>25</v>
      </c>
      <c r="U190" s="82"/>
      <c r="V190" s="83">
        <f>ROUNDUP(E190*S190,2)</f>
        <v>0</v>
      </c>
      <c r="W190" s="83">
        <f>ROUNDUP(E190*0.015,2)</f>
        <v>0</v>
      </c>
      <c r="X190" s="82">
        <f>MAX(MIN(SUMIFS(Логистика!$C$2:$C$38,Логистика!$A$2:$A$38,"&lt;="&amp;K190,Логистика!$B$2:$B$38,"&gt;="&amp;K190)*E190,SUMIFS(Логистика!$E$2:$E$38,Логистика!$A$2:$A$38,"&lt;="&amp;K190,Логистика!$B$2:$B$38,"&gt;="&amp;K190)),SUMIFS(Логистика!$D$2:$D$38,Логистика!$A$2:$A$38,"&lt;="&amp;K190,Логистика!$B$2:$B$38,"&gt;="&amp;K190))</f>
        <v>41</v>
      </c>
      <c r="Y190" s="83">
        <f>IF(AND(E190*0.055&gt;20,E190*0.055&lt;250),ROUNDUP(E190*0.055,2),IF(E190*0.055&lt;=20,20,250))</f>
        <v>20</v>
      </c>
      <c r="Z190" s="83">
        <f>ROUND(M190*0.05,2)</f>
        <v>0</v>
      </c>
      <c r="AA190" s="83">
        <f>IF(N190=0,0,IF(ROUND(E190*N190,2)&gt;5,ROUND(E190*N190,2),5))</f>
        <v>0</v>
      </c>
      <c r="AB190" s="83">
        <f>IF(O190="Да",ROUND(E190*0.1111,2),0)</f>
        <v>0</v>
      </c>
      <c r="AC190" s="53">
        <f>V190+W190+T190+X190+Y190+Z190+AA190+AB190</f>
        <v>86</v>
      </c>
      <c r="AD190" s="8">
        <v>0</v>
      </c>
      <c r="AE190" s="36">
        <f>ROUND(E190*AD190,2)</f>
        <v>0</v>
      </c>
      <c r="AF190" s="6">
        <v>15</v>
      </c>
      <c r="AG190" s="6">
        <v>15</v>
      </c>
      <c r="AH190" s="59">
        <f>AH188*3</f>
        <v>1020.8700000000001</v>
      </c>
      <c r="AI190" s="57">
        <f>E190-AC190-AE190-AH190</f>
        <v>-1106.8700000000001</v>
      </c>
      <c r="AJ190" s="17">
        <f>E190-AC190</f>
        <v>-86</v>
      </c>
      <c r="AK190" s="20" t="e">
        <f>ROUND(AI190/E190,2)</f>
        <v>#DIV/0!</v>
      </c>
      <c r="AL190" s="21">
        <f t="shared" si="31"/>
        <v>-1.08</v>
      </c>
    </row>
    <row r="191" spans="1:38" x14ac:dyDescent="0.25">
      <c r="A191" s="27" t="s">
        <v>538</v>
      </c>
      <c r="B191" s="45" t="s">
        <v>528</v>
      </c>
      <c r="C191" s="31"/>
      <c r="D191" s="38">
        <v>0</v>
      </c>
      <c r="E191" s="50">
        <f t="shared" si="30"/>
        <v>0</v>
      </c>
      <c r="F191" s="24">
        <v>0.2</v>
      </c>
      <c r="G191" s="7">
        <v>0</v>
      </c>
      <c r="H191" s="7">
        <v>0</v>
      </c>
      <c r="I191" s="7">
        <v>0</v>
      </c>
      <c r="J191" s="78">
        <f t="shared" si="24"/>
        <v>0</v>
      </c>
      <c r="K191" s="2">
        <f t="shared" si="25"/>
        <v>0.2</v>
      </c>
      <c r="L191" s="8">
        <v>0</v>
      </c>
      <c r="M191" s="1">
        <f t="shared" si="32"/>
        <v>0</v>
      </c>
      <c r="N191" s="41">
        <v>0</v>
      </c>
      <c r="O191" s="84" t="s">
        <v>275</v>
      </c>
      <c r="P191" s="24" t="s">
        <v>562</v>
      </c>
      <c r="Q191" s="7" t="s">
        <v>557</v>
      </c>
      <c r="R191" s="7"/>
      <c r="S191" s="81">
        <v>0.09</v>
      </c>
      <c r="T191" s="7">
        <v>25</v>
      </c>
      <c r="U191" s="82"/>
      <c r="V191" s="83">
        <f>ROUNDUP(E191*S191,2)</f>
        <v>0</v>
      </c>
      <c r="W191" s="83">
        <f>ROUNDUP(E191*0.015,2)</f>
        <v>0</v>
      </c>
      <c r="X191" s="82">
        <f>MAX(MIN(SUMIFS(Логистика!$C$2:$C$38,Логистика!$A$2:$A$38,"&lt;="&amp;K191,Логистика!$B$2:$B$38,"&gt;="&amp;K191)*E191,SUMIFS(Логистика!$E$2:$E$38,Логистика!$A$2:$A$38,"&lt;="&amp;K191,Логистика!$B$2:$B$38,"&gt;="&amp;K191)),SUMIFS(Логистика!$D$2:$D$38,Логистика!$A$2:$A$38,"&lt;="&amp;K191,Логистика!$B$2:$B$38,"&gt;="&amp;K191))</f>
        <v>41</v>
      </c>
      <c r="Y191" s="83">
        <f>IF(AND(E191*0.055&gt;20,E191*0.055&lt;250),ROUNDUP(E191*0.055,2),IF(E191*0.055&lt;=20,20,250))</f>
        <v>20</v>
      </c>
      <c r="Z191" s="83">
        <f>ROUND(M191*0.05,2)</f>
        <v>0</v>
      </c>
      <c r="AA191" s="83">
        <f>IF(N191=0,0,IF(ROUND(E191*N191,2)&gt;5,ROUND(E191*N191,2),5))</f>
        <v>0</v>
      </c>
      <c r="AB191" s="83">
        <f>IF(O191="Да",ROUND(E191*0.1111,2),0)</f>
        <v>0</v>
      </c>
      <c r="AC191" s="53">
        <f>V191+W191+T191+X191+Y191+Z191+AA191+AB191</f>
        <v>86</v>
      </c>
      <c r="AD191" s="8">
        <v>0</v>
      </c>
      <c r="AE191" s="36">
        <f>ROUND(E191*AD191,2)</f>
        <v>0</v>
      </c>
      <c r="AF191" s="6">
        <v>15</v>
      </c>
      <c r="AG191" s="6">
        <v>15</v>
      </c>
      <c r="AH191" s="59">
        <f>AH188*4</f>
        <v>1361.16</v>
      </c>
      <c r="AI191" s="57">
        <f>E191-AC191-AE191-AH191</f>
        <v>-1447.16</v>
      </c>
      <c r="AJ191" s="17">
        <f>E191-AC191</f>
        <v>-86</v>
      </c>
      <c r="AK191" s="20" t="e">
        <f>ROUND(AI191/E191,2)</f>
        <v>#DIV/0!</v>
      </c>
      <c r="AL191" s="21">
        <f t="shared" si="31"/>
        <v>-1.06</v>
      </c>
    </row>
    <row r="192" spans="1:38" x14ac:dyDescent="0.25">
      <c r="A192" s="27" t="s">
        <v>539</v>
      </c>
      <c r="B192" s="45" t="s">
        <v>529</v>
      </c>
      <c r="C192" s="31"/>
      <c r="D192" s="38">
        <v>0</v>
      </c>
      <c r="E192" s="50">
        <f t="shared" si="30"/>
        <v>0</v>
      </c>
      <c r="F192" s="24">
        <v>0.25</v>
      </c>
      <c r="G192" s="7">
        <v>0</v>
      </c>
      <c r="H192" s="7">
        <v>0</v>
      </c>
      <c r="I192" s="7">
        <v>0</v>
      </c>
      <c r="J192" s="78">
        <f t="shared" si="24"/>
        <v>0</v>
      </c>
      <c r="K192" s="2">
        <f t="shared" si="25"/>
        <v>0.3</v>
      </c>
      <c r="L192" s="8">
        <v>0</v>
      </c>
      <c r="M192" s="1">
        <f t="shared" si="32"/>
        <v>0</v>
      </c>
      <c r="N192" s="41">
        <v>0</v>
      </c>
      <c r="O192" s="84" t="s">
        <v>275</v>
      </c>
      <c r="P192" s="24" t="s">
        <v>562</v>
      </c>
      <c r="Q192" s="7" t="s">
        <v>557</v>
      </c>
      <c r="R192" s="7"/>
      <c r="S192" s="81">
        <v>0.09</v>
      </c>
      <c r="T192" s="7">
        <v>25</v>
      </c>
      <c r="U192" s="82"/>
      <c r="V192" s="83">
        <f>ROUNDUP(E192*S192,2)</f>
        <v>0</v>
      </c>
      <c r="W192" s="83">
        <f>ROUNDUP(E192*0.015,2)</f>
        <v>0</v>
      </c>
      <c r="X192" s="82">
        <f>MAX(MIN(SUMIFS(Логистика!$C$2:$C$38,Логистика!$A$2:$A$38,"&lt;="&amp;K192,Логистика!$B$2:$B$38,"&gt;="&amp;K192)*E192,SUMIFS(Логистика!$E$2:$E$38,Логистика!$A$2:$A$38,"&lt;="&amp;K192,Логистика!$B$2:$B$38,"&gt;="&amp;K192)),SUMIFS(Логистика!$D$2:$D$38,Логистика!$A$2:$A$38,"&lt;="&amp;K192,Логистика!$B$2:$B$38,"&gt;="&amp;K192))</f>
        <v>42</v>
      </c>
      <c r="Y192" s="83">
        <f>IF(AND(E192*0.055&gt;20,E192*0.055&lt;250),ROUNDUP(E192*0.055,2),IF(E192*0.055&lt;=20,20,250))</f>
        <v>20</v>
      </c>
      <c r="Z192" s="83">
        <f>ROUND(M192*0.05,2)</f>
        <v>0</v>
      </c>
      <c r="AA192" s="83">
        <f>IF(N192=0,0,IF(ROUND(E192*N192,2)&gt;5,ROUND(E192*N192,2),5))</f>
        <v>0</v>
      </c>
      <c r="AB192" s="83">
        <f>IF(O192="Да",ROUND(E192*0.1111,2),0)</f>
        <v>0</v>
      </c>
      <c r="AC192" s="53">
        <f>V192+W192+T192+X192+Y192+Z192+AA192+AB192</f>
        <v>87</v>
      </c>
      <c r="AD192" s="8">
        <v>0</v>
      </c>
      <c r="AE192" s="36">
        <f>ROUND(E192*AD192,2)</f>
        <v>0</v>
      </c>
      <c r="AF192" s="6">
        <v>15</v>
      </c>
      <c r="AG192" s="6">
        <v>15</v>
      </c>
      <c r="AH192" s="59">
        <f>AH188*5</f>
        <v>1701.45</v>
      </c>
      <c r="AI192" s="57">
        <f>E192-AC192-AE192-AH192</f>
        <v>-1788.45</v>
      </c>
      <c r="AJ192" s="17">
        <f>E192-AC192</f>
        <v>-87</v>
      </c>
      <c r="AK192" s="20" t="e">
        <f>ROUND(AI192/E192,2)</f>
        <v>#DIV/0!</v>
      </c>
      <c r="AL192" s="21">
        <f t="shared" si="31"/>
        <v>-1.05</v>
      </c>
    </row>
    <row r="193" spans="1:38" x14ac:dyDescent="0.25">
      <c r="A193" s="27" t="s">
        <v>540</v>
      </c>
      <c r="B193" s="45" t="s">
        <v>530</v>
      </c>
      <c r="C193" s="31"/>
      <c r="D193" s="38">
        <v>0</v>
      </c>
      <c r="E193" s="50">
        <f t="shared" si="30"/>
        <v>0</v>
      </c>
      <c r="F193" s="24">
        <v>0.3</v>
      </c>
      <c r="G193" s="7">
        <v>0</v>
      </c>
      <c r="H193" s="7">
        <v>0</v>
      </c>
      <c r="I193" s="7">
        <v>0</v>
      </c>
      <c r="J193" s="78">
        <f t="shared" si="24"/>
        <v>0</v>
      </c>
      <c r="K193" s="2">
        <f t="shared" si="25"/>
        <v>0.3</v>
      </c>
      <c r="L193" s="8">
        <v>0</v>
      </c>
      <c r="M193" s="1">
        <f t="shared" si="32"/>
        <v>0</v>
      </c>
      <c r="N193" s="41">
        <v>0</v>
      </c>
      <c r="O193" s="84" t="s">
        <v>275</v>
      </c>
      <c r="P193" s="24" t="s">
        <v>562</v>
      </c>
      <c r="Q193" s="7" t="s">
        <v>557</v>
      </c>
      <c r="R193" s="7"/>
      <c r="S193" s="81">
        <v>0.09</v>
      </c>
      <c r="T193" s="7">
        <v>25</v>
      </c>
      <c r="U193" s="82"/>
      <c r="V193" s="83">
        <f>ROUNDUP(E193*S193,2)</f>
        <v>0</v>
      </c>
      <c r="W193" s="83">
        <f>ROUNDUP(E193*0.015,2)</f>
        <v>0</v>
      </c>
      <c r="X193" s="82">
        <f>MAX(MIN(SUMIFS(Логистика!$C$2:$C$38,Логистика!$A$2:$A$38,"&lt;="&amp;K193,Логистика!$B$2:$B$38,"&gt;="&amp;K193)*E193,SUMIFS(Логистика!$E$2:$E$38,Логистика!$A$2:$A$38,"&lt;="&amp;K193,Логистика!$B$2:$B$38,"&gt;="&amp;K193)),SUMIFS(Логистика!$D$2:$D$38,Логистика!$A$2:$A$38,"&lt;="&amp;K193,Логистика!$B$2:$B$38,"&gt;="&amp;K193))</f>
        <v>42</v>
      </c>
      <c r="Y193" s="83">
        <f>IF(AND(E193*0.055&gt;20,E193*0.055&lt;250),ROUNDUP(E193*0.055,2),IF(E193*0.055&lt;=20,20,250))</f>
        <v>20</v>
      </c>
      <c r="Z193" s="83">
        <f>ROUND(M193*0.05,2)</f>
        <v>0</v>
      </c>
      <c r="AA193" s="83">
        <f>IF(N193=0,0,IF(ROUND(E193*N193,2)&gt;5,ROUND(E193*N193,2),5))</f>
        <v>0</v>
      </c>
      <c r="AB193" s="83">
        <f>IF(O193="Да",ROUND(E193*0.1111,2),0)</f>
        <v>0</v>
      </c>
      <c r="AC193" s="53">
        <f>V193+W193+T193+X193+Y193+Z193+AA193+AB193</f>
        <v>87</v>
      </c>
      <c r="AD193" s="8">
        <v>0</v>
      </c>
      <c r="AE193" s="36">
        <f>ROUND(E193*AD193,2)</f>
        <v>0</v>
      </c>
      <c r="AF193" s="6">
        <v>15</v>
      </c>
      <c r="AG193" s="6">
        <v>15</v>
      </c>
      <c r="AH193" s="59">
        <f>AH188*6</f>
        <v>2041.7400000000002</v>
      </c>
      <c r="AI193" s="57">
        <f>E193-AC193-AE193-AH193</f>
        <v>-2128.7400000000002</v>
      </c>
      <c r="AJ193" s="17">
        <f>E193-AC193</f>
        <v>-87</v>
      </c>
      <c r="AK193" s="20" t="e">
        <f>ROUND(AI193/E193,2)</f>
        <v>#DIV/0!</v>
      </c>
      <c r="AL193" s="21">
        <f t="shared" si="31"/>
        <v>-1.04</v>
      </c>
    </row>
    <row r="194" spans="1:38" x14ac:dyDescent="0.25">
      <c r="A194" s="27" t="s">
        <v>541</v>
      </c>
      <c r="B194" s="45" t="s">
        <v>531</v>
      </c>
      <c r="C194" s="31"/>
      <c r="D194" s="38">
        <v>0</v>
      </c>
      <c r="E194" s="50">
        <f t="shared" si="30"/>
        <v>0</v>
      </c>
      <c r="F194" s="24">
        <v>0.4</v>
      </c>
      <c r="G194" s="7">
        <v>0</v>
      </c>
      <c r="H194" s="7">
        <v>0</v>
      </c>
      <c r="I194" s="7">
        <v>0</v>
      </c>
      <c r="J194" s="78">
        <f t="shared" si="24"/>
        <v>0</v>
      </c>
      <c r="K194" s="2">
        <f t="shared" si="25"/>
        <v>0.4</v>
      </c>
      <c r="L194" s="8">
        <v>0</v>
      </c>
      <c r="M194" s="1">
        <f t="shared" si="32"/>
        <v>0</v>
      </c>
      <c r="N194" s="41">
        <v>0</v>
      </c>
      <c r="O194" s="84" t="s">
        <v>275</v>
      </c>
      <c r="P194" s="24" t="s">
        <v>562</v>
      </c>
      <c r="Q194" s="7" t="s">
        <v>557</v>
      </c>
      <c r="R194" s="7"/>
      <c r="S194" s="81">
        <v>0.09</v>
      </c>
      <c r="T194" s="7">
        <v>25</v>
      </c>
      <c r="U194" s="82"/>
      <c r="V194" s="83">
        <f>ROUNDUP(E194*S194,2)</f>
        <v>0</v>
      </c>
      <c r="W194" s="83">
        <f>ROUNDUP(E194*0.015,2)</f>
        <v>0</v>
      </c>
      <c r="X194" s="82">
        <f>MAX(MIN(SUMIFS(Логистика!$C$2:$C$38,Логистика!$A$2:$A$38,"&lt;="&amp;K194,Логистика!$B$2:$B$38,"&gt;="&amp;K194)*E194,SUMIFS(Логистика!$E$2:$E$38,Логистика!$A$2:$A$38,"&lt;="&amp;K194,Логистика!$B$2:$B$38,"&gt;="&amp;K194)),SUMIFS(Логистика!$D$2:$D$38,Логистика!$A$2:$A$38,"&lt;="&amp;K194,Логистика!$B$2:$B$38,"&gt;="&amp;K194))</f>
        <v>43</v>
      </c>
      <c r="Y194" s="83">
        <f>IF(AND(E194*0.055&gt;20,E194*0.055&lt;250),ROUNDUP(E194*0.055,2),IF(E194*0.055&lt;=20,20,250))</f>
        <v>20</v>
      </c>
      <c r="Z194" s="83">
        <f>ROUND(M194*0.05,2)</f>
        <v>0</v>
      </c>
      <c r="AA194" s="83">
        <f>IF(N194=0,0,IF(ROUND(E194*N194,2)&gt;5,ROUND(E194*N194,2),5))</f>
        <v>0</v>
      </c>
      <c r="AB194" s="83">
        <f>IF(O194="Да",ROUND(E194*0.1111,2),0)</f>
        <v>0</v>
      </c>
      <c r="AC194" s="53">
        <f>V194+W194+T194+X194+Y194+Z194+AA194+AB194</f>
        <v>88</v>
      </c>
      <c r="AD194" s="8">
        <v>0</v>
      </c>
      <c r="AE194" s="36">
        <f>ROUND(E194*AD194,2)</f>
        <v>0</v>
      </c>
      <c r="AF194" s="6">
        <v>15</v>
      </c>
      <c r="AG194" s="6">
        <v>15</v>
      </c>
      <c r="AH194" s="59">
        <f>AH188*8</f>
        <v>2722.32</v>
      </c>
      <c r="AI194" s="57">
        <f>E194-AC194-AE194-AH194</f>
        <v>-2810.32</v>
      </c>
      <c r="AJ194" s="17">
        <f>E194-AC194</f>
        <v>-88</v>
      </c>
      <c r="AK194" s="20" t="e">
        <f>ROUND(AI194/E194,2)</f>
        <v>#DIV/0!</v>
      </c>
      <c r="AL194" s="21">
        <f t="shared" si="31"/>
        <v>-1.03</v>
      </c>
    </row>
    <row r="195" spans="1:38" x14ac:dyDescent="0.25">
      <c r="A195" s="27" t="s">
        <v>542</v>
      </c>
      <c r="B195" s="45" t="s">
        <v>532</v>
      </c>
      <c r="C195" s="31"/>
      <c r="D195" s="38">
        <v>0</v>
      </c>
      <c r="E195" s="50">
        <f t="shared" si="30"/>
        <v>0</v>
      </c>
      <c r="F195" s="24">
        <v>0.5</v>
      </c>
      <c r="G195" s="7">
        <v>0</v>
      </c>
      <c r="H195" s="7">
        <v>0</v>
      </c>
      <c r="I195" s="7">
        <v>0</v>
      </c>
      <c r="J195" s="78">
        <f t="shared" si="24"/>
        <v>0</v>
      </c>
      <c r="K195" s="2">
        <f t="shared" si="25"/>
        <v>0.5</v>
      </c>
      <c r="L195" s="8">
        <v>0</v>
      </c>
      <c r="M195" s="1">
        <f t="shared" si="32"/>
        <v>0</v>
      </c>
      <c r="N195" s="41">
        <v>0</v>
      </c>
      <c r="O195" s="84" t="s">
        <v>275</v>
      </c>
      <c r="P195" s="24" t="s">
        <v>562</v>
      </c>
      <c r="Q195" s="7" t="s">
        <v>557</v>
      </c>
      <c r="R195" s="7"/>
      <c r="S195" s="81">
        <v>0.09</v>
      </c>
      <c r="T195" s="7">
        <v>25</v>
      </c>
      <c r="U195" s="82"/>
      <c r="V195" s="83">
        <f>ROUNDUP(E195*S195,2)</f>
        <v>0</v>
      </c>
      <c r="W195" s="83">
        <f>ROUNDUP(E195*0.015,2)</f>
        <v>0</v>
      </c>
      <c r="X195" s="82">
        <f>MAX(MIN(SUMIFS(Логистика!$C$2:$C$38,Логистика!$A$2:$A$38,"&lt;="&amp;K195,Логистика!$B$2:$B$38,"&gt;="&amp;K195)*E195,SUMIFS(Логистика!$E$2:$E$38,Логистика!$A$2:$A$38,"&lt;="&amp;K195,Логистика!$B$2:$B$38,"&gt;="&amp;K195)),SUMIFS(Логистика!$D$2:$D$38,Логистика!$A$2:$A$38,"&lt;="&amp;K195,Логистика!$B$2:$B$38,"&gt;="&amp;K195))</f>
        <v>43</v>
      </c>
      <c r="Y195" s="83">
        <f>IF(AND(E195*0.055&gt;20,E195*0.055&lt;250),ROUNDUP(E195*0.055,2),IF(E195*0.055&lt;=20,20,250))</f>
        <v>20</v>
      </c>
      <c r="Z195" s="83">
        <f>ROUND(M195*0.05,2)</f>
        <v>0</v>
      </c>
      <c r="AA195" s="83">
        <f>IF(N195=0,0,IF(ROUND(E195*N195,2)&gt;5,ROUND(E195*N195,2),5))</f>
        <v>0</v>
      </c>
      <c r="AB195" s="83">
        <f>IF(O195="Да",ROUND(E195*0.1111,2),0)</f>
        <v>0</v>
      </c>
      <c r="AC195" s="53">
        <f>V195+W195+T195+X195+Y195+Z195+AA195+AB195</f>
        <v>88</v>
      </c>
      <c r="AD195" s="8">
        <v>0</v>
      </c>
      <c r="AE195" s="36">
        <f>ROUND(E195*AD195,2)</f>
        <v>0</v>
      </c>
      <c r="AF195" s="6">
        <v>15</v>
      </c>
      <c r="AG195" s="6">
        <v>15</v>
      </c>
      <c r="AH195" s="59">
        <f>AH188*10</f>
        <v>3402.9</v>
      </c>
      <c r="AI195" s="57">
        <f>E195-AC195-AE195-AH195</f>
        <v>-3490.9</v>
      </c>
      <c r="AJ195" s="17">
        <f>E195-AC195</f>
        <v>-88</v>
      </c>
      <c r="AK195" s="20" t="e">
        <f>ROUND(AI195/E195,2)</f>
        <v>#DIV/0!</v>
      </c>
      <c r="AL195" s="21">
        <f t="shared" si="31"/>
        <v>-1.03</v>
      </c>
    </row>
    <row r="196" spans="1:38" x14ac:dyDescent="0.25">
      <c r="A196" s="27" t="s">
        <v>543</v>
      </c>
      <c r="B196" s="45" t="s">
        <v>533</v>
      </c>
      <c r="C196" s="31"/>
      <c r="D196" s="38">
        <v>0</v>
      </c>
      <c r="E196" s="50">
        <f t="shared" si="30"/>
        <v>0</v>
      </c>
      <c r="F196" s="24">
        <v>0.8</v>
      </c>
      <c r="G196" s="7">
        <v>0</v>
      </c>
      <c r="H196" s="7">
        <v>0</v>
      </c>
      <c r="I196" s="7">
        <v>0</v>
      </c>
      <c r="J196" s="78">
        <f t="shared" ref="J196:J259" si="33">G196*H196*I196/1000</f>
        <v>0</v>
      </c>
      <c r="K196" s="2">
        <f t="shared" si="25"/>
        <v>0.8</v>
      </c>
      <c r="L196" s="8">
        <v>0</v>
      </c>
      <c r="M196" s="1">
        <f t="shared" si="28"/>
        <v>0</v>
      </c>
      <c r="N196" s="41">
        <v>0</v>
      </c>
      <c r="O196" s="84" t="s">
        <v>275</v>
      </c>
      <c r="P196" s="24" t="s">
        <v>562</v>
      </c>
      <c r="Q196" s="7" t="s">
        <v>557</v>
      </c>
      <c r="R196" s="7"/>
      <c r="S196" s="81">
        <v>0.09</v>
      </c>
      <c r="T196" s="7">
        <v>25</v>
      </c>
      <c r="U196" s="82"/>
      <c r="V196" s="83">
        <f>ROUNDUP(E196*S196,2)</f>
        <v>0</v>
      </c>
      <c r="W196" s="83">
        <f>ROUNDUP(E196*0.015,2)</f>
        <v>0</v>
      </c>
      <c r="X196" s="82">
        <f>MAX(MIN(SUMIFS(Логистика!$C$2:$C$38,Логистика!$A$2:$A$38,"&lt;="&amp;K196,Логистика!$B$2:$B$38,"&gt;="&amp;K196)*E196,SUMIFS(Логистика!$E$2:$E$38,Логистика!$A$2:$A$38,"&lt;="&amp;K196,Логистика!$B$2:$B$38,"&gt;="&amp;K196)),SUMIFS(Логистика!$D$2:$D$38,Логистика!$A$2:$A$38,"&lt;="&amp;K196,Логистика!$B$2:$B$38,"&gt;="&amp;K196))</f>
        <v>47</v>
      </c>
      <c r="Y196" s="83">
        <f>IF(AND(E196*0.055&gt;20,E196*0.055&lt;250),ROUNDUP(E196*0.055,2),IF(E196*0.055&lt;=20,20,250))</f>
        <v>20</v>
      </c>
      <c r="Z196" s="83">
        <f>ROUND(M196*0.05,2)</f>
        <v>0</v>
      </c>
      <c r="AA196" s="83">
        <f>IF(N196=0,0,IF(ROUND(E196*N196,2)&gt;5,ROUND(E196*N196,2),5))</f>
        <v>0</v>
      </c>
      <c r="AB196" s="83">
        <f>IF(O196="Да",ROUND(E196*0.1111,2),0)</f>
        <v>0</v>
      </c>
      <c r="AC196" s="53">
        <f>V196+W196+T196+X196+Y196+Z196+AA196+AB196</f>
        <v>92</v>
      </c>
      <c r="AD196" s="8">
        <v>0</v>
      </c>
      <c r="AE196" s="36">
        <f>ROUND(E196*AD196,2)</f>
        <v>0</v>
      </c>
      <c r="AF196" s="6">
        <v>15</v>
      </c>
      <c r="AG196" s="6">
        <v>15</v>
      </c>
      <c r="AH196" s="59">
        <f>AH188*16</f>
        <v>5444.64</v>
      </c>
      <c r="AI196" s="57">
        <f>E196-AC196-AE196-AH196</f>
        <v>-5536.64</v>
      </c>
      <c r="AJ196" s="17">
        <f>E196-AC196</f>
        <v>-92</v>
      </c>
      <c r="AK196" s="20" t="e">
        <f>ROUND(AI196/E196,2)</f>
        <v>#DIV/0!</v>
      </c>
      <c r="AL196" s="21">
        <f t="shared" si="12"/>
        <v>-1.02</v>
      </c>
    </row>
    <row r="197" spans="1:38" x14ac:dyDescent="0.25">
      <c r="A197" s="27" t="s">
        <v>544</v>
      </c>
      <c r="B197" s="45" t="s">
        <v>534</v>
      </c>
      <c r="C197" s="31"/>
      <c r="D197" s="38">
        <v>0</v>
      </c>
      <c r="E197" s="50">
        <f t="shared" si="29"/>
        <v>0</v>
      </c>
      <c r="F197" s="24">
        <v>1</v>
      </c>
      <c r="G197" s="7">
        <v>0</v>
      </c>
      <c r="H197" s="7">
        <v>0</v>
      </c>
      <c r="I197" s="7">
        <v>0</v>
      </c>
      <c r="J197" s="78">
        <f t="shared" si="33"/>
        <v>0</v>
      </c>
      <c r="K197" s="2">
        <f t="shared" ref="K197:K260" si="34">ROUND(IF(J197/5&gt;F197,J197/5,F197),1)</f>
        <v>1</v>
      </c>
      <c r="L197" s="8">
        <v>0</v>
      </c>
      <c r="M197" s="1">
        <f t="shared" si="28"/>
        <v>0</v>
      </c>
      <c r="N197" s="41">
        <v>0</v>
      </c>
      <c r="O197" s="84" t="s">
        <v>275</v>
      </c>
      <c r="P197" s="24" t="s">
        <v>562</v>
      </c>
      <c r="Q197" s="7" t="s">
        <v>557</v>
      </c>
      <c r="R197" s="7"/>
      <c r="S197" s="81">
        <v>0.09</v>
      </c>
      <c r="T197" s="7">
        <v>25</v>
      </c>
      <c r="U197" s="82"/>
      <c r="V197" s="83">
        <f>ROUNDUP(E197*S197,2)</f>
        <v>0</v>
      </c>
      <c r="W197" s="83">
        <f>ROUNDUP(E197*0.015,2)</f>
        <v>0</v>
      </c>
      <c r="X197" s="82">
        <f>MAX(MIN(SUMIFS(Логистика!$C$2:$C$38,Логистика!$A$2:$A$38,"&lt;="&amp;K197,Логистика!$B$2:$B$38,"&gt;="&amp;K197)*E197,SUMIFS(Логистика!$E$2:$E$38,Логистика!$A$2:$A$38,"&lt;="&amp;K197,Логистика!$B$2:$B$38,"&gt;="&amp;K197)),SUMIFS(Логистика!$D$2:$D$38,Логистика!$A$2:$A$38,"&lt;="&amp;K197,Логистика!$B$2:$B$38,"&gt;="&amp;K197))</f>
        <v>51</v>
      </c>
      <c r="Y197" s="83">
        <f>IF(AND(E197*0.055&gt;20,E197*0.055&lt;250),ROUNDUP(E197*0.055,2),IF(E197*0.055&lt;=20,20,250))</f>
        <v>20</v>
      </c>
      <c r="Z197" s="83">
        <f>ROUND(M197*0.05,2)</f>
        <v>0</v>
      </c>
      <c r="AA197" s="83">
        <f>IF(N197=0,0,IF(ROUND(E197*N197,2)&gt;5,ROUND(E197*N197,2),5))</f>
        <v>0</v>
      </c>
      <c r="AB197" s="83">
        <f>IF(O197="Да",ROUND(E197*0.1111,2),0)</f>
        <v>0</v>
      </c>
      <c r="AC197" s="53">
        <f>V197+W197+T197+X197+Y197+Z197+AA197+AB197</f>
        <v>96</v>
      </c>
      <c r="AD197" s="8">
        <v>0</v>
      </c>
      <c r="AE197" s="36">
        <f>ROUND(E197*AD197,2)</f>
        <v>0</v>
      </c>
      <c r="AF197" s="6">
        <v>15</v>
      </c>
      <c r="AG197" s="6">
        <v>15</v>
      </c>
      <c r="AH197" s="59">
        <f>AH188*20</f>
        <v>6805.8</v>
      </c>
      <c r="AI197" s="57">
        <f>E197-AC197-AE197-AH197</f>
        <v>-6901.8</v>
      </c>
      <c r="AJ197" s="17">
        <f>E197-AC197</f>
        <v>-96</v>
      </c>
      <c r="AK197" s="20" t="e">
        <f>ROUND(AI197/E197,2)</f>
        <v>#DIV/0!</v>
      </c>
      <c r="AL197" s="21">
        <f t="shared" si="12"/>
        <v>-1.01</v>
      </c>
    </row>
    <row r="198" spans="1:38" x14ac:dyDescent="0.25">
      <c r="A198" s="27"/>
      <c r="B198" s="45"/>
      <c r="C198" s="31"/>
      <c r="D198" s="38">
        <v>0</v>
      </c>
      <c r="E198" s="50">
        <f t="shared" si="29"/>
        <v>0</v>
      </c>
      <c r="F198" s="24"/>
      <c r="G198" s="7">
        <v>0</v>
      </c>
      <c r="H198" s="7">
        <v>0</v>
      </c>
      <c r="I198" s="7">
        <v>0</v>
      </c>
      <c r="J198" s="78">
        <f t="shared" si="33"/>
        <v>0</v>
      </c>
      <c r="K198" s="2">
        <f t="shared" si="34"/>
        <v>0</v>
      </c>
      <c r="L198" s="8">
        <v>0</v>
      </c>
      <c r="M198" s="1">
        <f t="shared" si="28"/>
        <v>0</v>
      </c>
      <c r="N198" s="41">
        <v>0</v>
      </c>
      <c r="O198" s="84" t="s">
        <v>275</v>
      </c>
      <c r="P198" s="24" t="s">
        <v>562</v>
      </c>
      <c r="Q198" s="7" t="s">
        <v>557</v>
      </c>
      <c r="R198" s="7"/>
      <c r="S198" s="81">
        <v>0.09</v>
      </c>
      <c r="T198" s="7">
        <v>25</v>
      </c>
      <c r="U198" s="82"/>
      <c r="V198" s="83">
        <f>ROUNDUP(E198*S198,2)</f>
        <v>0</v>
      </c>
      <c r="W198" s="83">
        <f>ROUNDUP(E198*0.015,2)</f>
        <v>0</v>
      </c>
      <c r="X198" s="82">
        <f>MAX(MIN(SUMIFS(Логистика!$C$2:$C$38,Логистика!$A$2:$A$38,"&lt;="&amp;K198,Логистика!$B$2:$B$38,"&gt;="&amp;K198)*E198,SUMIFS(Логистика!$E$2:$E$38,Логистика!$A$2:$A$38,"&lt;="&amp;K198,Логистика!$B$2:$B$38,"&gt;="&amp;K198)),SUMIFS(Логистика!$D$2:$D$38,Логистика!$A$2:$A$38,"&lt;="&amp;K198,Логистика!$B$2:$B$38,"&gt;="&amp;K198))</f>
        <v>0</v>
      </c>
      <c r="Y198" s="83">
        <f>IF(AND(E198*0.055&gt;20,E198*0.055&lt;250),ROUNDUP(E198*0.055,2),IF(E198*0.055&lt;=20,20,250))</f>
        <v>20</v>
      </c>
      <c r="Z198" s="83">
        <f>ROUND(M198*0.05,2)</f>
        <v>0</v>
      </c>
      <c r="AA198" s="83">
        <f>IF(N198=0,0,IF(ROUND(E198*N198,2)&gt;5,ROUND(E198*N198,2),5))</f>
        <v>0</v>
      </c>
      <c r="AB198" s="83">
        <f>IF(O198="Да",ROUND(E198*0.1111,2),0)</f>
        <v>0</v>
      </c>
      <c r="AC198" s="53">
        <f>V198+W198+T198+X198+Y198+Z198+AA198+AB198</f>
        <v>45</v>
      </c>
      <c r="AD198" s="8">
        <v>0</v>
      </c>
      <c r="AE198" s="36">
        <f>ROUND(E198*AD198,2)</f>
        <v>0</v>
      </c>
      <c r="AF198" s="6">
        <v>15</v>
      </c>
      <c r="AG198" s="6">
        <v>15</v>
      </c>
      <c r="AH198" s="5"/>
      <c r="AI198" s="57">
        <f>E198-AC198-AE198-AH198</f>
        <v>-45</v>
      </c>
      <c r="AJ198" s="17">
        <f>E198-AC198</f>
        <v>-45</v>
      </c>
      <c r="AK198" s="20" t="e">
        <f>ROUND(AI198/E198,2)</f>
        <v>#DIV/0!</v>
      </c>
      <c r="AL198" s="21" t="e">
        <f t="shared" si="12"/>
        <v>#DIV/0!</v>
      </c>
    </row>
    <row r="199" spans="1:38" x14ac:dyDescent="0.25">
      <c r="A199" s="27"/>
      <c r="B199" s="45"/>
      <c r="C199" s="31"/>
      <c r="D199" s="38">
        <v>0</v>
      </c>
      <c r="E199" s="50">
        <f t="shared" si="29"/>
        <v>0</v>
      </c>
      <c r="F199" s="24"/>
      <c r="G199" s="7">
        <v>0</v>
      </c>
      <c r="H199" s="7">
        <v>0</v>
      </c>
      <c r="I199" s="7">
        <v>0</v>
      </c>
      <c r="J199" s="78">
        <f t="shared" si="33"/>
        <v>0</v>
      </c>
      <c r="K199" s="2">
        <f t="shared" si="34"/>
        <v>0</v>
      </c>
      <c r="L199" s="8">
        <v>0</v>
      </c>
      <c r="M199" s="1">
        <f t="shared" si="28"/>
        <v>0</v>
      </c>
      <c r="N199" s="41">
        <v>0</v>
      </c>
      <c r="O199" s="84" t="s">
        <v>275</v>
      </c>
      <c r="P199" s="24" t="s">
        <v>562</v>
      </c>
      <c r="Q199" s="7" t="s">
        <v>557</v>
      </c>
      <c r="R199" s="7"/>
      <c r="S199" s="81">
        <v>0.09</v>
      </c>
      <c r="T199" s="7">
        <v>25</v>
      </c>
      <c r="U199" s="82"/>
      <c r="V199" s="83">
        <f>ROUNDUP(E199*S199,2)</f>
        <v>0</v>
      </c>
      <c r="W199" s="83">
        <f>ROUNDUP(E199*0.015,2)</f>
        <v>0</v>
      </c>
      <c r="X199" s="82">
        <f>MAX(MIN(SUMIFS(Логистика!$C$2:$C$38,Логистика!$A$2:$A$38,"&lt;="&amp;K199,Логистика!$B$2:$B$38,"&gt;="&amp;K199)*E199,SUMIFS(Логистика!$E$2:$E$38,Логистика!$A$2:$A$38,"&lt;="&amp;K199,Логистика!$B$2:$B$38,"&gt;="&amp;K199)),SUMIFS(Логистика!$D$2:$D$38,Логистика!$A$2:$A$38,"&lt;="&amp;K199,Логистика!$B$2:$B$38,"&gt;="&amp;K199))</f>
        <v>0</v>
      </c>
      <c r="Y199" s="83">
        <f>IF(AND(E199*0.055&gt;20,E199*0.055&lt;250),ROUNDUP(E199*0.055,2),IF(E199*0.055&lt;=20,20,250))</f>
        <v>20</v>
      </c>
      <c r="Z199" s="83">
        <f>ROUND(M199*0.05,2)</f>
        <v>0</v>
      </c>
      <c r="AA199" s="83">
        <f>IF(N199=0,0,IF(ROUND(E199*N199,2)&gt;5,ROUND(E199*N199,2),5))</f>
        <v>0</v>
      </c>
      <c r="AB199" s="83">
        <f>IF(O199="Да",ROUND(E199*0.1111,2),0)</f>
        <v>0</v>
      </c>
      <c r="AC199" s="53">
        <f>V199+W199+T199+X199+Y199+Z199+AA199+AB199</f>
        <v>45</v>
      </c>
      <c r="AD199" s="8">
        <v>0</v>
      </c>
      <c r="AE199" s="36">
        <f>ROUND(E199*AD199,2)</f>
        <v>0</v>
      </c>
      <c r="AF199" s="6">
        <v>15</v>
      </c>
      <c r="AG199" s="6">
        <v>15</v>
      </c>
      <c r="AH199" s="5"/>
      <c r="AI199" s="57">
        <f>E199-AC199-AE199-AH199</f>
        <v>-45</v>
      </c>
      <c r="AJ199" s="17">
        <f>E199-AC199</f>
        <v>-45</v>
      </c>
      <c r="AK199" s="20" t="e">
        <f>ROUND(AI199/E199,2)</f>
        <v>#DIV/0!</v>
      </c>
      <c r="AL199" s="21" t="e">
        <f t="shared" si="10"/>
        <v>#DIV/0!</v>
      </c>
    </row>
    <row r="200" spans="1:38" x14ac:dyDescent="0.25">
      <c r="A200" s="27" t="s">
        <v>68</v>
      </c>
      <c r="B200" s="45" t="s">
        <v>58</v>
      </c>
      <c r="C200" s="31">
        <v>370</v>
      </c>
      <c r="D200" s="38">
        <v>0</v>
      </c>
      <c r="E200" s="50">
        <f t="shared" si="29"/>
        <v>370</v>
      </c>
      <c r="F200" s="24">
        <v>0.1</v>
      </c>
      <c r="G200" s="7">
        <v>14.000000000000002</v>
      </c>
      <c r="H200" s="7">
        <v>10</v>
      </c>
      <c r="I200" s="7">
        <v>6</v>
      </c>
      <c r="J200" s="78">
        <f t="shared" si="33"/>
        <v>0.84000000000000019</v>
      </c>
      <c r="K200" s="2">
        <f t="shared" si="34"/>
        <v>0.2</v>
      </c>
      <c r="L200" s="8">
        <v>0</v>
      </c>
      <c r="M200" s="1">
        <f t="shared" si="28"/>
        <v>0</v>
      </c>
      <c r="N200" s="41">
        <v>0</v>
      </c>
      <c r="O200" s="84" t="s">
        <v>275</v>
      </c>
      <c r="P200" s="24" t="s">
        <v>562</v>
      </c>
      <c r="Q200" s="7" t="s">
        <v>557</v>
      </c>
      <c r="R200" s="7"/>
      <c r="S200" s="81">
        <v>0.09</v>
      </c>
      <c r="T200" s="7">
        <v>25</v>
      </c>
      <c r="U200" s="82"/>
      <c r="V200" s="83">
        <f>ROUNDUP(E200*S200,2)</f>
        <v>33.299999999999997</v>
      </c>
      <c r="W200" s="83">
        <f>ROUNDUP(E200*0.015,2)</f>
        <v>5.55</v>
      </c>
      <c r="X200" s="82">
        <f>MAX(MIN(SUMIFS(Логистика!$C$2:$C$38,Логистика!$A$2:$A$38,"&lt;="&amp;K200,Логистика!$B$2:$B$38,"&gt;="&amp;K200)*E200,SUMIFS(Логистика!$E$2:$E$38,Логистика!$A$2:$A$38,"&lt;="&amp;K200,Логистика!$B$2:$B$38,"&gt;="&amp;K200)),SUMIFS(Логистика!$D$2:$D$38,Логистика!$A$2:$A$38,"&lt;="&amp;K200,Логистика!$B$2:$B$38,"&gt;="&amp;K200))</f>
        <v>41</v>
      </c>
      <c r="Y200" s="83">
        <f>IF(AND(E200*0.055&gt;20,E200*0.055&lt;250),ROUNDUP(E200*0.055,2),IF(E200*0.055&lt;=20,20,250))</f>
        <v>20.350000000000001</v>
      </c>
      <c r="Z200" s="83">
        <f>ROUND(M200*0.05,2)</f>
        <v>0</v>
      </c>
      <c r="AA200" s="83">
        <f>IF(N200=0,0,IF(ROUND(E200*N200,2)&gt;5,ROUND(E200*N200,2),5))</f>
        <v>0</v>
      </c>
      <c r="AB200" s="83">
        <f>IF(O200="Да",ROUND(E200*0.1111,2),0)</f>
        <v>0</v>
      </c>
      <c r="AC200" s="53">
        <f>V200+W200+T200+X200+Y200+Z200+AA200+AB200</f>
        <v>125.19999999999999</v>
      </c>
      <c r="AD200" s="8">
        <v>0</v>
      </c>
      <c r="AE200" s="36">
        <f>ROUND(E200*AD200,2)</f>
        <v>0</v>
      </c>
      <c r="AF200" s="6">
        <v>15</v>
      </c>
      <c r="AG200" s="6">
        <v>15</v>
      </c>
      <c r="AH200" s="5">
        <v>152</v>
      </c>
      <c r="AI200" s="57">
        <f>E200-AC200-AE200-AH200</f>
        <v>92.800000000000011</v>
      </c>
      <c r="AJ200" s="17">
        <f>E200-AC200</f>
        <v>244.8</v>
      </c>
      <c r="AK200" s="20">
        <f>ROUND(AI200/E200,2)</f>
        <v>0.25</v>
      </c>
      <c r="AL200" s="21">
        <f t="shared" ref="AL200:AL220" si="35">ROUND(AI200/AH200,2)</f>
        <v>0.61</v>
      </c>
    </row>
    <row r="201" spans="1:38" x14ac:dyDescent="0.25">
      <c r="A201" s="27" t="s">
        <v>69</v>
      </c>
      <c r="B201" s="45" t="s">
        <v>59</v>
      </c>
      <c r="C201" s="31">
        <v>650</v>
      </c>
      <c r="D201" s="38">
        <v>0</v>
      </c>
      <c r="E201" s="50">
        <f t="shared" si="29"/>
        <v>650</v>
      </c>
      <c r="F201" s="24">
        <v>0.2</v>
      </c>
      <c r="G201" s="7">
        <v>14.000000000000002</v>
      </c>
      <c r="H201" s="7">
        <v>10</v>
      </c>
      <c r="I201" s="7">
        <v>12</v>
      </c>
      <c r="J201" s="78">
        <f t="shared" si="33"/>
        <v>1.6800000000000004</v>
      </c>
      <c r="K201" s="2">
        <f t="shared" si="34"/>
        <v>0.3</v>
      </c>
      <c r="L201" s="8">
        <v>0</v>
      </c>
      <c r="M201" s="1">
        <f t="shared" si="28"/>
        <v>0</v>
      </c>
      <c r="N201" s="41">
        <v>0</v>
      </c>
      <c r="O201" s="84" t="s">
        <v>275</v>
      </c>
      <c r="P201" s="24" t="s">
        <v>562</v>
      </c>
      <c r="Q201" s="7" t="s">
        <v>557</v>
      </c>
      <c r="R201" s="7"/>
      <c r="S201" s="81">
        <v>0.09</v>
      </c>
      <c r="T201" s="7">
        <v>25</v>
      </c>
      <c r="U201" s="82"/>
      <c r="V201" s="83">
        <f>ROUNDUP(E201*S201,2)</f>
        <v>58.5</v>
      </c>
      <c r="W201" s="83">
        <f>ROUNDUP(E201*0.015,2)</f>
        <v>9.75</v>
      </c>
      <c r="X201" s="82">
        <f>MAX(MIN(SUMIFS(Логистика!$C$2:$C$38,Логистика!$A$2:$A$38,"&lt;="&amp;K201,Логистика!$B$2:$B$38,"&gt;="&amp;K201)*E201,SUMIFS(Логистика!$E$2:$E$38,Логистика!$A$2:$A$38,"&lt;="&amp;K201,Логистика!$B$2:$B$38,"&gt;="&amp;K201)),SUMIFS(Логистика!$D$2:$D$38,Логистика!$A$2:$A$38,"&lt;="&amp;K201,Логистика!$B$2:$B$38,"&gt;="&amp;K201))</f>
        <v>42</v>
      </c>
      <c r="Y201" s="83">
        <f>IF(AND(E201*0.055&gt;20,E201*0.055&lt;250),ROUNDUP(E201*0.055,2),IF(E201*0.055&lt;=20,20,250))</f>
        <v>35.75</v>
      </c>
      <c r="Z201" s="83">
        <f>ROUND(M201*0.05,2)</f>
        <v>0</v>
      </c>
      <c r="AA201" s="83">
        <f>IF(N201=0,0,IF(ROUND(E201*N201,2)&gt;5,ROUND(E201*N201,2),5))</f>
        <v>0</v>
      </c>
      <c r="AB201" s="83">
        <f>IF(O201="Да",ROUND(E201*0.1111,2),0)</f>
        <v>0</v>
      </c>
      <c r="AC201" s="53">
        <f>V201+W201+T201+X201+Y201+Z201+AA201+AB201</f>
        <v>171</v>
      </c>
      <c r="AD201" s="8">
        <v>0</v>
      </c>
      <c r="AE201" s="36">
        <f>ROUND(E201*AD201,2)</f>
        <v>0</v>
      </c>
      <c r="AF201" s="6">
        <v>15</v>
      </c>
      <c r="AG201" s="6">
        <v>15</v>
      </c>
      <c r="AH201" s="58">
        <f>AH200*2</f>
        <v>304</v>
      </c>
      <c r="AI201" s="57">
        <f>E201-AC201-AE201-AH201</f>
        <v>175</v>
      </c>
      <c r="AJ201" s="17">
        <f>E201-AC201</f>
        <v>479</v>
      </c>
      <c r="AK201" s="20">
        <f>ROUND(AI201/E201,2)</f>
        <v>0.27</v>
      </c>
      <c r="AL201" s="21">
        <f t="shared" ref="AL201:AL204" si="36">ROUND(AI201/AH201,2)</f>
        <v>0.57999999999999996</v>
      </c>
    </row>
    <row r="202" spans="1:38" x14ac:dyDescent="0.25">
      <c r="A202" s="27" t="s">
        <v>70</v>
      </c>
      <c r="B202" s="45" t="s">
        <v>60</v>
      </c>
      <c r="C202" s="31">
        <v>930</v>
      </c>
      <c r="D202" s="38">
        <v>0</v>
      </c>
      <c r="E202" s="50">
        <f t="shared" si="29"/>
        <v>930</v>
      </c>
      <c r="F202" s="24">
        <v>0.3</v>
      </c>
      <c r="G202" s="7">
        <v>14.000000000000002</v>
      </c>
      <c r="H202" s="7">
        <v>10</v>
      </c>
      <c r="I202" s="7">
        <v>18</v>
      </c>
      <c r="J202" s="78">
        <f t="shared" si="33"/>
        <v>2.5200000000000005</v>
      </c>
      <c r="K202" s="2">
        <f t="shared" si="34"/>
        <v>0.5</v>
      </c>
      <c r="L202" s="8">
        <v>0</v>
      </c>
      <c r="M202" s="1">
        <f t="shared" si="28"/>
        <v>0</v>
      </c>
      <c r="N202" s="41">
        <v>0</v>
      </c>
      <c r="O202" s="84" t="s">
        <v>275</v>
      </c>
      <c r="P202" s="24" t="s">
        <v>562</v>
      </c>
      <c r="Q202" s="7" t="s">
        <v>557</v>
      </c>
      <c r="R202" s="7"/>
      <c r="S202" s="81">
        <v>0.09</v>
      </c>
      <c r="T202" s="7">
        <v>25</v>
      </c>
      <c r="U202" s="82"/>
      <c r="V202" s="83">
        <f>ROUNDUP(E202*S202,2)</f>
        <v>83.7</v>
      </c>
      <c r="W202" s="83">
        <f>ROUNDUP(E202*0.015,2)</f>
        <v>13.95</v>
      </c>
      <c r="X202" s="82">
        <f>MAX(MIN(SUMIFS(Логистика!$C$2:$C$38,Логистика!$A$2:$A$38,"&lt;="&amp;K202,Логистика!$B$2:$B$38,"&gt;="&amp;K202)*E202,SUMIFS(Логистика!$E$2:$E$38,Логистика!$A$2:$A$38,"&lt;="&amp;K202,Логистика!$B$2:$B$38,"&gt;="&amp;K202)),SUMIFS(Логистика!$D$2:$D$38,Логистика!$A$2:$A$38,"&lt;="&amp;K202,Логистика!$B$2:$B$38,"&gt;="&amp;K202))</f>
        <v>46.5</v>
      </c>
      <c r="Y202" s="83">
        <f>IF(AND(E202*0.055&gt;20,E202*0.055&lt;250),ROUNDUP(E202*0.055,2),IF(E202*0.055&lt;=20,20,250))</f>
        <v>51.15</v>
      </c>
      <c r="Z202" s="83">
        <f>ROUND(M202*0.05,2)</f>
        <v>0</v>
      </c>
      <c r="AA202" s="83">
        <f>IF(N202=0,0,IF(ROUND(E202*N202,2)&gt;5,ROUND(E202*N202,2),5))</f>
        <v>0</v>
      </c>
      <c r="AB202" s="83">
        <f>IF(O202="Да",ROUND(E202*0.1111,2),0)</f>
        <v>0</v>
      </c>
      <c r="AC202" s="53">
        <f>V202+W202+T202+X202+Y202+Z202+AA202+AB202</f>
        <v>220.3</v>
      </c>
      <c r="AD202" s="8">
        <v>0</v>
      </c>
      <c r="AE202" s="36">
        <f>ROUND(E202*AD202,2)</f>
        <v>0</v>
      </c>
      <c r="AF202" s="6">
        <v>15</v>
      </c>
      <c r="AG202" s="6">
        <v>15</v>
      </c>
      <c r="AH202" s="58">
        <f>AH200*3</f>
        <v>456</v>
      </c>
      <c r="AI202" s="57">
        <f>E202-AC202-AE202-AH202</f>
        <v>253.70000000000005</v>
      </c>
      <c r="AJ202" s="17">
        <f>E202-AC202</f>
        <v>709.7</v>
      </c>
      <c r="AK202" s="20">
        <f>ROUND(AI202/E202,2)</f>
        <v>0.27</v>
      </c>
      <c r="AL202" s="21">
        <f t="shared" si="36"/>
        <v>0.56000000000000005</v>
      </c>
    </row>
    <row r="203" spans="1:38" x14ac:dyDescent="0.25">
      <c r="A203" s="27" t="s">
        <v>71</v>
      </c>
      <c r="B203" s="45" t="s">
        <v>61</v>
      </c>
      <c r="C203" s="31">
        <v>1200</v>
      </c>
      <c r="D203" s="38">
        <v>0</v>
      </c>
      <c r="E203" s="50">
        <f t="shared" si="29"/>
        <v>1200</v>
      </c>
      <c r="F203" s="24">
        <v>0.4</v>
      </c>
      <c r="G203" s="7">
        <v>14.000000000000002</v>
      </c>
      <c r="H203" s="7">
        <v>10</v>
      </c>
      <c r="I203" s="7">
        <v>24</v>
      </c>
      <c r="J203" s="78">
        <f t="shared" si="33"/>
        <v>3.3600000000000008</v>
      </c>
      <c r="K203" s="2">
        <f t="shared" si="34"/>
        <v>0.7</v>
      </c>
      <c r="L203" s="8">
        <v>0</v>
      </c>
      <c r="M203" s="1">
        <f t="shared" si="28"/>
        <v>0</v>
      </c>
      <c r="N203" s="41">
        <v>0</v>
      </c>
      <c r="O203" s="84" t="s">
        <v>275</v>
      </c>
      <c r="P203" s="24" t="s">
        <v>562</v>
      </c>
      <c r="Q203" s="7" t="s">
        <v>557</v>
      </c>
      <c r="R203" s="7"/>
      <c r="S203" s="81">
        <v>0.09</v>
      </c>
      <c r="T203" s="7">
        <v>25</v>
      </c>
      <c r="U203" s="82"/>
      <c r="V203" s="83">
        <f>ROUNDUP(E203*S203,2)</f>
        <v>108</v>
      </c>
      <c r="W203" s="83">
        <f>ROUNDUP(E203*0.015,2)</f>
        <v>18</v>
      </c>
      <c r="X203" s="82">
        <f>MAX(MIN(SUMIFS(Логистика!$C$2:$C$38,Логистика!$A$2:$A$38,"&lt;="&amp;K203,Логистика!$B$2:$B$38,"&gt;="&amp;K203)*E203,SUMIFS(Логистика!$E$2:$E$38,Логистика!$A$2:$A$38,"&lt;="&amp;K203,Логистика!$B$2:$B$38,"&gt;="&amp;K203)),SUMIFS(Логистика!$D$2:$D$38,Логистика!$A$2:$A$38,"&lt;="&amp;K203,Логистика!$B$2:$B$38,"&gt;="&amp;K203))</f>
        <v>60</v>
      </c>
      <c r="Y203" s="83">
        <f>IF(AND(E203*0.055&gt;20,E203*0.055&lt;250),ROUNDUP(E203*0.055,2),IF(E203*0.055&lt;=20,20,250))</f>
        <v>66</v>
      </c>
      <c r="Z203" s="83">
        <f>ROUND(M203*0.05,2)</f>
        <v>0</v>
      </c>
      <c r="AA203" s="83">
        <f>IF(N203=0,0,IF(ROUND(E203*N203,2)&gt;5,ROUND(E203*N203,2),5))</f>
        <v>0</v>
      </c>
      <c r="AB203" s="83">
        <f>IF(O203="Да",ROUND(E203*0.1111,2),0)</f>
        <v>0</v>
      </c>
      <c r="AC203" s="53">
        <f>V203+W203+T203+X203+Y203+Z203+AA203+AB203</f>
        <v>277</v>
      </c>
      <c r="AD203" s="8">
        <v>0</v>
      </c>
      <c r="AE203" s="36">
        <f>ROUND(E203*AD203,2)</f>
        <v>0</v>
      </c>
      <c r="AF203" s="6">
        <v>15</v>
      </c>
      <c r="AG203" s="6">
        <v>15</v>
      </c>
      <c r="AH203" s="58">
        <f>AH200*4</f>
        <v>608</v>
      </c>
      <c r="AI203" s="57">
        <f>E203-AC203-AE203-AH203</f>
        <v>315</v>
      </c>
      <c r="AJ203" s="17">
        <f>E203-AC203</f>
        <v>923</v>
      </c>
      <c r="AK203" s="20">
        <f>ROUND(AI203/E203,2)</f>
        <v>0.26</v>
      </c>
      <c r="AL203" s="21">
        <f t="shared" si="36"/>
        <v>0.52</v>
      </c>
    </row>
    <row r="204" spans="1:38" x14ac:dyDescent="0.25">
      <c r="A204" s="27" t="s">
        <v>72</v>
      </c>
      <c r="B204" s="45" t="s">
        <v>62</v>
      </c>
      <c r="C204" s="31">
        <v>1470</v>
      </c>
      <c r="D204" s="38">
        <v>0</v>
      </c>
      <c r="E204" s="50">
        <f t="shared" si="29"/>
        <v>1470</v>
      </c>
      <c r="F204" s="24">
        <v>0.5</v>
      </c>
      <c r="G204" s="7">
        <v>14.000000000000002</v>
      </c>
      <c r="H204" s="7">
        <v>10</v>
      </c>
      <c r="I204" s="7">
        <v>30</v>
      </c>
      <c r="J204" s="78">
        <f t="shared" si="33"/>
        <v>4.2000000000000011</v>
      </c>
      <c r="K204" s="2">
        <f t="shared" si="34"/>
        <v>0.8</v>
      </c>
      <c r="L204" s="8">
        <v>0</v>
      </c>
      <c r="M204" s="1">
        <f t="shared" si="28"/>
        <v>0</v>
      </c>
      <c r="N204" s="41">
        <v>0</v>
      </c>
      <c r="O204" s="84" t="s">
        <v>275</v>
      </c>
      <c r="P204" s="24" t="s">
        <v>562</v>
      </c>
      <c r="Q204" s="7" t="s">
        <v>557</v>
      </c>
      <c r="R204" s="7"/>
      <c r="S204" s="81">
        <v>0.09</v>
      </c>
      <c r="T204" s="7">
        <v>25</v>
      </c>
      <c r="U204" s="82"/>
      <c r="V204" s="83">
        <f>ROUNDUP(E204*S204,2)</f>
        <v>132.30000000000001</v>
      </c>
      <c r="W204" s="83">
        <f>ROUNDUP(E204*0.015,2)</f>
        <v>22.05</v>
      </c>
      <c r="X204" s="82">
        <f>MAX(MIN(SUMIFS(Логистика!$C$2:$C$38,Логистика!$A$2:$A$38,"&lt;="&amp;K204,Логистика!$B$2:$B$38,"&gt;="&amp;K204)*E204,SUMIFS(Логистика!$E$2:$E$38,Логистика!$A$2:$A$38,"&lt;="&amp;K204,Логистика!$B$2:$B$38,"&gt;="&amp;K204)),SUMIFS(Логистика!$D$2:$D$38,Логистика!$A$2:$A$38,"&lt;="&amp;K204,Логистика!$B$2:$B$38,"&gt;="&amp;K204))</f>
        <v>73.5</v>
      </c>
      <c r="Y204" s="83">
        <f>IF(AND(E204*0.055&gt;20,E204*0.055&lt;250),ROUNDUP(E204*0.055,2),IF(E204*0.055&lt;=20,20,250))</f>
        <v>80.849999999999994</v>
      </c>
      <c r="Z204" s="83">
        <f>ROUND(M204*0.05,2)</f>
        <v>0</v>
      </c>
      <c r="AA204" s="83">
        <f>IF(N204=0,0,IF(ROUND(E204*N204,2)&gt;5,ROUND(E204*N204,2),5))</f>
        <v>0</v>
      </c>
      <c r="AB204" s="83">
        <f>IF(O204="Да",ROUND(E204*0.1111,2),0)</f>
        <v>0</v>
      </c>
      <c r="AC204" s="53">
        <f>V204+W204+T204+X204+Y204+Z204+AA204+AB204</f>
        <v>333.70000000000005</v>
      </c>
      <c r="AD204" s="8">
        <v>0</v>
      </c>
      <c r="AE204" s="36">
        <f>ROUND(E204*AD204,2)</f>
        <v>0</v>
      </c>
      <c r="AF204" s="6">
        <v>15</v>
      </c>
      <c r="AG204" s="6">
        <v>15</v>
      </c>
      <c r="AH204" s="58">
        <f>AH200*5</f>
        <v>760</v>
      </c>
      <c r="AI204" s="57">
        <f>E204-AC204-AE204-AH204</f>
        <v>376.29999999999995</v>
      </c>
      <c r="AJ204" s="17">
        <f>E204-AC204</f>
        <v>1136.3</v>
      </c>
      <c r="AK204" s="20">
        <f>ROUND(AI204/E204,2)</f>
        <v>0.26</v>
      </c>
      <c r="AL204" s="21">
        <f t="shared" si="36"/>
        <v>0.5</v>
      </c>
    </row>
    <row r="205" spans="1:38" x14ac:dyDescent="0.25">
      <c r="A205" s="27"/>
      <c r="B205" s="45"/>
      <c r="C205" s="31"/>
      <c r="D205" s="38">
        <v>0</v>
      </c>
      <c r="E205" s="50">
        <f t="shared" si="29"/>
        <v>0</v>
      </c>
      <c r="F205" s="24"/>
      <c r="G205" s="7">
        <v>0</v>
      </c>
      <c r="H205" s="7">
        <v>0</v>
      </c>
      <c r="I205" s="7">
        <v>0</v>
      </c>
      <c r="J205" s="78">
        <f t="shared" si="33"/>
        <v>0</v>
      </c>
      <c r="K205" s="2">
        <f t="shared" si="34"/>
        <v>0</v>
      </c>
      <c r="L205" s="8">
        <v>0</v>
      </c>
      <c r="M205" s="1">
        <f t="shared" si="28"/>
        <v>0</v>
      </c>
      <c r="N205" s="41">
        <v>0</v>
      </c>
      <c r="O205" s="84" t="s">
        <v>275</v>
      </c>
      <c r="P205" s="24" t="s">
        <v>562</v>
      </c>
      <c r="Q205" s="7" t="s">
        <v>557</v>
      </c>
      <c r="R205" s="7"/>
      <c r="S205" s="81"/>
      <c r="T205" s="7"/>
      <c r="U205" s="82"/>
      <c r="V205" s="83">
        <f>ROUNDUP(E205*S205,2)</f>
        <v>0</v>
      </c>
      <c r="W205" s="83">
        <f>ROUNDUP(E205*0.015,2)</f>
        <v>0</v>
      </c>
      <c r="X205" s="82">
        <f>MAX(MIN(SUMIFS(Логистика!$C$2:$C$38,Логистика!$A$2:$A$38,"&lt;="&amp;K205,Логистика!$B$2:$B$38,"&gt;="&amp;K205)*E205,SUMIFS(Логистика!$E$2:$E$38,Логистика!$A$2:$A$38,"&lt;="&amp;K205,Логистика!$B$2:$B$38,"&gt;="&amp;K205)),SUMIFS(Логистика!$D$2:$D$38,Логистика!$A$2:$A$38,"&lt;="&amp;K205,Логистика!$B$2:$B$38,"&gt;="&amp;K205))</f>
        <v>0</v>
      </c>
      <c r="Y205" s="83">
        <f>IF(AND(E205*0.055&gt;20,E205*0.055&lt;250),ROUNDUP(E205*0.055,2),IF(E205*0.055&lt;=20,20,250))</f>
        <v>20</v>
      </c>
      <c r="Z205" s="83">
        <f>ROUND(M205*0.05,2)</f>
        <v>0</v>
      </c>
      <c r="AA205" s="83">
        <f>IF(N205=0,0,IF(ROUND(E205*N205,2)&gt;5,ROUND(E205*N205,2),5))</f>
        <v>0</v>
      </c>
      <c r="AB205" s="83">
        <f>IF(O205="Да",ROUND(E205*0.1111,2),0)</f>
        <v>0</v>
      </c>
      <c r="AC205" s="53">
        <f>V205+W205+T205+X205+Y205+Z205+AA205+AB205</f>
        <v>20</v>
      </c>
      <c r="AD205" s="8">
        <v>0</v>
      </c>
      <c r="AE205" s="36">
        <f>ROUND(E205*AD205,2)</f>
        <v>0</v>
      </c>
      <c r="AF205" s="6">
        <v>15</v>
      </c>
      <c r="AG205" s="6">
        <v>15</v>
      </c>
      <c r="AH205" s="5"/>
      <c r="AI205" s="57">
        <f>E205-AC205-AE205-AH205</f>
        <v>-20</v>
      </c>
      <c r="AJ205" s="17">
        <f>E205-AC205</f>
        <v>-20</v>
      </c>
      <c r="AK205" s="20" t="e">
        <f>ROUND(AI205/E205,2)</f>
        <v>#DIV/0!</v>
      </c>
      <c r="AL205" s="21" t="e">
        <f t="shared" ref="AL205:AL214" si="37">ROUND(AI205/AH205,2)</f>
        <v>#DIV/0!</v>
      </c>
    </row>
    <row r="206" spans="1:38" x14ac:dyDescent="0.25">
      <c r="A206" s="27" t="s">
        <v>73</v>
      </c>
      <c r="B206" s="45" t="s">
        <v>63</v>
      </c>
      <c r="C206" s="31">
        <v>570</v>
      </c>
      <c r="D206" s="38">
        <v>0</v>
      </c>
      <c r="E206" s="50">
        <f t="shared" si="29"/>
        <v>570</v>
      </c>
      <c r="F206" s="24">
        <v>0.15</v>
      </c>
      <c r="G206" s="7">
        <v>26</v>
      </c>
      <c r="H206" s="7">
        <v>10</v>
      </c>
      <c r="I206" s="7">
        <v>6</v>
      </c>
      <c r="J206" s="78">
        <f t="shared" si="33"/>
        <v>1.56</v>
      </c>
      <c r="K206" s="2">
        <f t="shared" si="34"/>
        <v>0.3</v>
      </c>
      <c r="L206" s="8">
        <v>0</v>
      </c>
      <c r="M206" s="1">
        <f t="shared" si="28"/>
        <v>0</v>
      </c>
      <c r="N206" s="41">
        <v>0</v>
      </c>
      <c r="O206" s="84" t="s">
        <v>275</v>
      </c>
      <c r="P206" s="24" t="s">
        <v>562</v>
      </c>
      <c r="Q206" s="7" t="s">
        <v>557</v>
      </c>
      <c r="R206" s="7"/>
      <c r="S206" s="81">
        <v>0.09</v>
      </c>
      <c r="T206" s="7">
        <v>25</v>
      </c>
      <c r="U206" s="82"/>
      <c r="V206" s="83">
        <f>ROUNDUP(E206*S206,2)</f>
        <v>51.3</v>
      </c>
      <c r="W206" s="83">
        <f>ROUNDUP(E206*0.015,2)</f>
        <v>8.5500000000000007</v>
      </c>
      <c r="X206" s="82">
        <f>MAX(MIN(SUMIFS(Логистика!$C$2:$C$38,Логистика!$A$2:$A$38,"&lt;="&amp;K206,Логистика!$B$2:$B$38,"&gt;="&amp;K206)*E206,SUMIFS(Логистика!$E$2:$E$38,Логистика!$A$2:$A$38,"&lt;="&amp;K206,Логистика!$B$2:$B$38,"&gt;="&amp;K206)),SUMIFS(Логистика!$D$2:$D$38,Логистика!$A$2:$A$38,"&lt;="&amp;K206,Логистика!$B$2:$B$38,"&gt;="&amp;K206))</f>
        <v>42</v>
      </c>
      <c r="Y206" s="83">
        <f>IF(AND(E206*0.055&gt;20,E206*0.055&lt;250),ROUNDUP(E206*0.055,2),IF(E206*0.055&lt;=20,20,250))</f>
        <v>31.35</v>
      </c>
      <c r="Z206" s="83">
        <f>ROUND(M206*0.05,2)</f>
        <v>0</v>
      </c>
      <c r="AA206" s="83">
        <f>IF(N206=0,0,IF(ROUND(E206*N206,2)&gt;5,ROUND(E206*N206,2),5))</f>
        <v>0</v>
      </c>
      <c r="AB206" s="83">
        <f>IF(O206="Да",ROUND(E206*0.1111,2),0)</f>
        <v>0</v>
      </c>
      <c r="AC206" s="53">
        <f>V206+W206+T206+X206+Y206+Z206+AA206+AB206</f>
        <v>158.19999999999999</v>
      </c>
      <c r="AD206" s="8">
        <v>0</v>
      </c>
      <c r="AE206" s="36">
        <f>ROUND(E206*AD206,2)</f>
        <v>0</v>
      </c>
      <c r="AF206" s="6">
        <v>15</v>
      </c>
      <c r="AG206" s="6">
        <v>15</v>
      </c>
      <c r="AH206" s="5">
        <v>265</v>
      </c>
      <c r="AI206" s="57">
        <f>E206-AC206-AE206-AH206</f>
        <v>146.80000000000001</v>
      </c>
      <c r="AJ206" s="17">
        <f>E206-AC206</f>
        <v>411.8</v>
      </c>
      <c r="AK206" s="20">
        <f>ROUND(AI206/E206,2)</f>
        <v>0.26</v>
      </c>
      <c r="AL206" s="21">
        <f t="shared" si="37"/>
        <v>0.55000000000000004</v>
      </c>
    </row>
    <row r="207" spans="1:38" x14ac:dyDescent="0.25">
      <c r="A207" s="27" t="s">
        <v>74</v>
      </c>
      <c r="B207" s="45" t="s">
        <v>64</v>
      </c>
      <c r="C207" s="31">
        <v>1050</v>
      </c>
      <c r="D207" s="38">
        <v>0</v>
      </c>
      <c r="E207" s="50">
        <f t="shared" si="29"/>
        <v>1050</v>
      </c>
      <c r="F207" s="24">
        <v>0.3</v>
      </c>
      <c r="G207" s="7">
        <v>26</v>
      </c>
      <c r="H207" s="7">
        <v>10</v>
      </c>
      <c r="I207" s="7">
        <v>12</v>
      </c>
      <c r="J207" s="78">
        <f t="shared" si="33"/>
        <v>3.12</v>
      </c>
      <c r="K207" s="2">
        <f t="shared" si="34"/>
        <v>0.6</v>
      </c>
      <c r="L207" s="8">
        <v>0</v>
      </c>
      <c r="M207" s="1">
        <f t="shared" si="28"/>
        <v>0</v>
      </c>
      <c r="N207" s="41">
        <v>0</v>
      </c>
      <c r="O207" s="84" t="s">
        <v>275</v>
      </c>
      <c r="P207" s="24" t="s">
        <v>562</v>
      </c>
      <c r="Q207" s="7" t="s">
        <v>557</v>
      </c>
      <c r="R207" s="7"/>
      <c r="S207" s="81">
        <v>0.09</v>
      </c>
      <c r="T207" s="7">
        <v>25</v>
      </c>
      <c r="U207" s="82"/>
      <c r="V207" s="83">
        <f>ROUNDUP(E207*S207,2)</f>
        <v>94.5</v>
      </c>
      <c r="W207" s="83">
        <f>ROUNDUP(E207*0.015,2)</f>
        <v>15.75</v>
      </c>
      <c r="X207" s="82">
        <f>MAX(MIN(SUMIFS(Логистика!$C$2:$C$38,Логистика!$A$2:$A$38,"&lt;="&amp;K207,Логистика!$B$2:$B$38,"&gt;="&amp;K207)*E207,SUMIFS(Логистика!$E$2:$E$38,Логистика!$A$2:$A$38,"&lt;="&amp;K207,Логистика!$B$2:$B$38,"&gt;="&amp;K207)),SUMIFS(Логистика!$D$2:$D$38,Логистика!$A$2:$A$38,"&lt;="&amp;K207,Логистика!$B$2:$B$38,"&gt;="&amp;K207))</f>
        <v>52.5</v>
      </c>
      <c r="Y207" s="83">
        <f>IF(AND(E207*0.055&gt;20,E207*0.055&lt;250),ROUNDUP(E207*0.055,2),IF(E207*0.055&lt;=20,20,250))</f>
        <v>57.75</v>
      </c>
      <c r="Z207" s="83">
        <f>ROUND(M207*0.05,2)</f>
        <v>0</v>
      </c>
      <c r="AA207" s="83">
        <f>IF(N207=0,0,IF(ROUND(E207*N207,2)&gt;5,ROUND(E207*N207,2),5))</f>
        <v>0</v>
      </c>
      <c r="AB207" s="83">
        <f>IF(O207="Да",ROUND(E207*0.1111,2),0)</f>
        <v>0</v>
      </c>
      <c r="AC207" s="53">
        <f>V207+W207+T207+X207+Y207+Z207+AA207+AB207</f>
        <v>245.5</v>
      </c>
      <c r="AD207" s="8">
        <v>0</v>
      </c>
      <c r="AE207" s="36">
        <f>ROUND(E207*AD207,2)</f>
        <v>0</v>
      </c>
      <c r="AF207" s="6">
        <v>15</v>
      </c>
      <c r="AG207" s="6">
        <v>15</v>
      </c>
      <c r="AH207" s="58">
        <f>AH206*2</f>
        <v>530</v>
      </c>
      <c r="AI207" s="57">
        <f>E207-AC207-AE207-AH207</f>
        <v>274.5</v>
      </c>
      <c r="AJ207" s="17">
        <f>E207-AC207</f>
        <v>804.5</v>
      </c>
      <c r="AK207" s="20">
        <f>ROUND(AI207/E207,2)</f>
        <v>0.26</v>
      </c>
      <c r="AL207" s="21">
        <f t="shared" si="37"/>
        <v>0.52</v>
      </c>
    </row>
    <row r="208" spans="1:38" x14ac:dyDescent="0.25">
      <c r="A208" s="27" t="s">
        <v>75</v>
      </c>
      <c r="B208" s="45" t="s">
        <v>65</v>
      </c>
      <c r="C208" s="31">
        <v>1530</v>
      </c>
      <c r="D208" s="38">
        <v>0</v>
      </c>
      <c r="E208" s="50">
        <f t="shared" si="29"/>
        <v>1530</v>
      </c>
      <c r="F208" s="24">
        <v>0.45</v>
      </c>
      <c r="G208" s="7">
        <v>26</v>
      </c>
      <c r="H208" s="7">
        <v>10</v>
      </c>
      <c r="I208" s="7">
        <v>18</v>
      </c>
      <c r="J208" s="78">
        <f t="shared" si="33"/>
        <v>4.68</v>
      </c>
      <c r="K208" s="2">
        <f t="shared" si="34"/>
        <v>0.9</v>
      </c>
      <c r="L208" s="8">
        <v>0</v>
      </c>
      <c r="M208" s="1">
        <f t="shared" si="28"/>
        <v>0</v>
      </c>
      <c r="N208" s="41">
        <v>0</v>
      </c>
      <c r="O208" s="84" t="s">
        <v>275</v>
      </c>
      <c r="P208" s="24" t="s">
        <v>562</v>
      </c>
      <c r="Q208" s="7" t="s">
        <v>557</v>
      </c>
      <c r="R208" s="7"/>
      <c r="S208" s="81">
        <v>0.09</v>
      </c>
      <c r="T208" s="7">
        <v>25</v>
      </c>
      <c r="U208" s="82"/>
      <c r="V208" s="83">
        <f>ROUNDUP(E208*S208,2)</f>
        <v>137.69999999999999</v>
      </c>
      <c r="W208" s="83">
        <f>ROUNDUP(E208*0.015,2)</f>
        <v>22.95</v>
      </c>
      <c r="X208" s="82">
        <f>MAX(MIN(SUMIFS(Логистика!$C$2:$C$38,Логистика!$A$2:$A$38,"&lt;="&amp;K208,Логистика!$B$2:$B$38,"&gt;="&amp;K208)*E208,SUMIFS(Логистика!$E$2:$E$38,Логистика!$A$2:$A$38,"&lt;="&amp;K208,Логистика!$B$2:$B$38,"&gt;="&amp;K208)),SUMIFS(Логистика!$D$2:$D$38,Логистика!$A$2:$A$38,"&lt;="&amp;K208,Логистика!$B$2:$B$38,"&gt;="&amp;K208))</f>
        <v>76.5</v>
      </c>
      <c r="Y208" s="83">
        <f>IF(AND(E208*0.055&gt;20,E208*0.055&lt;250),ROUNDUP(E208*0.055,2),IF(E208*0.055&lt;=20,20,250))</f>
        <v>84.15</v>
      </c>
      <c r="Z208" s="83">
        <f>ROUND(M208*0.05,2)</f>
        <v>0</v>
      </c>
      <c r="AA208" s="83">
        <f>IF(N208=0,0,IF(ROUND(E208*N208,2)&gt;5,ROUND(E208*N208,2),5))</f>
        <v>0</v>
      </c>
      <c r="AB208" s="83">
        <f>IF(O208="Да",ROUND(E208*0.1111,2),0)</f>
        <v>0</v>
      </c>
      <c r="AC208" s="53">
        <f>V208+W208+T208+X208+Y208+Z208+AA208+AB208</f>
        <v>346.29999999999995</v>
      </c>
      <c r="AD208" s="8">
        <v>0</v>
      </c>
      <c r="AE208" s="36">
        <f>ROUND(E208*AD208,2)</f>
        <v>0</v>
      </c>
      <c r="AF208" s="6">
        <v>15</v>
      </c>
      <c r="AG208" s="6">
        <v>15</v>
      </c>
      <c r="AH208" s="58">
        <f>AH206*3</f>
        <v>795</v>
      </c>
      <c r="AI208" s="57">
        <f>E208-AC208-AE208-AH208</f>
        <v>388.70000000000005</v>
      </c>
      <c r="AJ208" s="17">
        <f>E208-AC208</f>
        <v>1183.7</v>
      </c>
      <c r="AK208" s="20">
        <f>ROUND(AI208/E208,2)</f>
        <v>0.25</v>
      </c>
      <c r="AL208" s="21">
        <f t="shared" si="37"/>
        <v>0.49</v>
      </c>
    </row>
    <row r="209" spans="1:38" x14ac:dyDescent="0.25">
      <c r="A209" s="27" t="s">
        <v>76</v>
      </c>
      <c r="B209" s="45" t="s">
        <v>66</v>
      </c>
      <c r="C209" s="31">
        <v>2050</v>
      </c>
      <c r="D209" s="38">
        <v>0</v>
      </c>
      <c r="E209" s="50">
        <f t="shared" si="29"/>
        <v>2050</v>
      </c>
      <c r="F209" s="24">
        <v>0.6</v>
      </c>
      <c r="G209" s="7">
        <v>26</v>
      </c>
      <c r="H209" s="7">
        <v>10</v>
      </c>
      <c r="I209" s="7">
        <v>24</v>
      </c>
      <c r="J209" s="78">
        <f t="shared" si="33"/>
        <v>6.24</v>
      </c>
      <c r="K209" s="2">
        <f t="shared" si="34"/>
        <v>1.2</v>
      </c>
      <c r="L209" s="8">
        <v>0</v>
      </c>
      <c r="M209" s="1">
        <f t="shared" si="28"/>
        <v>0</v>
      </c>
      <c r="N209" s="41">
        <v>0</v>
      </c>
      <c r="O209" s="84" t="s">
        <v>275</v>
      </c>
      <c r="P209" s="24" t="s">
        <v>562</v>
      </c>
      <c r="Q209" s="7" t="s">
        <v>557</v>
      </c>
      <c r="R209" s="7"/>
      <c r="S209" s="81">
        <v>0.09</v>
      </c>
      <c r="T209" s="7">
        <v>25</v>
      </c>
      <c r="U209" s="82"/>
      <c r="V209" s="83">
        <f>ROUNDUP(E209*S209,2)</f>
        <v>184.5</v>
      </c>
      <c r="W209" s="83">
        <f>ROUNDUP(E209*0.015,2)</f>
        <v>30.75</v>
      </c>
      <c r="X209" s="82">
        <f>MAX(MIN(SUMIFS(Логистика!$C$2:$C$38,Логистика!$A$2:$A$38,"&lt;="&amp;K209,Логистика!$B$2:$B$38,"&gt;="&amp;K209)*E209,SUMIFS(Логистика!$E$2:$E$38,Логистика!$A$2:$A$38,"&lt;="&amp;K209,Логистика!$B$2:$B$38,"&gt;="&amp;K209)),SUMIFS(Логистика!$D$2:$D$38,Логистика!$A$2:$A$38,"&lt;="&amp;K209,Логистика!$B$2:$B$38,"&gt;="&amp;K209))</f>
        <v>123</v>
      </c>
      <c r="Y209" s="83">
        <f>IF(AND(E209*0.055&gt;20,E209*0.055&lt;250),ROUNDUP(E209*0.055,2),IF(E209*0.055&lt;=20,20,250))</f>
        <v>112.75</v>
      </c>
      <c r="Z209" s="83">
        <f>ROUND(M209*0.05,2)</f>
        <v>0</v>
      </c>
      <c r="AA209" s="83">
        <f>IF(N209=0,0,IF(ROUND(E209*N209,2)&gt;5,ROUND(E209*N209,2),5))</f>
        <v>0</v>
      </c>
      <c r="AB209" s="83">
        <f>IF(O209="Да",ROUND(E209*0.1111,2),0)</f>
        <v>0</v>
      </c>
      <c r="AC209" s="53">
        <f>V209+W209+T209+X209+Y209+Z209+AA209+AB209</f>
        <v>476</v>
      </c>
      <c r="AD209" s="8">
        <v>0</v>
      </c>
      <c r="AE209" s="36">
        <f>ROUND(E209*AD209,2)</f>
        <v>0</v>
      </c>
      <c r="AF209" s="6">
        <v>15</v>
      </c>
      <c r="AG209" s="6">
        <v>15</v>
      </c>
      <c r="AH209" s="58">
        <f>AH206*4</f>
        <v>1060</v>
      </c>
      <c r="AI209" s="57">
        <f>E209-AC209-AE209-AH209</f>
        <v>514</v>
      </c>
      <c r="AJ209" s="17">
        <f>E209-AC209</f>
        <v>1574</v>
      </c>
      <c r="AK209" s="20">
        <f>ROUND(AI209/E209,2)</f>
        <v>0.25</v>
      </c>
      <c r="AL209" s="21">
        <f t="shared" si="37"/>
        <v>0.48</v>
      </c>
    </row>
    <row r="210" spans="1:38" x14ac:dyDescent="0.25">
      <c r="A210" s="27" t="s">
        <v>77</v>
      </c>
      <c r="B210" s="45" t="s">
        <v>67</v>
      </c>
      <c r="C210" s="31">
        <v>2550</v>
      </c>
      <c r="D210" s="38">
        <v>0</v>
      </c>
      <c r="E210" s="50">
        <f t="shared" si="29"/>
        <v>2550</v>
      </c>
      <c r="F210" s="24">
        <v>0.75</v>
      </c>
      <c r="G210" s="7">
        <v>26</v>
      </c>
      <c r="H210" s="7">
        <v>10</v>
      </c>
      <c r="I210" s="7">
        <v>30</v>
      </c>
      <c r="J210" s="78">
        <f t="shared" si="33"/>
        <v>7.8</v>
      </c>
      <c r="K210" s="2">
        <f t="shared" si="34"/>
        <v>1.6</v>
      </c>
      <c r="L210" s="8">
        <v>0</v>
      </c>
      <c r="M210" s="1">
        <f t="shared" si="28"/>
        <v>0</v>
      </c>
      <c r="N210" s="41">
        <v>0</v>
      </c>
      <c r="O210" s="84" t="s">
        <v>275</v>
      </c>
      <c r="P210" s="24" t="s">
        <v>562</v>
      </c>
      <c r="Q210" s="7" t="s">
        <v>557</v>
      </c>
      <c r="R210" s="7"/>
      <c r="S210" s="81">
        <v>0.09</v>
      </c>
      <c r="T210" s="7">
        <v>25</v>
      </c>
      <c r="U210" s="82"/>
      <c r="V210" s="83">
        <f>ROUNDUP(E210*S210,2)</f>
        <v>229.5</v>
      </c>
      <c r="W210" s="83">
        <f>ROUNDUP(E210*0.015,2)</f>
        <v>38.25</v>
      </c>
      <c r="X210" s="82">
        <f>MAX(MIN(SUMIFS(Логистика!$C$2:$C$38,Логистика!$A$2:$A$38,"&lt;="&amp;K210,Логистика!$B$2:$B$38,"&gt;="&amp;K210)*E210,SUMIFS(Логистика!$E$2:$E$38,Логистика!$A$2:$A$38,"&lt;="&amp;K210,Логистика!$B$2:$B$38,"&gt;="&amp;K210)),SUMIFS(Логистика!$D$2:$D$38,Логистика!$A$2:$A$38,"&lt;="&amp;K210,Логистика!$B$2:$B$38,"&gt;="&amp;K210))</f>
        <v>153</v>
      </c>
      <c r="Y210" s="83">
        <f>IF(AND(E210*0.055&gt;20,E210*0.055&lt;250),ROUNDUP(E210*0.055,2),IF(E210*0.055&lt;=20,20,250))</f>
        <v>140.25</v>
      </c>
      <c r="Z210" s="83">
        <f>ROUND(M210*0.05,2)</f>
        <v>0</v>
      </c>
      <c r="AA210" s="83">
        <f>IF(N210=0,0,IF(ROUND(E210*N210,2)&gt;5,ROUND(E210*N210,2),5))</f>
        <v>0</v>
      </c>
      <c r="AB210" s="83">
        <f>IF(O210="Да",ROUND(E210*0.1111,2),0)</f>
        <v>0</v>
      </c>
      <c r="AC210" s="53">
        <f>V210+W210+T210+X210+Y210+Z210+AA210+AB210</f>
        <v>586</v>
      </c>
      <c r="AD210" s="8">
        <v>0</v>
      </c>
      <c r="AE210" s="36">
        <f>ROUND(E210*AD210,2)</f>
        <v>0</v>
      </c>
      <c r="AF210" s="6">
        <v>15</v>
      </c>
      <c r="AG210" s="6">
        <v>15</v>
      </c>
      <c r="AH210" s="58">
        <f>AH206*5</f>
        <v>1325</v>
      </c>
      <c r="AI210" s="57">
        <f>E210-AC210-AE210-AH210</f>
        <v>639</v>
      </c>
      <c r="AJ210" s="17">
        <f>E210-AC210</f>
        <v>1964</v>
      </c>
      <c r="AK210" s="20">
        <f>ROUND(AI210/E210,2)</f>
        <v>0.25</v>
      </c>
      <c r="AL210" s="21">
        <f t="shared" si="37"/>
        <v>0.48</v>
      </c>
    </row>
    <row r="211" spans="1:38" x14ac:dyDescent="0.25">
      <c r="A211" s="27"/>
      <c r="B211" s="45"/>
      <c r="C211" s="31"/>
      <c r="D211" s="38">
        <v>0</v>
      </c>
      <c r="E211" s="50">
        <f t="shared" si="29"/>
        <v>0</v>
      </c>
      <c r="F211" s="24"/>
      <c r="G211" s="7">
        <v>0</v>
      </c>
      <c r="H211" s="7">
        <v>0</v>
      </c>
      <c r="I211" s="7">
        <v>0</v>
      </c>
      <c r="J211" s="78">
        <f t="shared" si="33"/>
        <v>0</v>
      </c>
      <c r="K211" s="2">
        <f t="shared" si="34"/>
        <v>0</v>
      </c>
      <c r="L211" s="8">
        <v>0</v>
      </c>
      <c r="M211" s="1">
        <f t="shared" si="28"/>
        <v>0</v>
      </c>
      <c r="N211" s="41">
        <v>0</v>
      </c>
      <c r="O211" s="84" t="s">
        <v>275</v>
      </c>
      <c r="P211" s="24" t="s">
        <v>562</v>
      </c>
      <c r="Q211" s="7" t="s">
        <v>557</v>
      </c>
      <c r="R211" s="7"/>
      <c r="S211" s="81"/>
      <c r="T211" s="7"/>
      <c r="U211" s="82"/>
      <c r="V211" s="83">
        <f>ROUNDUP(E211*S211,2)</f>
        <v>0</v>
      </c>
      <c r="W211" s="83">
        <f>ROUNDUP(E211*0.015,2)</f>
        <v>0</v>
      </c>
      <c r="X211" s="82">
        <f>MAX(MIN(SUMIFS(Логистика!$C$2:$C$38,Логистика!$A$2:$A$38,"&lt;="&amp;K211,Логистика!$B$2:$B$38,"&gt;="&amp;K211)*E211,SUMIFS(Логистика!$E$2:$E$38,Логистика!$A$2:$A$38,"&lt;="&amp;K211,Логистика!$B$2:$B$38,"&gt;="&amp;K211)),SUMIFS(Логистика!$D$2:$D$38,Логистика!$A$2:$A$38,"&lt;="&amp;K211,Логистика!$B$2:$B$38,"&gt;="&amp;K211))</f>
        <v>0</v>
      </c>
      <c r="Y211" s="83">
        <f>IF(AND(E211*0.055&gt;20,E211*0.055&lt;250),ROUNDUP(E211*0.055,2),IF(E211*0.055&lt;=20,20,250))</f>
        <v>20</v>
      </c>
      <c r="Z211" s="83">
        <f>ROUND(M211*0.05,2)</f>
        <v>0</v>
      </c>
      <c r="AA211" s="83">
        <f>IF(N211=0,0,IF(ROUND(E211*N211,2)&gt;5,ROUND(E211*N211,2),5))</f>
        <v>0</v>
      </c>
      <c r="AB211" s="83">
        <f>IF(O211="Да",ROUND(E211*0.1111,2),0)</f>
        <v>0</v>
      </c>
      <c r="AC211" s="53">
        <f>V211+W211+T211+X211+Y211+Z211+AA211+AB211</f>
        <v>20</v>
      </c>
      <c r="AD211" s="8">
        <v>0</v>
      </c>
      <c r="AE211" s="36">
        <f>ROUND(E211*AD211,2)</f>
        <v>0</v>
      </c>
      <c r="AF211" s="6">
        <v>15</v>
      </c>
      <c r="AG211" s="6">
        <v>15</v>
      </c>
      <c r="AH211" s="5"/>
      <c r="AI211" s="57">
        <f>E211-AC211-AE211-AH211</f>
        <v>-20</v>
      </c>
      <c r="AJ211" s="17">
        <f>E211-AC211</f>
        <v>-20</v>
      </c>
      <c r="AK211" s="20" t="e">
        <f>ROUND(AI211/E211,2)</f>
        <v>#DIV/0!</v>
      </c>
      <c r="AL211" s="21" t="e">
        <f t="shared" si="37"/>
        <v>#DIV/0!</v>
      </c>
    </row>
    <row r="212" spans="1:38" x14ac:dyDescent="0.25">
      <c r="A212" s="27" t="s">
        <v>79</v>
      </c>
      <c r="B212" s="45" t="s">
        <v>78</v>
      </c>
      <c r="C212" s="31">
        <v>870</v>
      </c>
      <c r="D212" s="38">
        <v>0</v>
      </c>
      <c r="E212" s="50">
        <f t="shared" si="29"/>
        <v>870</v>
      </c>
      <c r="F212" s="24">
        <v>0.3</v>
      </c>
      <c r="G212" s="7">
        <v>49</v>
      </c>
      <c r="H212" s="7">
        <v>10</v>
      </c>
      <c r="I212" s="7">
        <v>6</v>
      </c>
      <c r="J212" s="78">
        <f t="shared" si="33"/>
        <v>2.94</v>
      </c>
      <c r="K212" s="2">
        <f t="shared" si="34"/>
        <v>0.6</v>
      </c>
      <c r="L212" s="8">
        <v>0</v>
      </c>
      <c r="M212" s="1">
        <f t="shared" si="28"/>
        <v>0</v>
      </c>
      <c r="N212" s="41">
        <v>0</v>
      </c>
      <c r="O212" s="84" t="s">
        <v>275</v>
      </c>
      <c r="P212" s="24" t="s">
        <v>562</v>
      </c>
      <c r="Q212" s="7" t="s">
        <v>557</v>
      </c>
      <c r="R212" s="7"/>
      <c r="S212" s="81">
        <v>0.09</v>
      </c>
      <c r="T212" s="7">
        <v>25</v>
      </c>
      <c r="U212" s="82"/>
      <c r="V212" s="83">
        <f>ROUNDUP(E212*S212,2)</f>
        <v>78.3</v>
      </c>
      <c r="W212" s="83">
        <f>ROUNDUP(E212*0.015,2)</f>
        <v>13.05</v>
      </c>
      <c r="X212" s="82">
        <f>MAX(MIN(SUMIFS(Логистика!$C$2:$C$38,Логистика!$A$2:$A$38,"&lt;="&amp;K212,Логистика!$B$2:$B$38,"&gt;="&amp;K212)*E212,SUMIFS(Логистика!$E$2:$E$38,Логистика!$A$2:$A$38,"&lt;="&amp;K212,Логистика!$B$2:$B$38,"&gt;="&amp;K212)),SUMIFS(Логистика!$D$2:$D$38,Логистика!$A$2:$A$38,"&lt;="&amp;K212,Логистика!$B$2:$B$38,"&gt;="&amp;K212))</f>
        <v>45</v>
      </c>
      <c r="Y212" s="83">
        <f>IF(AND(E212*0.055&gt;20,E212*0.055&lt;250),ROUNDUP(E212*0.055,2),IF(E212*0.055&lt;=20,20,250))</f>
        <v>47.85</v>
      </c>
      <c r="Z212" s="83">
        <f>ROUND(M212*0.05,2)</f>
        <v>0</v>
      </c>
      <c r="AA212" s="83">
        <f>IF(N212=0,0,IF(ROUND(E212*N212,2)&gt;5,ROUND(E212*N212,2),5))</f>
        <v>0</v>
      </c>
      <c r="AB212" s="83">
        <f>IF(O212="Да",ROUND(E212*0.1111,2),0)</f>
        <v>0</v>
      </c>
      <c r="AC212" s="53">
        <f>V212+W212+T212+X212+Y212+Z212+AA212+AB212</f>
        <v>209.2</v>
      </c>
      <c r="AD212" s="8">
        <v>0</v>
      </c>
      <c r="AE212" s="36">
        <f>ROUND(E212*AD212,2)</f>
        <v>0</v>
      </c>
      <c r="AF212" s="6">
        <v>15</v>
      </c>
      <c r="AG212" s="6">
        <v>15</v>
      </c>
      <c r="AH212" s="5">
        <v>430</v>
      </c>
      <c r="AI212" s="57">
        <f>E212-AC212-AE212-AH212</f>
        <v>230.79999999999995</v>
      </c>
      <c r="AJ212" s="17">
        <f>E212-AC212</f>
        <v>660.8</v>
      </c>
      <c r="AK212" s="20">
        <f>ROUND(AI212/E212,2)</f>
        <v>0.27</v>
      </c>
      <c r="AL212" s="21">
        <f t="shared" si="37"/>
        <v>0.54</v>
      </c>
    </row>
    <row r="213" spans="1:38" x14ac:dyDescent="0.25">
      <c r="A213" s="27" t="s">
        <v>80</v>
      </c>
      <c r="B213" s="45" t="s">
        <v>84</v>
      </c>
      <c r="C213" s="31">
        <v>1690</v>
      </c>
      <c r="D213" s="38">
        <v>0</v>
      </c>
      <c r="E213" s="50">
        <f t="shared" si="29"/>
        <v>1690</v>
      </c>
      <c r="F213" s="24">
        <v>0.6</v>
      </c>
      <c r="G213" s="7">
        <v>49</v>
      </c>
      <c r="H213" s="7">
        <v>10</v>
      </c>
      <c r="I213" s="7">
        <v>12</v>
      </c>
      <c r="J213" s="78">
        <f t="shared" si="33"/>
        <v>5.88</v>
      </c>
      <c r="K213" s="2">
        <f t="shared" si="34"/>
        <v>1.2</v>
      </c>
      <c r="L213" s="8">
        <v>0</v>
      </c>
      <c r="M213" s="1">
        <f t="shared" si="28"/>
        <v>0</v>
      </c>
      <c r="N213" s="41">
        <v>0</v>
      </c>
      <c r="O213" s="84" t="s">
        <v>275</v>
      </c>
      <c r="P213" s="24" t="s">
        <v>562</v>
      </c>
      <c r="Q213" s="7" t="s">
        <v>557</v>
      </c>
      <c r="R213" s="7"/>
      <c r="S213" s="81">
        <v>0.09</v>
      </c>
      <c r="T213" s="7">
        <v>25</v>
      </c>
      <c r="U213" s="82"/>
      <c r="V213" s="83">
        <f>ROUNDUP(E213*S213,2)</f>
        <v>152.1</v>
      </c>
      <c r="W213" s="83">
        <f>ROUNDUP(E213*0.015,2)</f>
        <v>25.35</v>
      </c>
      <c r="X213" s="82">
        <f>MAX(MIN(SUMIFS(Логистика!$C$2:$C$38,Логистика!$A$2:$A$38,"&lt;="&amp;K213,Логистика!$B$2:$B$38,"&gt;="&amp;K213)*E213,SUMIFS(Логистика!$E$2:$E$38,Логистика!$A$2:$A$38,"&lt;="&amp;K213,Логистика!$B$2:$B$38,"&gt;="&amp;K213)),SUMIFS(Логистика!$D$2:$D$38,Логистика!$A$2:$A$38,"&lt;="&amp;K213,Логистика!$B$2:$B$38,"&gt;="&amp;K213))</f>
        <v>101.39999999999999</v>
      </c>
      <c r="Y213" s="83">
        <f>IF(AND(E213*0.055&gt;20,E213*0.055&lt;250),ROUNDUP(E213*0.055,2),IF(E213*0.055&lt;=20,20,250))</f>
        <v>92.95</v>
      </c>
      <c r="Z213" s="83">
        <f>ROUND(M213*0.05,2)</f>
        <v>0</v>
      </c>
      <c r="AA213" s="83">
        <f>IF(N213=0,0,IF(ROUND(E213*N213,2)&gt;5,ROUND(E213*N213,2),5))</f>
        <v>0</v>
      </c>
      <c r="AB213" s="83">
        <f>IF(O213="Да",ROUND(E213*0.1111,2),0)</f>
        <v>0</v>
      </c>
      <c r="AC213" s="53">
        <f>V213+W213+T213+X213+Y213+Z213+AA213+AB213</f>
        <v>396.79999999999995</v>
      </c>
      <c r="AD213" s="8">
        <v>0</v>
      </c>
      <c r="AE213" s="36">
        <f>ROUND(E213*AD213,2)</f>
        <v>0</v>
      </c>
      <c r="AF213" s="6">
        <v>15</v>
      </c>
      <c r="AG213" s="6">
        <v>15</v>
      </c>
      <c r="AH213" s="58">
        <f>AH212*2</f>
        <v>860</v>
      </c>
      <c r="AI213" s="57">
        <f>E213-AC213-AE213-AH213</f>
        <v>433.20000000000005</v>
      </c>
      <c r="AJ213" s="17">
        <f>E213-AC213</f>
        <v>1293.2</v>
      </c>
      <c r="AK213" s="20">
        <f>ROUND(AI213/E213,2)</f>
        <v>0.26</v>
      </c>
      <c r="AL213" s="21">
        <f t="shared" si="37"/>
        <v>0.5</v>
      </c>
    </row>
    <row r="214" spans="1:38" x14ac:dyDescent="0.25">
      <c r="A214" s="27" t="s">
        <v>81</v>
      </c>
      <c r="B214" s="45" t="s">
        <v>85</v>
      </c>
      <c r="C214" s="31">
        <v>2490</v>
      </c>
      <c r="D214" s="38">
        <v>0</v>
      </c>
      <c r="E214" s="50">
        <f t="shared" si="29"/>
        <v>2490</v>
      </c>
      <c r="F214" s="24">
        <v>0.9</v>
      </c>
      <c r="G214" s="7">
        <v>49</v>
      </c>
      <c r="H214" s="7">
        <v>10</v>
      </c>
      <c r="I214" s="7">
        <v>18</v>
      </c>
      <c r="J214" s="78">
        <f t="shared" si="33"/>
        <v>8.82</v>
      </c>
      <c r="K214" s="2">
        <f t="shared" si="34"/>
        <v>1.8</v>
      </c>
      <c r="L214" s="8">
        <v>0</v>
      </c>
      <c r="M214" s="1">
        <f t="shared" si="28"/>
        <v>0</v>
      </c>
      <c r="N214" s="41">
        <v>0</v>
      </c>
      <c r="O214" s="84" t="s">
        <v>275</v>
      </c>
      <c r="P214" s="24" t="s">
        <v>562</v>
      </c>
      <c r="Q214" s="7" t="s">
        <v>557</v>
      </c>
      <c r="R214" s="7"/>
      <c r="S214" s="81">
        <v>0.09</v>
      </c>
      <c r="T214" s="7">
        <v>25</v>
      </c>
      <c r="U214" s="82"/>
      <c r="V214" s="83">
        <f>ROUNDUP(E214*S214,2)</f>
        <v>224.1</v>
      </c>
      <c r="W214" s="83">
        <f>ROUNDUP(E214*0.015,2)</f>
        <v>37.35</v>
      </c>
      <c r="X214" s="82">
        <f>MAX(MIN(SUMIFS(Логистика!$C$2:$C$38,Логистика!$A$2:$A$38,"&lt;="&amp;K214,Логистика!$B$2:$B$38,"&gt;="&amp;K214)*E214,SUMIFS(Логистика!$E$2:$E$38,Логистика!$A$2:$A$38,"&lt;="&amp;K214,Логистика!$B$2:$B$38,"&gt;="&amp;K214)),SUMIFS(Логистика!$D$2:$D$38,Логистика!$A$2:$A$38,"&lt;="&amp;K214,Логистика!$B$2:$B$38,"&gt;="&amp;K214))</f>
        <v>149.4</v>
      </c>
      <c r="Y214" s="83">
        <f>IF(AND(E214*0.055&gt;20,E214*0.055&lt;250),ROUNDUP(E214*0.055,2),IF(E214*0.055&lt;=20,20,250))</f>
        <v>136.94999999999999</v>
      </c>
      <c r="Z214" s="83">
        <f>ROUND(M214*0.05,2)</f>
        <v>0</v>
      </c>
      <c r="AA214" s="83">
        <f>IF(N214=0,0,IF(ROUND(E214*N214,2)&gt;5,ROUND(E214*N214,2),5))</f>
        <v>0</v>
      </c>
      <c r="AB214" s="83">
        <f>IF(O214="Да",ROUND(E214*0.1111,2),0)</f>
        <v>0</v>
      </c>
      <c r="AC214" s="53">
        <f>V214+W214+T214+X214+Y214+Z214+AA214+AB214</f>
        <v>572.79999999999995</v>
      </c>
      <c r="AD214" s="8">
        <v>0</v>
      </c>
      <c r="AE214" s="36">
        <f>ROUND(E214*AD214,2)</f>
        <v>0</v>
      </c>
      <c r="AF214" s="6">
        <v>15</v>
      </c>
      <c r="AG214" s="6">
        <v>15</v>
      </c>
      <c r="AH214" s="58">
        <f>AH212*3</f>
        <v>1290</v>
      </c>
      <c r="AI214" s="57">
        <f>E214-AC214-AE214-AH214</f>
        <v>627.20000000000005</v>
      </c>
      <c r="AJ214" s="17">
        <f>E214-AC214</f>
        <v>1917.2</v>
      </c>
      <c r="AK214" s="20">
        <f>ROUND(AI214/E214,2)</f>
        <v>0.25</v>
      </c>
      <c r="AL214" s="21">
        <f t="shared" si="37"/>
        <v>0.49</v>
      </c>
    </row>
    <row r="215" spans="1:38" x14ac:dyDescent="0.25">
      <c r="A215" s="27" t="s">
        <v>82</v>
      </c>
      <c r="B215" s="45" t="s">
        <v>86</v>
      </c>
      <c r="C215" s="31">
        <v>3290</v>
      </c>
      <c r="D215" s="38">
        <v>0</v>
      </c>
      <c r="E215" s="50">
        <f t="shared" si="29"/>
        <v>3290</v>
      </c>
      <c r="F215" s="24">
        <v>1.2</v>
      </c>
      <c r="G215" s="7">
        <v>49</v>
      </c>
      <c r="H215" s="7">
        <v>10</v>
      </c>
      <c r="I215" s="7">
        <v>24</v>
      </c>
      <c r="J215" s="78">
        <f t="shared" si="33"/>
        <v>11.76</v>
      </c>
      <c r="K215" s="2">
        <f t="shared" si="34"/>
        <v>2.4</v>
      </c>
      <c r="L215" s="8">
        <v>0</v>
      </c>
      <c r="M215" s="1">
        <f t="shared" si="28"/>
        <v>0</v>
      </c>
      <c r="N215" s="41">
        <v>0</v>
      </c>
      <c r="O215" s="84" t="s">
        <v>275</v>
      </c>
      <c r="P215" s="24" t="s">
        <v>562</v>
      </c>
      <c r="Q215" s="7" t="s">
        <v>557</v>
      </c>
      <c r="R215" s="7"/>
      <c r="S215" s="81">
        <v>0.09</v>
      </c>
      <c r="T215" s="7">
        <v>25</v>
      </c>
      <c r="U215" s="82"/>
      <c r="V215" s="83">
        <f>ROUNDUP(E215*S215,2)</f>
        <v>296.10000000000002</v>
      </c>
      <c r="W215" s="83">
        <f>ROUNDUP(E215*0.015,2)</f>
        <v>49.35</v>
      </c>
      <c r="X215" s="82">
        <f>MAX(MIN(SUMIFS(Логистика!$C$2:$C$38,Логистика!$A$2:$A$38,"&lt;="&amp;K215,Логистика!$B$2:$B$38,"&gt;="&amp;K215)*E215,SUMIFS(Логистика!$E$2:$E$38,Логистика!$A$2:$A$38,"&lt;="&amp;K215,Логистика!$B$2:$B$38,"&gt;="&amp;K215)),SUMIFS(Логистика!$D$2:$D$38,Логистика!$A$2:$A$38,"&lt;="&amp;K215,Логистика!$B$2:$B$38,"&gt;="&amp;K215))</f>
        <v>197.4</v>
      </c>
      <c r="Y215" s="83">
        <f>IF(AND(E215*0.055&gt;20,E215*0.055&lt;250),ROUNDUP(E215*0.055,2),IF(E215*0.055&lt;=20,20,250))</f>
        <v>180.95</v>
      </c>
      <c r="Z215" s="83">
        <f>ROUND(M215*0.05,2)</f>
        <v>0</v>
      </c>
      <c r="AA215" s="83">
        <f>IF(N215=0,0,IF(ROUND(E215*N215,2)&gt;5,ROUND(E215*N215,2),5))</f>
        <v>0</v>
      </c>
      <c r="AB215" s="83">
        <f>IF(O215="Да",ROUND(E215*0.1111,2),0)</f>
        <v>0</v>
      </c>
      <c r="AC215" s="53">
        <f>V215+W215+T215+X215+Y215+Z215+AA215+AB215</f>
        <v>748.8</v>
      </c>
      <c r="AD215" s="8">
        <v>0</v>
      </c>
      <c r="AE215" s="36">
        <f>ROUND(E215*AD215,2)</f>
        <v>0</v>
      </c>
      <c r="AF215" s="6">
        <v>15</v>
      </c>
      <c r="AG215" s="6">
        <v>15</v>
      </c>
      <c r="AH215" s="58">
        <f>AH212*4</f>
        <v>1720</v>
      </c>
      <c r="AI215" s="57">
        <f>E215-AC215-AE215-AH215</f>
        <v>821.19999999999982</v>
      </c>
      <c r="AJ215" s="17">
        <f>E215-AC215</f>
        <v>2541.1999999999998</v>
      </c>
      <c r="AK215" s="20">
        <f>ROUND(AI215/E215,2)</f>
        <v>0.25</v>
      </c>
      <c r="AL215" s="21">
        <f t="shared" si="35"/>
        <v>0.48</v>
      </c>
    </row>
    <row r="216" spans="1:38" x14ac:dyDescent="0.25">
      <c r="A216" s="27" t="s">
        <v>83</v>
      </c>
      <c r="B216" s="45" t="s">
        <v>87</v>
      </c>
      <c r="C216" s="31">
        <v>3950</v>
      </c>
      <c r="D216" s="38">
        <v>0</v>
      </c>
      <c r="E216" s="50">
        <f t="shared" si="29"/>
        <v>3950</v>
      </c>
      <c r="F216" s="24">
        <v>1.5</v>
      </c>
      <c r="G216" s="7">
        <v>49</v>
      </c>
      <c r="H216" s="7">
        <v>10</v>
      </c>
      <c r="I216" s="7">
        <v>30</v>
      </c>
      <c r="J216" s="78">
        <f t="shared" si="33"/>
        <v>14.7</v>
      </c>
      <c r="K216" s="2">
        <f t="shared" si="34"/>
        <v>2.9</v>
      </c>
      <c r="L216" s="8">
        <v>0</v>
      </c>
      <c r="M216" s="1">
        <f t="shared" si="28"/>
        <v>0</v>
      </c>
      <c r="N216" s="41">
        <v>0</v>
      </c>
      <c r="O216" s="84" t="s">
        <v>275</v>
      </c>
      <c r="P216" s="24" t="s">
        <v>562</v>
      </c>
      <c r="Q216" s="7" t="s">
        <v>557</v>
      </c>
      <c r="R216" s="7"/>
      <c r="S216" s="81">
        <v>0.09</v>
      </c>
      <c r="T216" s="7">
        <v>25</v>
      </c>
      <c r="U216" s="82"/>
      <c r="V216" s="83">
        <f>ROUNDUP(E216*S216,2)</f>
        <v>355.5</v>
      </c>
      <c r="W216" s="83">
        <f>ROUNDUP(E216*0.015,2)</f>
        <v>59.25</v>
      </c>
      <c r="X216" s="82">
        <f>MAX(MIN(SUMIFS(Логистика!$C$2:$C$38,Логистика!$A$2:$A$38,"&lt;="&amp;K216,Логистика!$B$2:$B$38,"&gt;="&amp;K216)*E216,SUMIFS(Логистика!$E$2:$E$38,Логистика!$A$2:$A$38,"&lt;="&amp;K216,Логистика!$B$2:$B$38,"&gt;="&amp;K216)),SUMIFS(Логистика!$D$2:$D$38,Логистика!$A$2:$A$38,"&lt;="&amp;K216,Логистика!$B$2:$B$38,"&gt;="&amp;K216))</f>
        <v>237</v>
      </c>
      <c r="Y216" s="83">
        <f>IF(AND(E216*0.055&gt;20,E216*0.055&lt;250),ROUNDUP(E216*0.055,2),IF(E216*0.055&lt;=20,20,250))</f>
        <v>217.25</v>
      </c>
      <c r="Z216" s="83">
        <f>ROUND(M216*0.05,2)</f>
        <v>0</v>
      </c>
      <c r="AA216" s="83">
        <f>IF(N216=0,0,IF(ROUND(E216*N216,2)&gt;5,ROUND(E216*N216,2),5))</f>
        <v>0</v>
      </c>
      <c r="AB216" s="83">
        <f>IF(O216="Да",ROUND(E216*0.1111,2),0)</f>
        <v>0</v>
      </c>
      <c r="AC216" s="53">
        <f>V216+W216+T216+X216+Y216+Z216+AA216+AB216</f>
        <v>894</v>
      </c>
      <c r="AD216" s="8">
        <v>0</v>
      </c>
      <c r="AE216" s="36">
        <f>ROUND(E216*AD216,2)</f>
        <v>0</v>
      </c>
      <c r="AF216" s="6">
        <v>15</v>
      </c>
      <c r="AG216" s="6">
        <v>15</v>
      </c>
      <c r="AH216" s="58">
        <f>AH212*5</f>
        <v>2150</v>
      </c>
      <c r="AI216" s="57">
        <f>E216-AC216-AE216-AH216</f>
        <v>906</v>
      </c>
      <c r="AJ216" s="17">
        <f>E216-AC216</f>
        <v>3056</v>
      </c>
      <c r="AK216" s="20">
        <f>ROUND(AI216/E216,2)</f>
        <v>0.23</v>
      </c>
      <c r="AL216" s="21">
        <f t="shared" si="35"/>
        <v>0.42</v>
      </c>
    </row>
    <row r="217" spans="1:38" x14ac:dyDescent="0.25">
      <c r="A217" s="27"/>
      <c r="B217" s="45"/>
      <c r="C217" s="31"/>
      <c r="D217" s="38">
        <v>0</v>
      </c>
      <c r="E217" s="50">
        <f t="shared" si="29"/>
        <v>0</v>
      </c>
      <c r="F217" s="24"/>
      <c r="G217" s="7">
        <v>0</v>
      </c>
      <c r="H217" s="7">
        <v>0</v>
      </c>
      <c r="I217" s="7">
        <v>0</v>
      </c>
      <c r="J217" s="78">
        <f t="shared" si="33"/>
        <v>0</v>
      </c>
      <c r="K217" s="2">
        <f t="shared" si="34"/>
        <v>0</v>
      </c>
      <c r="L217" s="8">
        <v>0</v>
      </c>
      <c r="M217" s="1">
        <f t="shared" si="28"/>
        <v>0</v>
      </c>
      <c r="N217" s="41">
        <v>0</v>
      </c>
      <c r="O217" s="84" t="s">
        <v>275</v>
      </c>
      <c r="P217" s="24" t="s">
        <v>562</v>
      </c>
      <c r="Q217" s="7" t="s">
        <v>557</v>
      </c>
      <c r="R217" s="7"/>
      <c r="S217" s="81"/>
      <c r="T217" s="7"/>
      <c r="U217" s="82"/>
      <c r="V217" s="83">
        <f>ROUNDUP(E217*S217,2)</f>
        <v>0</v>
      </c>
      <c r="W217" s="83">
        <f>ROUNDUP(E217*0.015,2)</f>
        <v>0</v>
      </c>
      <c r="X217" s="82">
        <f>MAX(MIN(SUMIFS(Логистика!$C$2:$C$38,Логистика!$A$2:$A$38,"&lt;="&amp;K217,Логистика!$B$2:$B$38,"&gt;="&amp;K217)*E217,SUMIFS(Логистика!$E$2:$E$38,Логистика!$A$2:$A$38,"&lt;="&amp;K217,Логистика!$B$2:$B$38,"&gt;="&amp;K217)),SUMIFS(Логистика!$D$2:$D$38,Логистика!$A$2:$A$38,"&lt;="&amp;K217,Логистика!$B$2:$B$38,"&gt;="&amp;K217))</f>
        <v>0</v>
      </c>
      <c r="Y217" s="83">
        <f>IF(AND(E217*0.055&gt;20,E217*0.055&lt;250),ROUNDUP(E217*0.055,2),IF(E217*0.055&lt;=20,20,250))</f>
        <v>20</v>
      </c>
      <c r="Z217" s="83">
        <f>ROUND(M217*0.05,2)</f>
        <v>0</v>
      </c>
      <c r="AA217" s="83">
        <f>IF(N217=0,0,IF(ROUND(E217*N217,2)&gt;5,ROUND(E217*N217,2),5))</f>
        <v>0</v>
      </c>
      <c r="AB217" s="83">
        <f>IF(O217="Да",ROUND(E217*0.1111,2),0)</f>
        <v>0</v>
      </c>
      <c r="AC217" s="53">
        <f>V217+W217+T217+X217+Y217+Z217+AA217+AB217</f>
        <v>20</v>
      </c>
      <c r="AD217" s="8">
        <v>0</v>
      </c>
      <c r="AE217" s="36">
        <f>ROUND(E217*AD217,2)</f>
        <v>0</v>
      </c>
      <c r="AF217" s="6">
        <v>15</v>
      </c>
      <c r="AG217" s="6">
        <v>15</v>
      </c>
      <c r="AH217" s="5"/>
      <c r="AI217" s="57">
        <f>E217-AC217-AE217-AH217</f>
        <v>-20</v>
      </c>
      <c r="AJ217" s="17">
        <f>E217-AC217</f>
        <v>-20</v>
      </c>
      <c r="AK217" s="20" t="e">
        <f>ROUND(AI217/E217,2)</f>
        <v>#DIV/0!</v>
      </c>
      <c r="AL217" s="21" t="e">
        <f t="shared" si="35"/>
        <v>#DIV/0!</v>
      </c>
    </row>
    <row r="218" spans="1:38" x14ac:dyDescent="0.25">
      <c r="A218" s="27"/>
      <c r="B218" s="45"/>
      <c r="C218" s="31"/>
      <c r="D218" s="38">
        <v>0</v>
      </c>
      <c r="E218" s="50">
        <f t="shared" si="29"/>
        <v>0</v>
      </c>
      <c r="F218" s="24"/>
      <c r="G218" s="7">
        <v>0</v>
      </c>
      <c r="H218" s="7">
        <v>0</v>
      </c>
      <c r="I218" s="7">
        <v>0</v>
      </c>
      <c r="J218" s="78">
        <f t="shared" si="33"/>
        <v>0</v>
      </c>
      <c r="K218" s="2">
        <f t="shared" si="34"/>
        <v>0</v>
      </c>
      <c r="L218" s="8">
        <v>0</v>
      </c>
      <c r="M218" s="1">
        <f t="shared" si="28"/>
        <v>0</v>
      </c>
      <c r="N218" s="41">
        <v>0</v>
      </c>
      <c r="O218" s="84" t="s">
        <v>275</v>
      </c>
      <c r="P218" s="24" t="s">
        <v>562</v>
      </c>
      <c r="Q218" s="7" t="s">
        <v>557</v>
      </c>
      <c r="R218" s="7"/>
      <c r="S218" s="81"/>
      <c r="T218" s="7"/>
      <c r="U218" s="82"/>
      <c r="V218" s="83">
        <f>ROUNDUP(E218*S218,2)</f>
        <v>0</v>
      </c>
      <c r="W218" s="83">
        <f>ROUNDUP(E218*0.015,2)</f>
        <v>0</v>
      </c>
      <c r="X218" s="82">
        <f>MAX(MIN(SUMIFS(Логистика!$C$2:$C$38,Логистика!$A$2:$A$38,"&lt;="&amp;K218,Логистика!$B$2:$B$38,"&gt;="&amp;K218)*E218,SUMIFS(Логистика!$E$2:$E$38,Логистика!$A$2:$A$38,"&lt;="&amp;K218,Логистика!$B$2:$B$38,"&gt;="&amp;K218)),SUMIFS(Логистика!$D$2:$D$38,Логистика!$A$2:$A$38,"&lt;="&amp;K218,Логистика!$B$2:$B$38,"&gt;="&amp;K218))</f>
        <v>0</v>
      </c>
      <c r="Y218" s="83">
        <f>IF(AND(E218*0.055&gt;20,E218*0.055&lt;250),ROUNDUP(E218*0.055,2),IF(E218*0.055&lt;=20,20,250))</f>
        <v>20</v>
      </c>
      <c r="Z218" s="83">
        <f>ROUND(M218*0.05,2)</f>
        <v>0</v>
      </c>
      <c r="AA218" s="83">
        <f>IF(N218=0,0,IF(ROUND(E218*N218,2)&gt;5,ROUND(E218*N218,2),5))</f>
        <v>0</v>
      </c>
      <c r="AB218" s="83">
        <f>IF(O218="Да",ROUND(E218*0.1111,2),0)</f>
        <v>0</v>
      </c>
      <c r="AC218" s="53">
        <f>V218+W218+T218+X218+Y218+Z218+AA218+AB218</f>
        <v>20</v>
      </c>
      <c r="AD218" s="8">
        <v>0</v>
      </c>
      <c r="AE218" s="36">
        <f>ROUND(E218*AD218,2)</f>
        <v>0</v>
      </c>
      <c r="AF218" s="6">
        <v>15</v>
      </c>
      <c r="AG218" s="6">
        <v>15</v>
      </c>
      <c r="AH218" s="5"/>
      <c r="AI218" s="57">
        <f>E218-AC218-AE218-AH218</f>
        <v>-20</v>
      </c>
      <c r="AJ218" s="17">
        <f>E218-AC218</f>
        <v>-20</v>
      </c>
      <c r="AK218" s="20" t="e">
        <f>ROUND(AI218/E218,2)</f>
        <v>#DIV/0!</v>
      </c>
      <c r="AL218" s="21" t="e">
        <f t="shared" si="35"/>
        <v>#DIV/0!</v>
      </c>
    </row>
    <row r="219" spans="1:38" ht="14.25" customHeight="1" x14ac:dyDescent="0.25">
      <c r="A219" s="27"/>
      <c r="B219" s="45"/>
      <c r="C219" s="31"/>
      <c r="D219" s="38">
        <v>0</v>
      </c>
      <c r="E219" s="50">
        <f t="shared" si="29"/>
        <v>0</v>
      </c>
      <c r="F219" s="24"/>
      <c r="G219" s="7">
        <v>0</v>
      </c>
      <c r="H219" s="7">
        <v>0</v>
      </c>
      <c r="I219" s="7">
        <v>0</v>
      </c>
      <c r="J219" s="78">
        <f t="shared" si="33"/>
        <v>0</v>
      </c>
      <c r="K219" s="2">
        <f t="shared" si="34"/>
        <v>0</v>
      </c>
      <c r="L219" s="8">
        <v>0</v>
      </c>
      <c r="M219" s="1">
        <f t="shared" si="28"/>
        <v>0</v>
      </c>
      <c r="N219" s="41">
        <v>0</v>
      </c>
      <c r="O219" s="84" t="s">
        <v>275</v>
      </c>
      <c r="P219" s="24" t="s">
        <v>562</v>
      </c>
      <c r="Q219" s="7" t="s">
        <v>557</v>
      </c>
      <c r="R219" s="7"/>
      <c r="S219" s="81"/>
      <c r="T219" s="7"/>
      <c r="U219" s="82"/>
      <c r="V219" s="83">
        <f>ROUNDUP(E219*S219,2)</f>
        <v>0</v>
      </c>
      <c r="W219" s="83">
        <f>ROUNDUP(E219*0.015,2)</f>
        <v>0</v>
      </c>
      <c r="X219" s="82">
        <f>MAX(MIN(SUMIFS(Логистика!$C$2:$C$38,Логистика!$A$2:$A$38,"&lt;="&amp;K219,Логистика!$B$2:$B$38,"&gt;="&amp;K219)*E219,SUMIFS(Логистика!$E$2:$E$38,Логистика!$A$2:$A$38,"&lt;="&amp;K219,Логистика!$B$2:$B$38,"&gt;="&amp;K219)),SUMIFS(Логистика!$D$2:$D$38,Логистика!$A$2:$A$38,"&lt;="&amp;K219,Логистика!$B$2:$B$38,"&gt;="&amp;K219))</f>
        <v>0</v>
      </c>
      <c r="Y219" s="83">
        <f>IF(AND(E219*0.055&gt;20,E219*0.055&lt;250),ROUNDUP(E219*0.055,2),IF(E219*0.055&lt;=20,20,250))</f>
        <v>20</v>
      </c>
      <c r="Z219" s="83">
        <f>ROUND(M219*0.05,2)</f>
        <v>0</v>
      </c>
      <c r="AA219" s="83">
        <f>IF(N219=0,0,IF(ROUND(E219*N219,2)&gt;5,ROUND(E219*N219,2),5))</f>
        <v>0</v>
      </c>
      <c r="AB219" s="83">
        <f>IF(O219="Да",ROUND(E219*0.1111,2),0)</f>
        <v>0</v>
      </c>
      <c r="AC219" s="53">
        <f>V219+W219+T219+X219+Y219+Z219+AA219+AB219</f>
        <v>20</v>
      </c>
      <c r="AD219" s="8">
        <v>0</v>
      </c>
      <c r="AE219" s="36">
        <f>ROUND(E219*AD219,2)</f>
        <v>0</v>
      </c>
      <c r="AF219" s="6">
        <v>15</v>
      </c>
      <c r="AG219" s="6">
        <v>15</v>
      </c>
      <c r="AH219" s="5"/>
      <c r="AI219" s="57">
        <f>E219-AC219-AE219-AH219</f>
        <v>-20</v>
      </c>
      <c r="AJ219" s="17">
        <f>E219-AC219</f>
        <v>-20</v>
      </c>
      <c r="AK219" s="20" t="e">
        <f>ROUND(AI219/E219,2)</f>
        <v>#DIV/0!</v>
      </c>
      <c r="AL219" s="21" t="e">
        <f t="shared" si="35"/>
        <v>#DIV/0!</v>
      </c>
    </row>
    <row r="220" spans="1:38" x14ac:dyDescent="0.25">
      <c r="A220" s="27" t="s">
        <v>150</v>
      </c>
      <c r="B220" s="46" t="s">
        <v>21</v>
      </c>
      <c r="C220" s="31">
        <v>1950</v>
      </c>
      <c r="D220" s="38">
        <v>0</v>
      </c>
      <c r="E220" s="50">
        <f t="shared" si="29"/>
        <v>1950</v>
      </c>
      <c r="F220" s="24">
        <v>0.5</v>
      </c>
      <c r="G220" s="7">
        <v>55.000000000000007</v>
      </c>
      <c r="H220" s="7">
        <v>17</v>
      </c>
      <c r="I220" s="7">
        <v>17</v>
      </c>
      <c r="J220" s="78">
        <f t="shared" si="33"/>
        <v>15.895000000000001</v>
      </c>
      <c r="K220" s="2">
        <f t="shared" si="34"/>
        <v>3.2</v>
      </c>
      <c r="L220" s="8">
        <v>0</v>
      </c>
      <c r="M220" s="1">
        <f t="shared" si="28"/>
        <v>0</v>
      </c>
      <c r="N220" s="41">
        <v>0</v>
      </c>
      <c r="O220" s="84" t="s">
        <v>275</v>
      </c>
      <c r="P220" s="24" t="s">
        <v>562</v>
      </c>
      <c r="Q220" s="7" t="s">
        <v>557</v>
      </c>
      <c r="R220" s="7"/>
      <c r="S220" s="81">
        <v>0.09</v>
      </c>
      <c r="T220" s="7">
        <v>25</v>
      </c>
      <c r="U220" s="82"/>
      <c r="V220" s="83">
        <f>ROUNDUP(E220*S220,2)</f>
        <v>175.5</v>
      </c>
      <c r="W220" s="83">
        <f>ROUNDUP(E220*0.015,2)</f>
        <v>29.25</v>
      </c>
      <c r="X220" s="82">
        <f>MAX(MIN(SUMIFS(Логистика!$C$2:$C$38,Логистика!$A$2:$A$38,"&lt;="&amp;K220,Логистика!$B$2:$B$38,"&gt;="&amp;K220)*E220,SUMIFS(Логистика!$E$2:$E$38,Логистика!$A$2:$A$38,"&lt;="&amp;K220,Логистика!$B$2:$B$38,"&gt;="&amp;K220)),SUMIFS(Логистика!$D$2:$D$38,Логистика!$A$2:$A$38,"&lt;="&amp;K220,Логистика!$B$2:$B$38,"&gt;="&amp;K220))</f>
        <v>117</v>
      </c>
      <c r="Y220" s="83">
        <f>IF(AND(E220*0.055&gt;20,E220*0.055&lt;250),ROUNDUP(E220*0.055,2),IF(E220*0.055&lt;=20,20,250))</f>
        <v>107.25</v>
      </c>
      <c r="Z220" s="83">
        <f>ROUND(M220*0.05,2)</f>
        <v>0</v>
      </c>
      <c r="AA220" s="83">
        <f>IF(N220=0,0,IF(ROUND(E220*N220,2)&gt;5,ROUND(E220*N220,2),5))</f>
        <v>0</v>
      </c>
      <c r="AB220" s="83">
        <f>IF(O220="Да",ROUND(E220*0.1111,2),0)</f>
        <v>0</v>
      </c>
      <c r="AC220" s="53">
        <f>V220+W220+T220+X220+Y220+Z220+AA220+AB220</f>
        <v>454</v>
      </c>
      <c r="AD220" s="8">
        <v>0</v>
      </c>
      <c r="AE220" s="36">
        <f>ROUND(E220*AD220,2)</f>
        <v>0</v>
      </c>
      <c r="AF220" s="6">
        <v>15</v>
      </c>
      <c r="AG220" s="6">
        <v>15</v>
      </c>
      <c r="AH220" s="5">
        <v>1070</v>
      </c>
      <c r="AI220" s="57">
        <f>E220-AC220-AE220-AH220</f>
        <v>426</v>
      </c>
      <c r="AJ220" s="17">
        <f>E220-AC220</f>
        <v>1496</v>
      </c>
      <c r="AK220" s="20">
        <f>ROUND(AI220/E220,2)</f>
        <v>0.22</v>
      </c>
      <c r="AL220" s="21">
        <f t="shared" si="35"/>
        <v>0.4</v>
      </c>
    </row>
    <row r="221" spans="1:38" x14ac:dyDescent="0.25">
      <c r="A221" s="3" t="s">
        <v>37</v>
      </c>
      <c r="B221" s="46" t="s">
        <v>105</v>
      </c>
      <c r="C221" s="31">
        <v>900</v>
      </c>
      <c r="D221" s="38">
        <v>0</v>
      </c>
      <c r="E221" s="50">
        <f t="shared" si="29"/>
        <v>900</v>
      </c>
      <c r="F221" s="24">
        <v>0.1</v>
      </c>
      <c r="G221" s="7">
        <v>33</v>
      </c>
      <c r="H221" s="7">
        <v>31</v>
      </c>
      <c r="I221" s="7">
        <v>7.0000000000000009</v>
      </c>
      <c r="J221" s="78">
        <f t="shared" si="33"/>
        <v>7.1610000000000005</v>
      </c>
      <c r="K221" s="2">
        <f t="shared" si="34"/>
        <v>1.4</v>
      </c>
      <c r="L221" s="8">
        <v>0</v>
      </c>
      <c r="M221" s="1">
        <f t="shared" si="28"/>
        <v>0</v>
      </c>
      <c r="N221" s="41">
        <v>0</v>
      </c>
      <c r="O221" s="84" t="s">
        <v>275</v>
      </c>
      <c r="P221" s="24" t="s">
        <v>562</v>
      </c>
      <c r="Q221" s="7" t="s">
        <v>557</v>
      </c>
      <c r="R221" s="7"/>
      <c r="S221" s="81">
        <v>0.09</v>
      </c>
      <c r="T221" s="7">
        <v>25</v>
      </c>
      <c r="U221" s="82"/>
      <c r="V221" s="83">
        <f>ROUNDUP(E221*S221,2)</f>
        <v>81</v>
      </c>
      <c r="W221" s="83">
        <f>ROUNDUP(E221*0.015,2)</f>
        <v>13.5</v>
      </c>
      <c r="X221" s="82">
        <f>MAX(MIN(SUMIFS(Логистика!$C$2:$C$38,Логистика!$A$2:$A$38,"&lt;="&amp;K221,Логистика!$B$2:$B$38,"&gt;="&amp;K221)*E221,SUMIFS(Логистика!$E$2:$E$38,Логистика!$A$2:$A$38,"&lt;="&amp;K221,Логистика!$B$2:$B$38,"&gt;="&amp;K221)),SUMIFS(Логистика!$D$2:$D$38,Логистика!$A$2:$A$38,"&lt;="&amp;K221,Логистика!$B$2:$B$38,"&gt;="&amp;K221))</f>
        <v>63</v>
      </c>
      <c r="Y221" s="83">
        <f>IF(AND(E221*0.055&gt;20,E221*0.055&lt;250),ROUNDUP(E221*0.055,2),IF(E221*0.055&lt;=20,20,250))</f>
        <v>49.5</v>
      </c>
      <c r="Z221" s="83">
        <f>ROUND(M221*0.05,2)</f>
        <v>0</v>
      </c>
      <c r="AA221" s="83">
        <f>IF(N221=0,0,IF(ROUND(E221*N221,2)&gt;5,ROUND(E221*N221,2),5))</f>
        <v>0</v>
      </c>
      <c r="AB221" s="83">
        <f>IF(O221="Да",ROUND(E221*0.1111,2),0)</f>
        <v>0</v>
      </c>
      <c r="AC221" s="53">
        <f>V221+W221+T221+X221+Y221+Z221+AA221+AB221</f>
        <v>232</v>
      </c>
      <c r="AD221" s="8">
        <v>0</v>
      </c>
      <c r="AE221" s="36">
        <f>ROUND(E221*AD221,2)</f>
        <v>0</v>
      </c>
      <c r="AF221" s="6">
        <v>15</v>
      </c>
      <c r="AG221" s="6">
        <v>15</v>
      </c>
      <c r="AH221" s="5"/>
      <c r="AI221" s="57">
        <f>E221-AC221-AE221-AH221</f>
        <v>668</v>
      </c>
      <c r="AJ221" s="17">
        <f>E221-AC221</f>
        <v>668</v>
      </c>
      <c r="AK221" s="20">
        <f>ROUND(AI221/E221,2)</f>
        <v>0.74</v>
      </c>
      <c r="AL221" s="21" t="e">
        <f t="shared" si="2"/>
        <v>#DIV/0!</v>
      </c>
    </row>
    <row r="222" spans="1:38" x14ac:dyDescent="0.25">
      <c r="A222" s="3" t="s">
        <v>107</v>
      </c>
      <c r="B222" s="46" t="s">
        <v>106</v>
      </c>
      <c r="C222" s="31"/>
      <c r="D222" s="38">
        <v>0</v>
      </c>
      <c r="E222" s="50">
        <f t="shared" si="29"/>
        <v>0</v>
      </c>
      <c r="F222" s="24">
        <v>7.0000000000000007E-2</v>
      </c>
      <c r="G222" s="7">
        <v>26</v>
      </c>
      <c r="H222" s="7">
        <v>27</v>
      </c>
      <c r="I222" s="7">
        <v>8</v>
      </c>
      <c r="J222" s="78">
        <f t="shared" si="33"/>
        <v>5.6159999999999997</v>
      </c>
      <c r="K222" s="2">
        <f t="shared" si="34"/>
        <v>1.1000000000000001</v>
      </c>
      <c r="L222" s="8">
        <v>0</v>
      </c>
      <c r="M222" s="1">
        <f t="shared" si="28"/>
        <v>0</v>
      </c>
      <c r="N222" s="41">
        <v>0</v>
      </c>
      <c r="O222" s="84" t="s">
        <v>275</v>
      </c>
      <c r="P222" s="24" t="s">
        <v>562</v>
      </c>
      <c r="Q222" s="7" t="s">
        <v>557</v>
      </c>
      <c r="R222" s="7"/>
      <c r="S222" s="81">
        <v>0.09</v>
      </c>
      <c r="T222" s="7">
        <v>25</v>
      </c>
      <c r="U222" s="82"/>
      <c r="V222" s="83">
        <f>ROUNDUP(E222*S222,2)</f>
        <v>0</v>
      </c>
      <c r="W222" s="83">
        <f>ROUNDUP(E222*0.015,2)</f>
        <v>0</v>
      </c>
      <c r="X222" s="82">
        <f>MAX(MIN(SUMIFS(Логистика!$C$2:$C$38,Логистика!$A$2:$A$38,"&lt;="&amp;K222,Логистика!$B$2:$B$38,"&gt;="&amp;K222)*E222,SUMIFS(Логистика!$E$2:$E$38,Логистика!$A$2:$A$38,"&lt;="&amp;K222,Логистика!$B$2:$B$38,"&gt;="&amp;K222)),SUMIFS(Логистика!$D$2:$D$38,Логистика!$A$2:$A$38,"&lt;="&amp;K222,Логистика!$B$2:$B$38,"&gt;="&amp;K222))</f>
        <v>55</v>
      </c>
      <c r="Y222" s="83">
        <f>IF(AND(E222*0.055&gt;20,E222*0.055&lt;250),ROUNDUP(E222*0.055,2),IF(E222*0.055&lt;=20,20,250))</f>
        <v>20</v>
      </c>
      <c r="Z222" s="83">
        <f>ROUND(M222*0.05,2)</f>
        <v>0</v>
      </c>
      <c r="AA222" s="83">
        <f>IF(N222=0,0,IF(ROUND(E222*N222,2)&gt;5,ROUND(E222*N222,2),5))</f>
        <v>0</v>
      </c>
      <c r="AB222" s="83">
        <f>IF(O222="Да",ROUND(E222*0.1111,2),0)</f>
        <v>0</v>
      </c>
      <c r="AC222" s="53">
        <f>V222+W222+T222+X222+Y222+Z222+AA222+AB222</f>
        <v>100</v>
      </c>
      <c r="AD222" s="8">
        <v>0</v>
      </c>
      <c r="AE222" s="36">
        <f>ROUND(E222*AD222,2)</f>
        <v>0</v>
      </c>
      <c r="AF222" s="6">
        <v>15</v>
      </c>
      <c r="AG222" s="6">
        <v>15</v>
      </c>
      <c r="AH222" s="5"/>
      <c r="AI222" s="57">
        <f>E222-AC222-AE222-AH222</f>
        <v>-100</v>
      </c>
      <c r="AJ222" s="17">
        <f>E222-AC222</f>
        <v>-100</v>
      </c>
      <c r="AK222" s="20" t="e">
        <f>ROUND(AI222/E222,2)</f>
        <v>#DIV/0!</v>
      </c>
      <c r="AL222" s="21" t="e">
        <f t="shared" ref="AL222" si="38">ROUND(AI222/AH222,2)</f>
        <v>#DIV/0!</v>
      </c>
    </row>
    <row r="223" spans="1:38" x14ac:dyDescent="0.25">
      <c r="A223" s="3" t="s">
        <v>28</v>
      </c>
      <c r="B223" s="46" t="s">
        <v>104</v>
      </c>
      <c r="C223" s="31">
        <v>410</v>
      </c>
      <c r="D223" s="38">
        <v>0</v>
      </c>
      <c r="E223" s="50">
        <f t="shared" si="29"/>
        <v>410</v>
      </c>
      <c r="F223" s="24">
        <v>0.05</v>
      </c>
      <c r="G223" s="7">
        <v>14.000000000000002</v>
      </c>
      <c r="H223" s="7">
        <v>16</v>
      </c>
      <c r="I223" s="7">
        <v>6</v>
      </c>
      <c r="J223" s="78">
        <f t="shared" si="33"/>
        <v>1.3440000000000003</v>
      </c>
      <c r="K223" s="2">
        <f t="shared" si="34"/>
        <v>0.3</v>
      </c>
      <c r="L223" s="8">
        <v>0</v>
      </c>
      <c r="M223" s="1">
        <f t="shared" si="28"/>
        <v>0</v>
      </c>
      <c r="N223" s="41">
        <v>0.09</v>
      </c>
      <c r="O223" s="84" t="s">
        <v>275</v>
      </c>
      <c r="P223" s="24" t="s">
        <v>562</v>
      </c>
      <c r="Q223" s="7" t="s">
        <v>557</v>
      </c>
      <c r="R223" s="7"/>
      <c r="S223" s="81">
        <v>0.09</v>
      </c>
      <c r="T223" s="7">
        <v>25</v>
      </c>
      <c r="U223" s="82"/>
      <c r="V223" s="83">
        <f>ROUNDUP(E223*S223,2)</f>
        <v>36.9</v>
      </c>
      <c r="W223" s="83">
        <f>ROUNDUP(E223*0.015,2)</f>
        <v>6.15</v>
      </c>
      <c r="X223" s="82">
        <f>MAX(MIN(SUMIFS(Логистика!$C$2:$C$38,Логистика!$A$2:$A$38,"&lt;="&amp;K223,Логистика!$B$2:$B$38,"&gt;="&amp;K223)*E223,SUMIFS(Логистика!$E$2:$E$38,Логистика!$A$2:$A$38,"&lt;="&amp;K223,Логистика!$B$2:$B$38,"&gt;="&amp;K223)),SUMIFS(Логистика!$D$2:$D$38,Логистика!$A$2:$A$38,"&lt;="&amp;K223,Логистика!$B$2:$B$38,"&gt;="&amp;K223))</f>
        <v>42</v>
      </c>
      <c r="Y223" s="83">
        <f>IF(AND(E223*0.055&gt;20,E223*0.055&lt;250),ROUNDUP(E223*0.055,2),IF(E223*0.055&lt;=20,20,250))</f>
        <v>22.55</v>
      </c>
      <c r="Z223" s="83">
        <f>ROUND(M223*0.05,2)</f>
        <v>0</v>
      </c>
      <c r="AA223" s="83">
        <f>IF(N223=0,0,IF(ROUND(E223*N223,2)&gt;5,ROUND(E223*N223,2),5))</f>
        <v>36.9</v>
      </c>
      <c r="AB223" s="83">
        <f>IF(O223="Да",ROUND(E223*0.1111,2),0)</f>
        <v>0</v>
      </c>
      <c r="AC223" s="53">
        <f>V223+W223+T223+X223+Y223+Z223+AA223+AB223</f>
        <v>169.5</v>
      </c>
      <c r="AD223" s="8">
        <v>0</v>
      </c>
      <c r="AE223" s="36">
        <f>ROUND(E223*AD223,2)</f>
        <v>0</v>
      </c>
      <c r="AF223" s="6">
        <v>15</v>
      </c>
      <c r="AG223" s="6">
        <v>15</v>
      </c>
      <c r="AH223" s="5">
        <v>170</v>
      </c>
      <c r="AI223" s="57">
        <f>E223-AC223-AE223-AH223</f>
        <v>70.5</v>
      </c>
      <c r="AJ223" s="17">
        <f>E223-AC223</f>
        <v>240.5</v>
      </c>
      <c r="AK223" s="20">
        <f>ROUND(AI223/E223,2)</f>
        <v>0.17</v>
      </c>
      <c r="AL223" s="21">
        <f t="shared" ref="AL223:AL317" si="39">ROUND(AI223/AH223,2)</f>
        <v>0.41</v>
      </c>
    </row>
    <row r="224" spans="1:38" x14ac:dyDescent="0.25">
      <c r="A224" s="3" t="s">
        <v>112</v>
      </c>
      <c r="B224" s="46" t="s">
        <v>110</v>
      </c>
      <c r="C224" s="31">
        <v>710</v>
      </c>
      <c r="D224" s="38">
        <v>0</v>
      </c>
      <c r="E224" s="50">
        <f t="shared" si="29"/>
        <v>710</v>
      </c>
      <c r="F224" s="24">
        <v>0.1</v>
      </c>
      <c r="G224" s="7">
        <v>14.000000000000002</v>
      </c>
      <c r="H224" s="7">
        <v>16</v>
      </c>
      <c r="I224" s="7">
        <v>9</v>
      </c>
      <c r="J224" s="78">
        <f t="shared" si="33"/>
        <v>2.016</v>
      </c>
      <c r="K224" s="2">
        <f t="shared" si="34"/>
        <v>0.4</v>
      </c>
      <c r="L224" s="8">
        <v>0</v>
      </c>
      <c r="M224" s="1">
        <f t="shared" si="28"/>
        <v>0</v>
      </c>
      <c r="N224" s="41">
        <v>0</v>
      </c>
      <c r="O224" s="84" t="s">
        <v>275</v>
      </c>
      <c r="P224" s="24" t="s">
        <v>562</v>
      </c>
      <c r="Q224" s="7" t="s">
        <v>557</v>
      </c>
      <c r="R224" s="7"/>
      <c r="S224" s="81">
        <v>0.09</v>
      </c>
      <c r="T224" s="7">
        <v>25</v>
      </c>
      <c r="U224" s="82"/>
      <c r="V224" s="83">
        <f>ROUNDUP(E224*S224,2)</f>
        <v>63.9</v>
      </c>
      <c r="W224" s="83">
        <f>ROUNDUP(E224*0.015,2)</f>
        <v>10.65</v>
      </c>
      <c r="X224" s="82">
        <f>MAX(MIN(SUMIFS(Логистика!$C$2:$C$38,Логистика!$A$2:$A$38,"&lt;="&amp;K224,Логистика!$B$2:$B$38,"&gt;="&amp;K224)*E224,SUMIFS(Логистика!$E$2:$E$38,Логистика!$A$2:$A$38,"&lt;="&amp;K224,Логистика!$B$2:$B$38,"&gt;="&amp;K224)),SUMIFS(Логистика!$D$2:$D$38,Логистика!$A$2:$A$38,"&lt;="&amp;K224,Логистика!$B$2:$B$38,"&gt;="&amp;K224))</f>
        <v>43</v>
      </c>
      <c r="Y224" s="83">
        <f>IF(AND(E224*0.055&gt;20,E224*0.055&lt;250),ROUNDUP(E224*0.055,2),IF(E224*0.055&lt;=20,20,250))</f>
        <v>39.049999999999997</v>
      </c>
      <c r="Z224" s="83">
        <f>ROUND(M224*0.05,2)</f>
        <v>0</v>
      </c>
      <c r="AA224" s="83">
        <f>IF(N224=0,0,IF(ROUND(E224*N224,2)&gt;5,ROUND(E224*N224,2),5))</f>
        <v>0</v>
      </c>
      <c r="AB224" s="83">
        <f>IF(O224="Да",ROUND(E224*0.1111,2),0)</f>
        <v>0</v>
      </c>
      <c r="AC224" s="53">
        <f>V224+W224+T224+X224+Y224+Z224+AA224+AB224</f>
        <v>181.60000000000002</v>
      </c>
      <c r="AD224" s="8">
        <v>0</v>
      </c>
      <c r="AE224" s="36">
        <f>ROUND(E224*AD224,2)</f>
        <v>0</v>
      </c>
      <c r="AF224" s="6">
        <v>15</v>
      </c>
      <c r="AG224" s="6">
        <v>15</v>
      </c>
      <c r="AH224" s="58">
        <f>AH223*2</f>
        <v>340</v>
      </c>
      <c r="AI224" s="57">
        <f>E224-AC224-AE224-AH224</f>
        <v>188.39999999999998</v>
      </c>
      <c r="AJ224" s="17">
        <f>E224-AC224</f>
        <v>528.4</v>
      </c>
      <c r="AK224" s="20">
        <f>ROUND(AI224/E224,2)</f>
        <v>0.27</v>
      </c>
      <c r="AL224" s="21">
        <f t="shared" si="39"/>
        <v>0.55000000000000004</v>
      </c>
    </row>
    <row r="225" spans="1:38" x14ac:dyDescent="0.25">
      <c r="A225" s="3" t="s">
        <v>113</v>
      </c>
      <c r="B225" s="46" t="s">
        <v>111</v>
      </c>
      <c r="C225" s="31">
        <v>990</v>
      </c>
      <c r="D225" s="38">
        <v>0</v>
      </c>
      <c r="E225" s="50">
        <f t="shared" si="29"/>
        <v>990</v>
      </c>
      <c r="F225" s="24">
        <v>0.15</v>
      </c>
      <c r="G225" s="7">
        <v>14.000000000000002</v>
      </c>
      <c r="H225" s="7">
        <v>16</v>
      </c>
      <c r="I225" s="7">
        <v>13</v>
      </c>
      <c r="J225" s="78">
        <f t="shared" si="33"/>
        <v>2.9120000000000004</v>
      </c>
      <c r="K225" s="2">
        <f t="shared" si="34"/>
        <v>0.6</v>
      </c>
      <c r="L225" s="8">
        <v>0</v>
      </c>
      <c r="M225" s="1">
        <f t="shared" si="28"/>
        <v>0</v>
      </c>
      <c r="N225" s="41">
        <v>0</v>
      </c>
      <c r="O225" s="84" t="s">
        <v>275</v>
      </c>
      <c r="P225" s="24" t="s">
        <v>562</v>
      </c>
      <c r="Q225" s="7" t="s">
        <v>557</v>
      </c>
      <c r="R225" s="7"/>
      <c r="S225" s="81">
        <v>0.09</v>
      </c>
      <c r="T225" s="7">
        <v>25</v>
      </c>
      <c r="U225" s="82"/>
      <c r="V225" s="83">
        <f>ROUNDUP(E225*S225,2)</f>
        <v>89.1</v>
      </c>
      <c r="W225" s="83">
        <f>ROUNDUP(E225*0.015,2)</f>
        <v>14.85</v>
      </c>
      <c r="X225" s="82">
        <f>MAX(MIN(SUMIFS(Логистика!$C$2:$C$38,Логистика!$A$2:$A$38,"&lt;="&amp;K225,Логистика!$B$2:$B$38,"&gt;="&amp;K225)*E225,SUMIFS(Логистика!$E$2:$E$38,Логистика!$A$2:$A$38,"&lt;="&amp;K225,Логистика!$B$2:$B$38,"&gt;="&amp;K225)),SUMIFS(Логистика!$D$2:$D$38,Логистика!$A$2:$A$38,"&lt;="&amp;K225,Логистика!$B$2:$B$38,"&gt;="&amp;K225))</f>
        <v>49.5</v>
      </c>
      <c r="Y225" s="83">
        <f>IF(AND(E225*0.055&gt;20,E225*0.055&lt;250),ROUNDUP(E225*0.055,2),IF(E225*0.055&lt;=20,20,250))</f>
        <v>54.45</v>
      </c>
      <c r="Z225" s="83">
        <f>ROUND(M225*0.05,2)</f>
        <v>0</v>
      </c>
      <c r="AA225" s="83">
        <f>IF(N225=0,0,IF(ROUND(E225*N225,2)&gt;5,ROUND(E225*N225,2),5))</f>
        <v>0</v>
      </c>
      <c r="AB225" s="83">
        <f>IF(O225="Да",ROUND(E225*0.1111,2),0)</f>
        <v>0</v>
      </c>
      <c r="AC225" s="53">
        <f>V225+W225+T225+X225+Y225+Z225+AA225+AB225</f>
        <v>232.89999999999998</v>
      </c>
      <c r="AD225" s="8">
        <v>0</v>
      </c>
      <c r="AE225" s="36">
        <f>ROUND(E225*AD225,2)</f>
        <v>0</v>
      </c>
      <c r="AF225" s="6">
        <v>15</v>
      </c>
      <c r="AG225" s="6">
        <v>15</v>
      </c>
      <c r="AH225" s="58">
        <f>AH223*3</f>
        <v>510</v>
      </c>
      <c r="AI225" s="57">
        <f>E225-AC225-AE225-AH225</f>
        <v>247.10000000000002</v>
      </c>
      <c r="AJ225" s="17">
        <f>E225-AC225</f>
        <v>757.1</v>
      </c>
      <c r="AK225" s="20">
        <f>ROUND(AI225/E225,2)</f>
        <v>0.25</v>
      </c>
      <c r="AL225" s="21">
        <f t="shared" ref="AL225:AL226" si="40">ROUND(AI225/AH225,2)</f>
        <v>0.48</v>
      </c>
    </row>
    <row r="226" spans="1:38" x14ac:dyDescent="0.25">
      <c r="A226" s="3" t="s">
        <v>120</v>
      </c>
      <c r="B226" s="46" t="s">
        <v>118</v>
      </c>
      <c r="C226" s="31">
        <v>1290</v>
      </c>
      <c r="D226" s="38">
        <v>0</v>
      </c>
      <c r="E226" s="50">
        <f t="shared" si="29"/>
        <v>1290</v>
      </c>
      <c r="F226" s="24">
        <v>0.2</v>
      </c>
      <c r="G226" s="7">
        <v>14.000000000000002</v>
      </c>
      <c r="H226" s="7">
        <v>16</v>
      </c>
      <c r="I226" s="7">
        <v>17</v>
      </c>
      <c r="J226" s="78">
        <f t="shared" si="33"/>
        <v>3.8080000000000003</v>
      </c>
      <c r="K226" s="2">
        <f t="shared" si="34"/>
        <v>0.8</v>
      </c>
      <c r="L226" s="8">
        <v>0</v>
      </c>
      <c r="M226" s="1">
        <f t="shared" si="28"/>
        <v>0</v>
      </c>
      <c r="N226" s="41">
        <v>0</v>
      </c>
      <c r="O226" s="84" t="s">
        <v>275</v>
      </c>
      <c r="P226" s="24" t="s">
        <v>562</v>
      </c>
      <c r="Q226" s="7" t="s">
        <v>557</v>
      </c>
      <c r="R226" s="7"/>
      <c r="S226" s="81">
        <v>0.09</v>
      </c>
      <c r="T226" s="7">
        <v>25</v>
      </c>
      <c r="U226" s="82"/>
      <c r="V226" s="83">
        <f>ROUNDUP(E226*S226,2)</f>
        <v>116.1</v>
      </c>
      <c r="W226" s="83">
        <f>ROUNDUP(E226*0.015,2)</f>
        <v>19.350000000000001</v>
      </c>
      <c r="X226" s="82">
        <f>MAX(MIN(SUMIFS(Логистика!$C$2:$C$38,Логистика!$A$2:$A$38,"&lt;="&amp;K226,Логистика!$B$2:$B$38,"&gt;="&amp;K226)*E226,SUMIFS(Логистика!$E$2:$E$38,Логистика!$A$2:$A$38,"&lt;="&amp;K226,Логистика!$B$2:$B$38,"&gt;="&amp;K226)),SUMIFS(Логистика!$D$2:$D$38,Логистика!$A$2:$A$38,"&lt;="&amp;K226,Логистика!$B$2:$B$38,"&gt;="&amp;K226))</f>
        <v>64.5</v>
      </c>
      <c r="Y226" s="83">
        <f>IF(AND(E226*0.055&gt;20,E226*0.055&lt;250),ROUNDUP(E226*0.055,2),IF(E226*0.055&lt;=20,20,250))</f>
        <v>70.95</v>
      </c>
      <c r="Z226" s="83">
        <f>ROUND(M226*0.05,2)</f>
        <v>0</v>
      </c>
      <c r="AA226" s="83">
        <f>IF(N226=0,0,IF(ROUND(E226*N226,2)&gt;5,ROUND(E226*N226,2),5))</f>
        <v>0</v>
      </c>
      <c r="AB226" s="83">
        <f>IF(O226="Да",ROUND(E226*0.1111,2),0)</f>
        <v>0</v>
      </c>
      <c r="AC226" s="53">
        <f>V226+W226+T226+X226+Y226+Z226+AA226+AB226</f>
        <v>295.89999999999998</v>
      </c>
      <c r="AD226" s="8">
        <v>0</v>
      </c>
      <c r="AE226" s="36">
        <f>ROUND(E226*AD226,2)</f>
        <v>0</v>
      </c>
      <c r="AF226" s="6">
        <v>15</v>
      </c>
      <c r="AG226" s="6">
        <v>15</v>
      </c>
      <c r="AH226" s="58">
        <f>AH223*4</f>
        <v>680</v>
      </c>
      <c r="AI226" s="57">
        <f>E226-AC226-AE226-AH226</f>
        <v>314.10000000000002</v>
      </c>
      <c r="AJ226" s="17">
        <f>E226-AC226</f>
        <v>994.1</v>
      </c>
      <c r="AK226" s="20">
        <f>ROUND(AI226/E226,2)</f>
        <v>0.24</v>
      </c>
      <c r="AL226" s="21">
        <f t="shared" si="40"/>
        <v>0.46</v>
      </c>
    </row>
    <row r="227" spans="1:38" x14ac:dyDescent="0.25">
      <c r="A227" s="3" t="s">
        <v>121</v>
      </c>
      <c r="B227" s="46" t="s">
        <v>119</v>
      </c>
      <c r="C227" s="31">
        <v>1590</v>
      </c>
      <c r="D227" s="38">
        <v>0</v>
      </c>
      <c r="E227" s="50">
        <f t="shared" si="29"/>
        <v>1590</v>
      </c>
      <c r="F227" s="24">
        <v>0.25</v>
      </c>
      <c r="G227" s="7">
        <v>14.000000000000002</v>
      </c>
      <c r="H227" s="7">
        <v>16</v>
      </c>
      <c r="I227" s="7">
        <v>21</v>
      </c>
      <c r="J227" s="78">
        <f t="shared" si="33"/>
        <v>4.7040000000000006</v>
      </c>
      <c r="K227" s="2">
        <f t="shared" si="34"/>
        <v>0.9</v>
      </c>
      <c r="L227" s="8">
        <v>0</v>
      </c>
      <c r="M227" s="1">
        <f t="shared" si="28"/>
        <v>0</v>
      </c>
      <c r="N227" s="41">
        <v>0</v>
      </c>
      <c r="O227" s="84" t="s">
        <v>275</v>
      </c>
      <c r="P227" s="24" t="s">
        <v>562</v>
      </c>
      <c r="Q227" s="7" t="s">
        <v>557</v>
      </c>
      <c r="R227" s="7"/>
      <c r="S227" s="81">
        <v>0.09</v>
      </c>
      <c r="T227" s="7">
        <v>25</v>
      </c>
      <c r="U227" s="82"/>
      <c r="V227" s="83">
        <f>ROUNDUP(E227*S227,2)</f>
        <v>143.1</v>
      </c>
      <c r="W227" s="83">
        <f>ROUNDUP(E227*0.015,2)</f>
        <v>23.85</v>
      </c>
      <c r="X227" s="82">
        <f>MAX(MIN(SUMIFS(Логистика!$C$2:$C$38,Логистика!$A$2:$A$38,"&lt;="&amp;K227,Логистика!$B$2:$B$38,"&gt;="&amp;K227)*E227,SUMIFS(Логистика!$E$2:$E$38,Логистика!$A$2:$A$38,"&lt;="&amp;K227,Логистика!$B$2:$B$38,"&gt;="&amp;K227)),SUMIFS(Логистика!$D$2:$D$38,Логистика!$A$2:$A$38,"&lt;="&amp;K227,Логистика!$B$2:$B$38,"&gt;="&amp;K227))</f>
        <v>79.5</v>
      </c>
      <c r="Y227" s="83">
        <f>IF(AND(E227*0.055&gt;20,E227*0.055&lt;250),ROUNDUP(E227*0.055,2),IF(E227*0.055&lt;=20,20,250))</f>
        <v>87.45</v>
      </c>
      <c r="Z227" s="83">
        <f>ROUND(M227*0.05,2)</f>
        <v>0</v>
      </c>
      <c r="AA227" s="83">
        <f>IF(N227=0,0,IF(ROUND(E227*N227,2)&gt;5,ROUND(E227*N227,2),5))</f>
        <v>0</v>
      </c>
      <c r="AB227" s="83">
        <f>IF(O227="Да",ROUND(E227*0.1111,2),0)</f>
        <v>0</v>
      </c>
      <c r="AC227" s="53">
        <f>V227+W227+T227+X227+Y227+Z227+AA227+AB227</f>
        <v>358.9</v>
      </c>
      <c r="AD227" s="8">
        <v>0</v>
      </c>
      <c r="AE227" s="36">
        <f>ROUND(E227*AD227,2)</f>
        <v>0</v>
      </c>
      <c r="AF227" s="6">
        <v>15</v>
      </c>
      <c r="AG227" s="6">
        <v>15</v>
      </c>
      <c r="AH227" s="58">
        <f>AH223*5</f>
        <v>850</v>
      </c>
      <c r="AI227" s="57">
        <f>E227-AC227-AE227-AH227</f>
        <v>381.09999999999991</v>
      </c>
      <c r="AJ227" s="17">
        <f>E227-AC227</f>
        <v>1231.0999999999999</v>
      </c>
      <c r="AK227" s="20">
        <f>ROUND(AI227/E227,2)</f>
        <v>0.24</v>
      </c>
      <c r="AL227" s="21">
        <f t="shared" si="39"/>
        <v>0.45</v>
      </c>
    </row>
    <row r="228" spans="1:38" x14ac:dyDescent="0.25">
      <c r="A228" s="3" t="s">
        <v>297</v>
      </c>
      <c r="B228" s="46" t="s">
        <v>298</v>
      </c>
      <c r="C228" s="31">
        <v>1950</v>
      </c>
      <c r="D228" s="38">
        <v>0</v>
      </c>
      <c r="E228" s="50">
        <f t="shared" si="29"/>
        <v>1950</v>
      </c>
      <c r="F228" s="24">
        <v>0.3</v>
      </c>
      <c r="G228" s="7">
        <v>14.000000000000002</v>
      </c>
      <c r="H228" s="7">
        <v>16</v>
      </c>
      <c r="I228" s="7">
        <v>25</v>
      </c>
      <c r="J228" s="78">
        <f t="shared" si="33"/>
        <v>5.6000000000000005</v>
      </c>
      <c r="K228" s="2">
        <f t="shared" si="34"/>
        <v>1.1000000000000001</v>
      </c>
      <c r="L228" s="8">
        <v>0</v>
      </c>
      <c r="M228" s="1">
        <f t="shared" ref="M228" si="41">IF(L228=0,0,IF(ROUND(E228*L228,0)&gt;20,ROUND(E228*L228,0),20))</f>
        <v>0</v>
      </c>
      <c r="N228" s="41">
        <v>0</v>
      </c>
      <c r="O228" s="84" t="s">
        <v>275</v>
      </c>
      <c r="P228" s="24" t="s">
        <v>562</v>
      </c>
      <c r="Q228" s="7" t="s">
        <v>557</v>
      </c>
      <c r="R228" s="7"/>
      <c r="S228" s="81">
        <v>0.09</v>
      </c>
      <c r="T228" s="7">
        <v>25</v>
      </c>
      <c r="U228" s="82"/>
      <c r="V228" s="83">
        <f>ROUNDUP(E228*S228,2)</f>
        <v>175.5</v>
      </c>
      <c r="W228" s="83">
        <f>ROUNDUP(E228*0.015,2)</f>
        <v>29.25</v>
      </c>
      <c r="X228" s="82">
        <f>MAX(MIN(SUMIFS(Логистика!$C$2:$C$38,Логистика!$A$2:$A$38,"&lt;="&amp;K228,Логистика!$B$2:$B$38,"&gt;="&amp;K228)*E228,SUMIFS(Логистика!$E$2:$E$38,Логистика!$A$2:$A$38,"&lt;="&amp;K228,Логистика!$B$2:$B$38,"&gt;="&amp;K228)),SUMIFS(Логистика!$D$2:$D$38,Логистика!$A$2:$A$38,"&lt;="&amp;K228,Логистика!$B$2:$B$38,"&gt;="&amp;K228))</f>
        <v>117</v>
      </c>
      <c r="Y228" s="83">
        <f>IF(AND(E228*0.055&gt;20,E228*0.055&lt;250),ROUNDUP(E228*0.055,2),IF(E228*0.055&lt;=20,20,250))</f>
        <v>107.25</v>
      </c>
      <c r="Z228" s="83">
        <f>ROUND(M228*0.05,2)</f>
        <v>0</v>
      </c>
      <c r="AA228" s="83">
        <f>IF(N228=0,0,IF(ROUND(E228*N228,2)&gt;5,ROUND(E228*N228,2),5))</f>
        <v>0</v>
      </c>
      <c r="AB228" s="83">
        <f>IF(O228="Да",ROUND(E228*0.1111,2),0)</f>
        <v>0</v>
      </c>
      <c r="AC228" s="53">
        <f>V228+W228+T228+X228+Y228+Z228+AA228+AB228</f>
        <v>454</v>
      </c>
      <c r="AD228" s="8">
        <v>0</v>
      </c>
      <c r="AE228" s="36">
        <f>ROUND(E228*AD228,2)</f>
        <v>0</v>
      </c>
      <c r="AF228" s="6">
        <v>15</v>
      </c>
      <c r="AG228" s="6">
        <v>15</v>
      </c>
      <c r="AH228" s="58">
        <f>AH223*6</f>
        <v>1020</v>
      </c>
      <c r="AI228" s="57">
        <f>E228-AC228-AE228-AH228</f>
        <v>476</v>
      </c>
      <c r="AJ228" s="17">
        <f>E228-AC228</f>
        <v>1496</v>
      </c>
      <c r="AK228" s="20">
        <f>ROUND(AI228/E228,2)</f>
        <v>0.24</v>
      </c>
      <c r="AL228" s="21">
        <f t="shared" si="39"/>
        <v>0.47</v>
      </c>
    </row>
    <row r="229" spans="1:38" x14ac:dyDescent="0.25">
      <c r="A229" s="27" t="s">
        <v>108</v>
      </c>
      <c r="B229" s="46" t="s">
        <v>109</v>
      </c>
      <c r="C229" s="31"/>
      <c r="D229" s="38">
        <v>0</v>
      </c>
      <c r="E229" s="50">
        <f t="shared" si="29"/>
        <v>0</v>
      </c>
      <c r="F229" s="24"/>
      <c r="G229" s="7">
        <v>0</v>
      </c>
      <c r="H229" s="7">
        <v>0</v>
      </c>
      <c r="I229" s="7">
        <v>0</v>
      </c>
      <c r="J229" s="78">
        <f t="shared" si="33"/>
        <v>0</v>
      </c>
      <c r="K229" s="2">
        <f t="shared" si="34"/>
        <v>0</v>
      </c>
      <c r="L229" s="8">
        <v>0</v>
      </c>
      <c r="M229" s="1">
        <f t="shared" si="28"/>
        <v>0</v>
      </c>
      <c r="N229" s="41">
        <v>0</v>
      </c>
      <c r="O229" s="84" t="s">
        <v>275</v>
      </c>
      <c r="P229" s="24" t="s">
        <v>562</v>
      </c>
      <c r="Q229" s="7" t="s">
        <v>557</v>
      </c>
      <c r="R229" s="7"/>
      <c r="S229" s="81">
        <v>0.09</v>
      </c>
      <c r="T229" s="7">
        <v>25</v>
      </c>
      <c r="U229" s="82"/>
      <c r="V229" s="83">
        <f>ROUNDUP(E229*S229,2)</f>
        <v>0</v>
      </c>
      <c r="W229" s="83">
        <f>ROUNDUP(E229*0.015,2)</f>
        <v>0</v>
      </c>
      <c r="X229" s="82">
        <f>MAX(MIN(SUMIFS(Логистика!$C$2:$C$38,Логистика!$A$2:$A$38,"&lt;="&amp;K229,Логистика!$B$2:$B$38,"&gt;="&amp;K229)*E229,SUMIFS(Логистика!$E$2:$E$38,Логистика!$A$2:$A$38,"&lt;="&amp;K229,Логистика!$B$2:$B$38,"&gt;="&amp;K229)),SUMIFS(Логистика!$D$2:$D$38,Логистика!$A$2:$A$38,"&lt;="&amp;K229,Логистика!$B$2:$B$38,"&gt;="&amp;K229))</f>
        <v>0</v>
      </c>
      <c r="Y229" s="83">
        <f>IF(AND(E229*0.055&gt;20,E229*0.055&lt;250),ROUNDUP(E229*0.055,2),IF(E229*0.055&lt;=20,20,250))</f>
        <v>20</v>
      </c>
      <c r="Z229" s="83">
        <f>ROUND(M229*0.05,2)</f>
        <v>0</v>
      </c>
      <c r="AA229" s="83">
        <f>IF(N229=0,0,IF(ROUND(E229*N229,2)&gt;5,ROUND(E229*N229,2),5))</f>
        <v>0</v>
      </c>
      <c r="AB229" s="83">
        <f>IF(O229="Да",ROUND(E229*0.1111,2),0)</f>
        <v>0</v>
      </c>
      <c r="AC229" s="53">
        <f>V229+W229+T229+X229+Y229+Z229+AA229+AB229</f>
        <v>45</v>
      </c>
      <c r="AD229" s="8">
        <v>0</v>
      </c>
      <c r="AE229" s="36">
        <f>ROUND(E229*AD229,2)</f>
        <v>0</v>
      </c>
      <c r="AF229" s="6">
        <v>15</v>
      </c>
      <c r="AG229" s="6">
        <v>15</v>
      </c>
      <c r="AH229" s="5"/>
      <c r="AI229" s="57">
        <f>E229-AC229-AE229-AH229</f>
        <v>-45</v>
      </c>
      <c r="AJ229" s="17">
        <f>E229-AC229</f>
        <v>-45</v>
      </c>
      <c r="AK229" s="20" t="e">
        <f>ROUND(AI229/E229,2)</f>
        <v>#DIV/0!</v>
      </c>
      <c r="AL229" s="21" t="e">
        <f t="shared" ref="AL229:AL301" si="42">ROUND(AI229/AH229,2)</f>
        <v>#DIV/0!</v>
      </c>
    </row>
    <row r="230" spans="1:38" x14ac:dyDescent="0.25">
      <c r="A230" s="27" t="s">
        <v>114</v>
      </c>
      <c r="B230" s="46" t="s">
        <v>115</v>
      </c>
      <c r="C230" s="31">
        <v>520</v>
      </c>
      <c r="D230" s="38">
        <v>0</v>
      </c>
      <c r="E230" s="50">
        <f t="shared" si="29"/>
        <v>520</v>
      </c>
      <c r="F230" s="24">
        <v>0.08</v>
      </c>
      <c r="G230" s="7">
        <v>25</v>
      </c>
      <c r="H230" s="7">
        <v>25</v>
      </c>
      <c r="I230" s="7">
        <v>8</v>
      </c>
      <c r="J230" s="78">
        <f t="shared" si="33"/>
        <v>5</v>
      </c>
      <c r="K230" s="2">
        <f t="shared" si="34"/>
        <v>1</v>
      </c>
      <c r="L230" s="8">
        <v>0</v>
      </c>
      <c r="M230" s="1">
        <f t="shared" si="28"/>
        <v>0</v>
      </c>
      <c r="N230" s="41">
        <v>0</v>
      </c>
      <c r="O230" s="84" t="s">
        <v>275</v>
      </c>
      <c r="P230" s="24" t="s">
        <v>562</v>
      </c>
      <c r="Q230" s="7" t="s">
        <v>557</v>
      </c>
      <c r="R230" s="7"/>
      <c r="S230" s="81">
        <v>0.09</v>
      </c>
      <c r="T230" s="7">
        <v>25</v>
      </c>
      <c r="U230" s="82"/>
      <c r="V230" s="83">
        <f>ROUNDUP(E230*S230,2)</f>
        <v>46.8</v>
      </c>
      <c r="W230" s="83">
        <f>ROUNDUP(E230*0.015,2)</f>
        <v>7.8</v>
      </c>
      <c r="X230" s="82">
        <f>MAX(MIN(SUMIFS(Логистика!$C$2:$C$38,Логистика!$A$2:$A$38,"&lt;="&amp;K230,Логистика!$B$2:$B$38,"&gt;="&amp;K230)*E230,SUMIFS(Логистика!$E$2:$E$38,Логистика!$A$2:$A$38,"&lt;="&amp;K230,Логистика!$B$2:$B$38,"&gt;="&amp;K230)),SUMIFS(Логистика!$D$2:$D$38,Логистика!$A$2:$A$38,"&lt;="&amp;K230,Логистика!$B$2:$B$38,"&gt;="&amp;K230))</f>
        <v>51</v>
      </c>
      <c r="Y230" s="83">
        <f>IF(AND(E230*0.055&gt;20,E230*0.055&lt;250),ROUNDUP(E230*0.055,2),IF(E230*0.055&lt;=20,20,250))</f>
        <v>28.6</v>
      </c>
      <c r="Z230" s="83">
        <f>ROUND(M230*0.05,2)</f>
        <v>0</v>
      </c>
      <c r="AA230" s="83">
        <f>IF(N230=0,0,IF(ROUND(E230*N230,2)&gt;5,ROUND(E230*N230,2),5))</f>
        <v>0</v>
      </c>
      <c r="AB230" s="83">
        <f>IF(O230="Да",ROUND(E230*0.1111,2),0)</f>
        <v>0</v>
      </c>
      <c r="AC230" s="53">
        <f>V230+W230+T230+X230+Y230+Z230+AA230+AB230</f>
        <v>159.19999999999999</v>
      </c>
      <c r="AD230" s="8">
        <v>0</v>
      </c>
      <c r="AE230" s="36">
        <f>ROUND(E230*AD230,2)</f>
        <v>0</v>
      </c>
      <c r="AF230" s="6">
        <v>15</v>
      </c>
      <c r="AG230" s="6">
        <v>15</v>
      </c>
      <c r="AH230" s="5">
        <v>240</v>
      </c>
      <c r="AI230" s="57">
        <f>E230-AC230-AE230-AH230</f>
        <v>120.80000000000001</v>
      </c>
      <c r="AJ230" s="17">
        <f>E230-AC230</f>
        <v>360.8</v>
      </c>
      <c r="AK230" s="20">
        <f>ROUND(AI230/E230,2)</f>
        <v>0.23</v>
      </c>
      <c r="AL230" s="21">
        <f t="shared" si="42"/>
        <v>0.5</v>
      </c>
    </row>
    <row r="231" spans="1:38" x14ac:dyDescent="0.25">
      <c r="A231" s="27" t="s">
        <v>124</v>
      </c>
      <c r="B231" s="46" t="s">
        <v>116</v>
      </c>
      <c r="C231" s="31">
        <v>930</v>
      </c>
      <c r="D231" s="38">
        <v>0</v>
      </c>
      <c r="E231" s="50">
        <f t="shared" si="29"/>
        <v>930</v>
      </c>
      <c r="F231" s="24">
        <v>0.16</v>
      </c>
      <c r="G231" s="7">
        <v>25</v>
      </c>
      <c r="H231" s="7">
        <v>25</v>
      </c>
      <c r="I231" s="7">
        <v>16</v>
      </c>
      <c r="J231" s="78">
        <f t="shared" si="33"/>
        <v>10</v>
      </c>
      <c r="K231" s="2">
        <f t="shared" si="34"/>
        <v>2</v>
      </c>
      <c r="L231" s="8">
        <v>0</v>
      </c>
      <c r="M231" s="1">
        <f t="shared" si="28"/>
        <v>0</v>
      </c>
      <c r="N231" s="41">
        <v>0</v>
      </c>
      <c r="O231" s="84" t="s">
        <v>275</v>
      </c>
      <c r="P231" s="24" t="s">
        <v>562</v>
      </c>
      <c r="Q231" s="7" t="s">
        <v>557</v>
      </c>
      <c r="R231" s="7"/>
      <c r="S231" s="81">
        <v>0.09</v>
      </c>
      <c r="T231" s="7">
        <v>25</v>
      </c>
      <c r="U231" s="82"/>
      <c r="V231" s="83">
        <f>ROUNDUP(E231*S231,2)</f>
        <v>83.7</v>
      </c>
      <c r="W231" s="83">
        <f>ROUNDUP(E231*0.015,2)</f>
        <v>13.95</v>
      </c>
      <c r="X231" s="82">
        <f>MAX(MIN(SUMIFS(Логистика!$C$2:$C$38,Логистика!$A$2:$A$38,"&lt;="&amp;K231,Логистика!$B$2:$B$38,"&gt;="&amp;K231)*E231,SUMIFS(Логистика!$E$2:$E$38,Логистика!$A$2:$A$38,"&lt;="&amp;K231,Логистика!$B$2:$B$38,"&gt;="&amp;K231)),SUMIFS(Логистика!$D$2:$D$38,Логистика!$A$2:$A$38,"&lt;="&amp;K231,Логистика!$B$2:$B$38,"&gt;="&amp;K231))</f>
        <v>79</v>
      </c>
      <c r="Y231" s="83">
        <f>IF(AND(E231*0.055&gt;20,E231*0.055&lt;250),ROUNDUP(E231*0.055,2),IF(E231*0.055&lt;=20,20,250))</f>
        <v>51.15</v>
      </c>
      <c r="Z231" s="83">
        <f>ROUND(M231*0.05,2)</f>
        <v>0</v>
      </c>
      <c r="AA231" s="83">
        <f>IF(N231=0,0,IF(ROUND(E231*N231,2)&gt;5,ROUND(E231*N231,2),5))</f>
        <v>0</v>
      </c>
      <c r="AB231" s="83">
        <f>IF(O231="Да",ROUND(E231*0.1111,2),0)</f>
        <v>0</v>
      </c>
      <c r="AC231" s="53">
        <f>V231+W231+T231+X231+Y231+Z231+AA231+AB231</f>
        <v>252.8</v>
      </c>
      <c r="AD231" s="8">
        <v>0</v>
      </c>
      <c r="AE231" s="36">
        <f>ROUND(E231*AD231,2)</f>
        <v>0</v>
      </c>
      <c r="AF231" s="6">
        <v>15</v>
      </c>
      <c r="AG231" s="6">
        <v>15</v>
      </c>
      <c r="AH231" s="58">
        <f>AH230*2</f>
        <v>480</v>
      </c>
      <c r="AI231" s="57">
        <f>E231-AC231-AE231-AH231</f>
        <v>197.20000000000005</v>
      </c>
      <c r="AJ231" s="17">
        <f>E231-AC231</f>
        <v>677.2</v>
      </c>
      <c r="AK231" s="20">
        <f>ROUND(AI231/E231,2)</f>
        <v>0.21</v>
      </c>
      <c r="AL231" s="21">
        <f t="shared" ref="AL231:AL300" si="43">ROUND(AI231/AH231,2)</f>
        <v>0.41</v>
      </c>
    </row>
    <row r="232" spans="1:38" x14ac:dyDescent="0.25">
      <c r="A232" s="27" t="s">
        <v>125</v>
      </c>
      <c r="B232" s="46" t="s">
        <v>117</v>
      </c>
      <c r="C232" s="31">
        <v>1370</v>
      </c>
      <c r="D232" s="38">
        <v>0</v>
      </c>
      <c r="E232" s="50">
        <f t="shared" si="29"/>
        <v>1370</v>
      </c>
      <c r="F232" s="24">
        <v>0.24</v>
      </c>
      <c r="G232" s="7">
        <v>25</v>
      </c>
      <c r="H232" s="7">
        <v>25</v>
      </c>
      <c r="I232" s="7">
        <v>24</v>
      </c>
      <c r="J232" s="78">
        <f t="shared" si="33"/>
        <v>15</v>
      </c>
      <c r="K232" s="2">
        <f t="shared" si="34"/>
        <v>3</v>
      </c>
      <c r="L232" s="8">
        <v>0</v>
      </c>
      <c r="M232" s="1">
        <f t="shared" si="28"/>
        <v>0</v>
      </c>
      <c r="N232" s="41">
        <v>0</v>
      </c>
      <c r="O232" s="84" t="s">
        <v>275</v>
      </c>
      <c r="P232" s="24" t="s">
        <v>562</v>
      </c>
      <c r="Q232" s="7" t="s">
        <v>557</v>
      </c>
      <c r="R232" s="7"/>
      <c r="S232" s="81">
        <v>0.09</v>
      </c>
      <c r="T232" s="7">
        <v>25</v>
      </c>
      <c r="U232" s="82"/>
      <c r="V232" s="83">
        <f>ROUNDUP(E232*S232,2)</f>
        <v>123.3</v>
      </c>
      <c r="W232" s="83">
        <f>ROUNDUP(E232*0.015,2)</f>
        <v>20.55</v>
      </c>
      <c r="X232" s="82">
        <f>MAX(MIN(SUMIFS(Логистика!$C$2:$C$38,Логистика!$A$2:$A$38,"&lt;="&amp;K232,Логистика!$B$2:$B$38,"&gt;="&amp;K232)*E232,SUMIFS(Логистика!$E$2:$E$38,Логистика!$A$2:$A$38,"&lt;="&amp;K232,Логистика!$B$2:$B$38,"&gt;="&amp;K232)),SUMIFS(Логистика!$D$2:$D$38,Логистика!$A$2:$A$38,"&lt;="&amp;K232,Логистика!$B$2:$B$38,"&gt;="&amp;K232))</f>
        <v>100</v>
      </c>
      <c r="Y232" s="83">
        <f>IF(AND(E232*0.055&gt;20,E232*0.055&lt;250),ROUNDUP(E232*0.055,2),IF(E232*0.055&lt;=20,20,250))</f>
        <v>75.349999999999994</v>
      </c>
      <c r="Z232" s="83">
        <f>ROUND(M232*0.05,2)</f>
        <v>0</v>
      </c>
      <c r="AA232" s="83">
        <f>IF(N232=0,0,IF(ROUND(E232*N232,2)&gt;5,ROUND(E232*N232,2),5))</f>
        <v>0</v>
      </c>
      <c r="AB232" s="83">
        <f>IF(O232="Да",ROUND(E232*0.1111,2),0)</f>
        <v>0</v>
      </c>
      <c r="AC232" s="53">
        <f>V232+W232+T232+X232+Y232+Z232+AA232+AB232</f>
        <v>344.20000000000005</v>
      </c>
      <c r="AD232" s="8">
        <v>0</v>
      </c>
      <c r="AE232" s="36">
        <f>ROUND(E232*AD232,2)</f>
        <v>0</v>
      </c>
      <c r="AF232" s="6">
        <v>15</v>
      </c>
      <c r="AG232" s="6">
        <v>15</v>
      </c>
      <c r="AH232" s="58">
        <f>AH230*3</f>
        <v>720</v>
      </c>
      <c r="AI232" s="57">
        <f>E232-AC232-AE232-AH232</f>
        <v>305.79999999999995</v>
      </c>
      <c r="AJ232" s="17">
        <f>E232-AC232</f>
        <v>1025.8</v>
      </c>
      <c r="AK232" s="20">
        <f>ROUND(AI232/E232,2)</f>
        <v>0.22</v>
      </c>
      <c r="AL232" s="21">
        <f t="shared" si="43"/>
        <v>0.42</v>
      </c>
    </row>
    <row r="233" spans="1:38" x14ac:dyDescent="0.25">
      <c r="A233" s="27" t="s">
        <v>126</v>
      </c>
      <c r="B233" s="46" t="s">
        <v>122</v>
      </c>
      <c r="C233" s="31">
        <v>1750</v>
      </c>
      <c r="D233" s="38">
        <v>0</v>
      </c>
      <c r="E233" s="50">
        <f t="shared" si="29"/>
        <v>1750</v>
      </c>
      <c r="F233" s="24">
        <v>0.32</v>
      </c>
      <c r="G233" s="7">
        <v>25</v>
      </c>
      <c r="H233" s="7">
        <v>25</v>
      </c>
      <c r="I233" s="7">
        <v>32</v>
      </c>
      <c r="J233" s="78">
        <f t="shared" si="33"/>
        <v>20</v>
      </c>
      <c r="K233" s="2">
        <f t="shared" si="34"/>
        <v>4</v>
      </c>
      <c r="L233" s="8">
        <v>0</v>
      </c>
      <c r="M233" s="1">
        <f t="shared" si="28"/>
        <v>0</v>
      </c>
      <c r="N233" s="41">
        <v>0</v>
      </c>
      <c r="O233" s="84" t="s">
        <v>275</v>
      </c>
      <c r="P233" s="24" t="s">
        <v>562</v>
      </c>
      <c r="Q233" s="7" t="s">
        <v>557</v>
      </c>
      <c r="R233" s="7"/>
      <c r="S233" s="81">
        <v>0.09</v>
      </c>
      <c r="T233" s="7">
        <v>25</v>
      </c>
      <c r="U233" s="82"/>
      <c r="V233" s="83">
        <f>ROUNDUP(E233*S233,2)</f>
        <v>157.5</v>
      </c>
      <c r="W233" s="83">
        <f>ROUNDUP(E233*0.015,2)</f>
        <v>26.25</v>
      </c>
      <c r="X233" s="82">
        <f>MAX(MIN(SUMIFS(Логистика!$C$2:$C$38,Логистика!$A$2:$A$38,"&lt;="&amp;K233,Логистика!$B$2:$B$38,"&gt;="&amp;K233)*E233,SUMIFS(Логистика!$E$2:$E$38,Логистика!$A$2:$A$38,"&lt;="&amp;K233,Логистика!$B$2:$B$38,"&gt;="&amp;K233)),SUMIFS(Логистика!$D$2:$D$38,Логистика!$A$2:$A$38,"&lt;="&amp;K233,Логистика!$B$2:$B$38,"&gt;="&amp;K233))</f>
        <v>120</v>
      </c>
      <c r="Y233" s="83">
        <f>IF(AND(E233*0.055&gt;20,E233*0.055&lt;250),ROUNDUP(E233*0.055,2),IF(E233*0.055&lt;=20,20,250))</f>
        <v>96.25</v>
      </c>
      <c r="Z233" s="83">
        <f>ROUND(M233*0.05,2)</f>
        <v>0</v>
      </c>
      <c r="AA233" s="83">
        <f>IF(N233=0,0,IF(ROUND(E233*N233,2)&gt;5,ROUND(E233*N233,2),5))</f>
        <v>0</v>
      </c>
      <c r="AB233" s="83">
        <f>IF(O233="Да",ROUND(E233*0.1111,2),0)</f>
        <v>0</v>
      </c>
      <c r="AC233" s="53">
        <f>V233+W233+T233+X233+Y233+Z233+AA233+AB233</f>
        <v>425</v>
      </c>
      <c r="AD233" s="8">
        <v>0</v>
      </c>
      <c r="AE233" s="36">
        <f>ROUND(E233*AD233,2)</f>
        <v>0</v>
      </c>
      <c r="AF233" s="6">
        <v>15</v>
      </c>
      <c r="AG233" s="6">
        <v>15</v>
      </c>
      <c r="AH233" s="58">
        <f>AH230*4</f>
        <v>960</v>
      </c>
      <c r="AI233" s="57">
        <f>E233-AC233-AE233-AH233</f>
        <v>365</v>
      </c>
      <c r="AJ233" s="17">
        <f>E233-AC233</f>
        <v>1325</v>
      </c>
      <c r="AK233" s="20">
        <f>ROUND(AI233/E233,2)</f>
        <v>0.21</v>
      </c>
      <c r="AL233" s="21">
        <f t="shared" si="43"/>
        <v>0.38</v>
      </c>
    </row>
    <row r="234" spans="1:38" x14ac:dyDescent="0.25">
      <c r="A234" s="27" t="s">
        <v>127</v>
      </c>
      <c r="B234" s="46" t="s">
        <v>123</v>
      </c>
      <c r="C234" s="31">
        <v>2190</v>
      </c>
      <c r="D234" s="38">
        <v>0</v>
      </c>
      <c r="E234" s="50">
        <f t="shared" si="29"/>
        <v>2190</v>
      </c>
      <c r="F234" s="24">
        <v>0.4</v>
      </c>
      <c r="G234" s="7">
        <v>25</v>
      </c>
      <c r="H234" s="7">
        <v>25</v>
      </c>
      <c r="I234" s="7">
        <v>40</v>
      </c>
      <c r="J234" s="78">
        <f t="shared" si="33"/>
        <v>25</v>
      </c>
      <c r="K234" s="2">
        <f t="shared" si="34"/>
        <v>5</v>
      </c>
      <c r="L234" s="8">
        <v>0</v>
      </c>
      <c r="M234" s="1">
        <f t="shared" si="28"/>
        <v>0</v>
      </c>
      <c r="N234" s="41">
        <v>0</v>
      </c>
      <c r="O234" s="84" t="s">
        <v>275</v>
      </c>
      <c r="P234" s="24" t="s">
        <v>562</v>
      </c>
      <c r="Q234" s="7" t="s">
        <v>557</v>
      </c>
      <c r="R234" s="7"/>
      <c r="S234" s="81">
        <v>0.09</v>
      </c>
      <c r="T234" s="7">
        <v>25</v>
      </c>
      <c r="U234" s="82"/>
      <c r="V234" s="83">
        <f>ROUNDUP(E234*S234,2)</f>
        <v>197.1</v>
      </c>
      <c r="W234" s="83">
        <f>ROUNDUP(E234*0.015,2)</f>
        <v>32.85</v>
      </c>
      <c r="X234" s="82">
        <f>MAX(MIN(SUMIFS(Логистика!$C$2:$C$38,Логистика!$A$2:$A$38,"&lt;="&amp;K234,Логистика!$B$2:$B$38,"&gt;="&amp;K234)*E234,SUMIFS(Логистика!$E$2:$E$38,Логистика!$A$2:$A$38,"&lt;="&amp;K234,Логистика!$B$2:$B$38,"&gt;="&amp;K234)),SUMIFS(Логистика!$D$2:$D$38,Логистика!$A$2:$A$38,"&lt;="&amp;K234,Логистика!$B$2:$B$38,"&gt;="&amp;K234))</f>
        <v>135</v>
      </c>
      <c r="Y234" s="83">
        <f>IF(AND(E234*0.055&gt;20,E234*0.055&lt;250),ROUNDUP(E234*0.055,2),IF(E234*0.055&lt;=20,20,250))</f>
        <v>120.45</v>
      </c>
      <c r="Z234" s="83">
        <f>ROUND(M234*0.05,2)</f>
        <v>0</v>
      </c>
      <c r="AA234" s="83">
        <f>IF(N234=0,0,IF(ROUND(E234*N234,2)&gt;5,ROUND(E234*N234,2),5))</f>
        <v>0</v>
      </c>
      <c r="AB234" s="83">
        <f>IF(O234="Да",ROUND(E234*0.1111,2),0)</f>
        <v>0</v>
      </c>
      <c r="AC234" s="53">
        <f>V234+W234+T234+X234+Y234+Z234+AA234+AB234</f>
        <v>510.4</v>
      </c>
      <c r="AD234" s="8">
        <v>0</v>
      </c>
      <c r="AE234" s="36">
        <f>ROUND(E234*AD234,2)</f>
        <v>0</v>
      </c>
      <c r="AF234" s="6">
        <v>15</v>
      </c>
      <c r="AG234" s="6">
        <v>15</v>
      </c>
      <c r="AH234" s="58">
        <f>AH230*5</f>
        <v>1200</v>
      </c>
      <c r="AI234" s="57">
        <f>E234-AC234-AE234-AH234</f>
        <v>479.59999999999991</v>
      </c>
      <c r="AJ234" s="17">
        <f>E234-AC234</f>
        <v>1679.6</v>
      </c>
      <c r="AK234" s="20">
        <f>ROUND(AI234/E234,2)</f>
        <v>0.22</v>
      </c>
      <c r="AL234" s="21">
        <f t="shared" si="43"/>
        <v>0.4</v>
      </c>
    </row>
    <row r="235" spans="1:38" x14ac:dyDescent="0.25">
      <c r="A235" s="27" t="s">
        <v>129</v>
      </c>
      <c r="B235" s="46" t="s">
        <v>128</v>
      </c>
      <c r="C235" s="31">
        <v>530</v>
      </c>
      <c r="D235" s="38">
        <v>0</v>
      </c>
      <c r="E235" s="50">
        <f t="shared" si="29"/>
        <v>530</v>
      </c>
      <c r="F235" s="24">
        <v>0.08</v>
      </c>
      <c r="G235" s="7">
        <v>25</v>
      </c>
      <c r="H235" s="7">
        <v>25</v>
      </c>
      <c r="I235" s="7">
        <v>8</v>
      </c>
      <c r="J235" s="78">
        <f t="shared" si="33"/>
        <v>5</v>
      </c>
      <c r="K235" s="2">
        <f t="shared" si="34"/>
        <v>1</v>
      </c>
      <c r="L235" s="8">
        <v>0</v>
      </c>
      <c r="M235" s="1">
        <f t="shared" si="28"/>
        <v>0</v>
      </c>
      <c r="N235" s="41">
        <v>0</v>
      </c>
      <c r="O235" s="84" t="s">
        <v>275</v>
      </c>
      <c r="P235" s="24" t="s">
        <v>562</v>
      </c>
      <c r="Q235" s="7" t="s">
        <v>557</v>
      </c>
      <c r="R235" s="7"/>
      <c r="S235" s="81">
        <v>0.09</v>
      </c>
      <c r="T235" s="7">
        <v>25</v>
      </c>
      <c r="U235" s="82"/>
      <c r="V235" s="83">
        <f>ROUNDUP(E235*S235,2)</f>
        <v>47.7</v>
      </c>
      <c r="W235" s="83">
        <f>ROUNDUP(E235*0.015,2)</f>
        <v>7.95</v>
      </c>
      <c r="X235" s="82">
        <f>MAX(MIN(SUMIFS(Логистика!$C$2:$C$38,Логистика!$A$2:$A$38,"&lt;="&amp;K235,Логистика!$B$2:$B$38,"&gt;="&amp;K235)*E235,SUMIFS(Логистика!$E$2:$E$38,Логистика!$A$2:$A$38,"&lt;="&amp;K235,Логистика!$B$2:$B$38,"&gt;="&amp;K235)),SUMIFS(Логистика!$D$2:$D$38,Логистика!$A$2:$A$38,"&lt;="&amp;K235,Логистика!$B$2:$B$38,"&gt;="&amp;K235))</f>
        <v>51</v>
      </c>
      <c r="Y235" s="83">
        <f>IF(AND(E235*0.055&gt;20,E235*0.055&lt;250),ROUNDUP(E235*0.055,2),IF(E235*0.055&lt;=20,20,250))</f>
        <v>29.15</v>
      </c>
      <c r="Z235" s="83">
        <f>ROUND(M235*0.05,2)</f>
        <v>0</v>
      </c>
      <c r="AA235" s="83">
        <f>IF(N235=0,0,IF(ROUND(E235*N235,2)&gt;5,ROUND(E235*N235,2),5))</f>
        <v>0</v>
      </c>
      <c r="AB235" s="83">
        <f>IF(O235="Да",ROUND(E235*0.1111,2),0)</f>
        <v>0</v>
      </c>
      <c r="AC235" s="53">
        <f>V235+W235+T235+X235+Y235+Z235+AA235+AB235</f>
        <v>160.80000000000001</v>
      </c>
      <c r="AD235" s="8">
        <v>0</v>
      </c>
      <c r="AE235" s="36">
        <f>ROUND(E235*AD235,2)</f>
        <v>0</v>
      </c>
      <c r="AF235" s="6">
        <v>15</v>
      </c>
      <c r="AG235" s="6">
        <v>15</v>
      </c>
      <c r="AH235" s="5">
        <v>248</v>
      </c>
      <c r="AI235" s="57">
        <f>E235-AC235-AE235-AH235</f>
        <v>121.19999999999999</v>
      </c>
      <c r="AJ235" s="17">
        <f>E235-AC235</f>
        <v>369.2</v>
      </c>
      <c r="AK235" s="20">
        <f>ROUND(AI235/E235,2)</f>
        <v>0.23</v>
      </c>
      <c r="AL235" s="21">
        <f t="shared" si="43"/>
        <v>0.49</v>
      </c>
    </row>
    <row r="236" spans="1:38" x14ac:dyDescent="0.25">
      <c r="A236" s="27" t="s">
        <v>130</v>
      </c>
      <c r="B236" s="46" t="s">
        <v>134</v>
      </c>
      <c r="C236" s="31">
        <v>960</v>
      </c>
      <c r="D236" s="38">
        <v>0</v>
      </c>
      <c r="E236" s="50">
        <f t="shared" si="29"/>
        <v>960</v>
      </c>
      <c r="F236" s="24">
        <v>0.16</v>
      </c>
      <c r="G236" s="7">
        <v>25</v>
      </c>
      <c r="H236" s="7">
        <v>25</v>
      </c>
      <c r="I236" s="7">
        <v>16</v>
      </c>
      <c r="J236" s="78">
        <f t="shared" si="33"/>
        <v>10</v>
      </c>
      <c r="K236" s="2">
        <f t="shared" si="34"/>
        <v>2</v>
      </c>
      <c r="L236" s="8">
        <v>0</v>
      </c>
      <c r="M236" s="1">
        <f t="shared" si="28"/>
        <v>0</v>
      </c>
      <c r="N236" s="41">
        <v>0</v>
      </c>
      <c r="O236" s="84" t="s">
        <v>275</v>
      </c>
      <c r="P236" s="24" t="s">
        <v>562</v>
      </c>
      <c r="Q236" s="7" t="s">
        <v>557</v>
      </c>
      <c r="R236" s="7"/>
      <c r="S236" s="81">
        <v>0.09</v>
      </c>
      <c r="T236" s="7">
        <v>25</v>
      </c>
      <c r="U236" s="82"/>
      <c r="V236" s="83">
        <f>ROUNDUP(E236*S236,2)</f>
        <v>86.4</v>
      </c>
      <c r="W236" s="83">
        <f>ROUNDUP(E236*0.015,2)</f>
        <v>14.4</v>
      </c>
      <c r="X236" s="82">
        <f>MAX(MIN(SUMIFS(Логистика!$C$2:$C$38,Логистика!$A$2:$A$38,"&lt;="&amp;K236,Логистика!$B$2:$B$38,"&gt;="&amp;K236)*E236,SUMIFS(Логистика!$E$2:$E$38,Логистика!$A$2:$A$38,"&lt;="&amp;K236,Логистика!$B$2:$B$38,"&gt;="&amp;K236)),SUMIFS(Логистика!$D$2:$D$38,Логистика!$A$2:$A$38,"&lt;="&amp;K236,Логистика!$B$2:$B$38,"&gt;="&amp;K236))</f>
        <v>79</v>
      </c>
      <c r="Y236" s="83">
        <f>IF(AND(E236*0.055&gt;20,E236*0.055&lt;250),ROUNDUP(E236*0.055,2),IF(E236*0.055&lt;=20,20,250))</f>
        <v>52.8</v>
      </c>
      <c r="Z236" s="83">
        <f>ROUND(M236*0.05,2)</f>
        <v>0</v>
      </c>
      <c r="AA236" s="83">
        <f>IF(N236=0,0,IF(ROUND(E236*N236,2)&gt;5,ROUND(E236*N236,2),5))</f>
        <v>0</v>
      </c>
      <c r="AB236" s="83">
        <f>IF(O236="Да",ROUND(E236*0.1111,2),0)</f>
        <v>0</v>
      </c>
      <c r="AC236" s="53">
        <f>V236+W236+T236+X236+Y236+Z236+AA236+AB236</f>
        <v>257.60000000000002</v>
      </c>
      <c r="AD236" s="8">
        <v>0</v>
      </c>
      <c r="AE236" s="36">
        <f>ROUND(E236*AD236,2)</f>
        <v>0</v>
      </c>
      <c r="AF236" s="6">
        <v>15</v>
      </c>
      <c r="AG236" s="6">
        <v>15</v>
      </c>
      <c r="AH236" s="58">
        <f>AH235*2</f>
        <v>496</v>
      </c>
      <c r="AI236" s="57">
        <f>E236-AC236-AE236-AH236</f>
        <v>206.39999999999998</v>
      </c>
      <c r="AJ236" s="17">
        <f>E236-AC236</f>
        <v>702.4</v>
      </c>
      <c r="AK236" s="20">
        <f>ROUND(AI236/E236,2)</f>
        <v>0.22</v>
      </c>
      <c r="AL236" s="21">
        <f t="shared" si="43"/>
        <v>0.42</v>
      </c>
    </row>
    <row r="237" spans="1:38" x14ac:dyDescent="0.25">
      <c r="A237" s="27" t="s">
        <v>131</v>
      </c>
      <c r="B237" s="46" t="s">
        <v>135</v>
      </c>
      <c r="C237" s="31">
        <v>1390</v>
      </c>
      <c r="D237" s="38">
        <v>0</v>
      </c>
      <c r="E237" s="50">
        <f t="shared" si="29"/>
        <v>1390</v>
      </c>
      <c r="F237" s="24">
        <v>0.24</v>
      </c>
      <c r="G237" s="7">
        <v>25</v>
      </c>
      <c r="H237" s="7">
        <v>25</v>
      </c>
      <c r="I237" s="7">
        <v>24</v>
      </c>
      <c r="J237" s="78">
        <f t="shared" si="33"/>
        <v>15</v>
      </c>
      <c r="K237" s="2">
        <f t="shared" si="34"/>
        <v>3</v>
      </c>
      <c r="L237" s="8">
        <v>0</v>
      </c>
      <c r="M237" s="1">
        <f t="shared" si="28"/>
        <v>0</v>
      </c>
      <c r="N237" s="41">
        <v>0</v>
      </c>
      <c r="O237" s="84" t="s">
        <v>275</v>
      </c>
      <c r="P237" s="24" t="s">
        <v>562</v>
      </c>
      <c r="Q237" s="7" t="s">
        <v>557</v>
      </c>
      <c r="R237" s="7"/>
      <c r="S237" s="81">
        <v>0.09</v>
      </c>
      <c r="T237" s="7">
        <v>25</v>
      </c>
      <c r="U237" s="82"/>
      <c r="V237" s="83">
        <f>ROUNDUP(E237*S237,2)</f>
        <v>125.1</v>
      </c>
      <c r="W237" s="83">
        <f>ROUNDUP(E237*0.015,2)</f>
        <v>20.85</v>
      </c>
      <c r="X237" s="82">
        <f>MAX(MIN(SUMIFS(Логистика!$C$2:$C$38,Логистика!$A$2:$A$38,"&lt;="&amp;K237,Логистика!$B$2:$B$38,"&gt;="&amp;K237)*E237,SUMIFS(Логистика!$E$2:$E$38,Логистика!$A$2:$A$38,"&lt;="&amp;K237,Логистика!$B$2:$B$38,"&gt;="&amp;K237)),SUMIFS(Логистика!$D$2:$D$38,Логистика!$A$2:$A$38,"&lt;="&amp;K237,Логистика!$B$2:$B$38,"&gt;="&amp;K237))</f>
        <v>100</v>
      </c>
      <c r="Y237" s="83">
        <f>IF(AND(E237*0.055&gt;20,E237*0.055&lt;250),ROUNDUP(E237*0.055,2),IF(E237*0.055&lt;=20,20,250))</f>
        <v>76.45</v>
      </c>
      <c r="Z237" s="83">
        <f>ROUND(M237*0.05,2)</f>
        <v>0</v>
      </c>
      <c r="AA237" s="83">
        <f>IF(N237=0,0,IF(ROUND(E237*N237,2)&gt;5,ROUND(E237*N237,2),5))</f>
        <v>0</v>
      </c>
      <c r="AB237" s="83">
        <f>IF(O237="Да",ROUND(E237*0.1111,2),0)</f>
        <v>0</v>
      </c>
      <c r="AC237" s="53">
        <f>V237+W237+T237+X237+Y237+Z237+AA237+AB237</f>
        <v>347.4</v>
      </c>
      <c r="AD237" s="8">
        <v>0</v>
      </c>
      <c r="AE237" s="36">
        <f>ROUND(E237*AD237,2)</f>
        <v>0</v>
      </c>
      <c r="AF237" s="6">
        <v>15</v>
      </c>
      <c r="AG237" s="6">
        <v>15</v>
      </c>
      <c r="AH237" s="58">
        <f>AH235*3</f>
        <v>744</v>
      </c>
      <c r="AI237" s="57">
        <f>E237-AC237-AE237-AH237</f>
        <v>298.59999999999991</v>
      </c>
      <c r="AJ237" s="17">
        <f>E237-AC237</f>
        <v>1042.5999999999999</v>
      </c>
      <c r="AK237" s="20">
        <f>ROUND(AI237/E237,2)</f>
        <v>0.21</v>
      </c>
      <c r="AL237" s="21">
        <f t="shared" si="43"/>
        <v>0.4</v>
      </c>
    </row>
    <row r="238" spans="1:38" x14ac:dyDescent="0.25">
      <c r="A238" s="27" t="s">
        <v>132</v>
      </c>
      <c r="B238" s="46" t="s">
        <v>136</v>
      </c>
      <c r="C238" s="31">
        <v>1800</v>
      </c>
      <c r="D238" s="38">
        <v>0</v>
      </c>
      <c r="E238" s="50">
        <f t="shared" si="29"/>
        <v>1800</v>
      </c>
      <c r="F238" s="24">
        <v>0.32</v>
      </c>
      <c r="G238" s="7">
        <v>25</v>
      </c>
      <c r="H238" s="7">
        <v>25</v>
      </c>
      <c r="I238" s="7">
        <v>32</v>
      </c>
      <c r="J238" s="78">
        <f t="shared" si="33"/>
        <v>20</v>
      </c>
      <c r="K238" s="2">
        <f t="shared" si="34"/>
        <v>4</v>
      </c>
      <c r="L238" s="8">
        <v>0</v>
      </c>
      <c r="M238" s="1">
        <f t="shared" si="28"/>
        <v>0</v>
      </c>
      <c r="N238" s="41">
        <v>0</v>
      </c>
      <c r="O238" s="84" t="s">
        <v>275</v>
      </c>
      <c r="P238" s="24" t="s">
        <v>562</v>
      </c>
      <c r="Q238" s="7" t="s">
        <v>557</v>
      </c>
      <c r="R238" s="7"/>
      <c r="S238" s="81">
        <v>0.09</v>
      </c>
      <c r="T238" s="7">
        <v>25</v>
      </c>
      <c r="U238" s="82"/>
      <c r="V238" s="83">
        <f>ROUNDUP(E238*S238,2)</f>
        <v>162</v>
      </c>
      <c r="W238" s="83">
        <f>ROUNDUP(E238*0.015,2)</f>
        <v>27</v>
      </c>
      <c r="X238" s="82">
        <f>MAX(MIN(SUMIFS(Логистика!$C$2:$C$38,Логистика!$A$2:$A$38,"&lt;="&amp;K238,Логистика!$B$2:$B$38,"&gt;="&amp;K238)*E238,SUMIFS(Логистика!$E$2:$E$38,Логистика!$A$2:$A$38,"&lt;="&amp;K238,Логистика!$B$2:$B$38,"&gt;="&amp;K238)),SUMIFS(Логистика!$D$2:$D$38,Логистика!$A$2:$A$38,"&lt;="&amp;K238,Логистика!$B$2:$B$38,"&gt;="&amp;K238))</f>
        <v>120</v>
      </c>
      <c r="Y238" s="83">
        <f>IF(AND(E238*0.055&gt;20,E238*0.055&lt;250),ROUNDUP(E238*0.055,2),IF(E238*0.055&lt;=20,20,250))</f>
        <v>99</v>
      </c>
      <c r="Z238" s="83">
        <f>ROUND(M238*0.05,2)</f>
        <v>0</v>
      </c>
      <c r="AA238" s="83">
        <f>IF(N238=0,0,IF(ROUND(E238*N238,2)&gt;5,ROUND(E238*N238,2),5))</f>
        <v>0</v>
      </c>
      <c r="AB238" s="83">
        <f>IF(O238="Да",ROUND(E238*0.1111,2),0)</f>
        <v>0</v>
      </c>
      <c r="AC238" s="53">
        <f>V238+W238+T238+X238+Y238+Z238+AA238+AB238</f>
        <v>433</v>
      </c>
      <c r="AD238" s="8">
        <v>0</v>
      </c>
      <c r="AE238" s="36">
        <f>ROUND(E238*AD238,2)</f>
        <v>0</v>
      </c>
      <c r="AF238" s="6">
        <v>15</v>
      </c>
      <c r="AG238" s="6">
        <v>15</v>
      </c>
      <c r="AH238" s="58">
        <f>AH235*4</f>
        <v>992</v>
      </c>
      <c r="AI238" s="57">
        <f>E238-AC238-AE238-AH238</f>
        <v>375</v>
      </c>
      <c r="AJ238" s="17">
        <f>E238-AC238</f>
        <v>1367</v>
      </c>
      <c r="AK238" s="20">
        <f>ROUND(AI238/E238,2)</f>
        <v>0.21</v>
      </c>
      <c r="AL238" s="21">
        <f t="shared" si="43"/>
        <v>0.38</v>
      </c>
    </row>
    <row r="239" spans="1:38" x14ac:dyDescent="0.25">
      <c r="A239" s="27" t="s">
        <v>133</v>
      </c>
      <c r="B239" s="46" t="s">
        <v>137</v>
      </c>
      <c r="C239" s="31">
        <v>2230</v>
      </c>
      <c r="D239" s="38">
        <v>0</v>
      </c>
      <c r="E239" s="50">
        <f t="shared" si="29"/>
        <v>2230</v>
      </c>
      <c r="F239" s="24">
        <v>0.4</v>
      </c>
      <c r="G239" s="7">
        <v>25</v>
      </c>
      <c r="H239" s="7">
        <v>25</v>
      </c>
      <c r="I239" s="7">
        <v>40</v>
      </c>
      <c r="J239" s="78">
        <f t="shared" si="33"/>
        <v>25</v>
      </c>
      <c r="K239" s="2">
        <f t="shared" si="34"/>
        <v>5</v>
      </c>
      <c r="L239" s="8">
        <v>0</v>
      </c>
      <c r="M239" s="1">
        <f t="shared" si="28"/>
        <v>0</v>
      </c>
      <c r="N239" s="41">
        <v>0</v>
      </c>
      <c r="O239" s="84" t="s">
        <v>275</v>
      </c>
      <c r="P239" s="24" t="s">
        <v>562</v>
      </c>
      <c r="Q239" s="7" t="s">
        <v>557</v>
      </c>
      <c r="R239" s="7"/>
      <c r="S239" s="81">
        <v>0.09</v>
      </c>
      <c r="T239" s="7">
        <v>25</v>
      </c>
      <c r="U239" s="82"/>
      <c r="V239" s="83">
        <f>ROUNDUP(E239*S239,2)</f>
        <v>200.7</v>
      </c>
      <c r="W239" s="83">
        <f>ROUNDUP(E239*0.015,2)</f>
        <v>33.450000000000003</v>
      </c>
      <c r="X239" s="82">
        <f>MAX(MIN(SUMIFS(Логистика!$C$2:$C$38,Логистика!$A$2:$A$38,"&lt;="&amp;K239,Логистика!$B$2:$B$38,"&gt;="&amp;K239)*E239,SUMIFS(Логистика!$E$2:$E$38,Логистика!$A$2:$A$38,"&lt;="&amp;K239,Логистика!$B$2:$B$38,"&gt;="&amp;K239)),SUMIFS(Логистика!$D$2:$D$38,Логистика!$A$2:$A$38,"&lt;="&amp;K239,Логистика!$B$2:$B$38,"&gt;="&amp;K239))</f>
        <v>135</v>
      </c>
      <c r="Y239" s="83">
        <f>IF(AND(E239*0.055&gt;20,E239*0.055&lt;250),ROUNDUP(E239*0.055,2),IF(E239*0.055&lt;=20,20,250))</f>
        <v>122.65</v>
      </c>
      <c r="Z239" s="83">
        <f>ROUND(M239*0.05,2)</f>
        <v>0</v>
      </c>
      <c r="AA239" s="83">
        <f>IF(N239=0,0,IF(ROUND(E239*N239,2)&gt;5,ROUND(E239*N239,2),5))</f>
        <v>0</v>
      </c>
      <c r="AB239" s="83">
        <f>IF(O239="Да",ROUND(E239*0.1111,2),0)</f>
        <v>0</v>
      </c>
      <c r="AC239" s="53">
        <f>V239+W239+T239+X239+Y239+Z239+AA239+AB239</f>
        <v>516.79999999999995</v>
      </c>
      <c r="AD239" s="8">
        <v>0</v>
      </c>
      <c r="AE239" s="36">
        <f>ROUND(E239*AD239,2)</f>
        <v>0</v>
      </c>
      <c r="AF239" s="6">
        <v>15</v>
      </c>
      <c r="AG239" s="6">
        <v>15</v>
      </c>
      <c r="AH239" s="58">
        <f>AH235*5</f>
        <v>1240</v>
      </c>
      <c r="AI239" s="57">
        <f>E239-AC239-AE239-AH239</f>
        <v>473.20000000000005</v>
      </c>
      <c r="AJ239" s="17">
        <f>E239-AC239</f>
        <v>1713.2</v>
      </c>
      <c r="AK239" s="20">
        <f>ROUND(AI239/E239,2)</f>
        <v>0.21</v>
      </c>
      <c r="AL239" s="21">
        <f t="shared" si="43"/>
        <v>0.38</v>
      </c>
    </row>
    <row r="240" spans="1:38" x14ac:dyDescent="0.25">
      <c r="A240" s="27"/>
      <c r="B240" s="46"/>
      <c r="C240" s="31"/>
      <c r="D240" s="38">
        <v>0</v>
      </c>
      <c r="E240" s="50">
        <f t="shared" si="29"/>
        <v>0</v>
      </c>
      <c r="F240" s="24"/>
      <c r="G240" s="7">
        <v>0</v>
      </c>
      <c r="H240" s="7">
        <v>0</v>
      </c>
      <c r="I240" s="7">
        <v>0</v>
      </c>
      <c r="J240" s="78">
        <f t="shared" si="33"/>
        <v>0</v>
      </c>
      <c r="K240" s="2">
        <f t="shared" si="34"/>
        <v>0</v>
      </c>
      <c r="L240" s="8">
        <v>0</v>
      </c>
      <c r="M240" s="1">
        <f t="shared" ref="M240:M298" si="44">IF(L240=0,0,IF(ROUND(E240*L240,0)&gt;20,ROUND(E240*L240,0),20))</f>
        <v>0</v>
      </c>
      <c r="N240" s="41">
        <v>0</v>
      </c>
      <c r="O240" s="84" t="s">
        <v>275</v>
      </c>
      <c r="P240" s="24" t="s">
        <v>562</v>
      </c>
      <c r="Q240" s="7" t="s">
        <v>557</v>
      </c>
      <c r="R240" s="7"/>
      <c r="S240" s="81">
        <v>0.09</v>
      </c>
      <c r="T240" s="7">
        <v>25</v>
      </c>
      <c r="U240" s="82"/>
      <c r="V240" s="83">
        <f>ROUNDUP(E240*S240,2)</f>
        <v>0</v>
      </c>
      <c r="W240" s="83">
        <f>ROUNDUP(E240*0.015,2)</f>
        <v>0</v>
      </c>
      <c r="X240" s="82">
        <f>MAX(MIN(SUMIFS(Логистика!$C$2:$C$38,Логистика!$A$2:$A$38,"&lt;="&amp;K240,Логистика!$B$2:$B$38,"&gt;="&amp;K240)*E240,SUMIFS(Логистика!$E$2:$E$38,Логистика!$A$2:$A$38,"&lt;="&amp;K240,Логистика!$B$2:$B$38,"&gt;="&amp;K240)),SUMIFS(Логистика!$D$2:$D$38,Логистика!$A$2:$A$38,"&lt;="&amp;K240,Логистика!$B$2:$B$38,"&gt;="&amp;K240))</f>
        <v>0</v>
      </c>
      <c r="Y240" s="83">
        <f>IF(AND(E240*0.055&gt;20,E240*0.055&lt;250),ROUNDUP(E240*0.055,2),IF(E240*0.055&lt;=20,20,250))</f>
        <v>20</v>
      </c>
      <c r="Z240" s="83">
        <f>ROUND(M240*0.05,2)</f>
        <v>0</v>
      </c>
      <c r="AA240" s="83">
        <f>IF(N240=0,0,IF(ROUND(E240*N240,2)&gt;5,ROUND(E240*N240,2),5))</f>
        <v>0</v>
      </c>
      <c r="AB240" s="83">
        <f>IF(O240="Да",ROUND(E240*0.1111,2),0)</f>
        <v>0</v>
      </c>
      <c r="AC240" s="53">
        <f>V240+W240+T240+X240+Y240+Z240+AA240+AB240</f>
        <v>45</v>
      </c>
      <c r="AD240" s="8">
        <v>0</v>
      </c>
      <c r="AE240" s="36">
        <f>ROUND(E240*AD240,2)</f>
        <v>0</v>
      </c>
      <c r="AF240" s="6">
        <v>15</v>
      </c>
      <c r="AG240" s="6">
        <v>15</v>
      </c>
      <c r="AH240" s="5"/>
      <c r="AI240" s="57">
        <f>E240-AC240-AE240-AH240</f>
        <v>-45</v>
      </c>
      <c r="AJ240" s="17">
        <f>E240-AC240</f>
        <v>-45</v>
      </c>
      <c r="AK240" s="20" t="e">
        <f>ROUND(AI240/E240,2)</f>
        <v>#DIV/0!</v>
      </c>
      <c r="AL240" s="21" t="e">
        <f t="shared" ref="AL240:AL298" si="45">ROUND(AI240/AH240,2)</f>
        <v>#DIV/0!</v>
      </c>
    </row>
    <row r="241" spans="1:38" x14ac:dyDescent="0.25">
      <c r="A241" s="27"/>
      <c r="B241" s="46"/>
      <c r="C241" s="31"/>
      <c r="D241" s="38">
        <v>0</v>
      </c>
      <c r="E241" s="50">
        <f t="shared" ref="E241:E298" si="46">ROUND(C241*(1-D241),0)</f>
        <v>0</v>
      </c>
      <c r="F241" s="24"/>
      <c r="G241" s="7">
        <v>0</v>
      </c>
      <c r="H241" s="7">
        <v>0</v>
      </c>
      <c r="I241" s="7">
        <v>0</v>
      </c>
      <c r="J241" s="78">
        <f t="shared" si="33"/>
        <v>0</v>
      </c>
      <c r="K241" s="2">
        <f t="shared" si="34"/>
        <v>0</v>
      </c>
      <c r="L241" s="8">
        <v>0</v>
      </c>
      <c r="M241" s="1">
        <f t="shared" si="44"/>
        <v>0</v>
      </c>
      <c r="N241" s="41">
        <v>0</v>
      </c>
      <c r="O241" s="84" t="s">
        <v>275</v>
      </c>
      <c r="P241" s="24" t="s">
        <v>562</v>
      </c>
      <c r="Q241" s="7" t="s">
        <v>557</v>
      </c>
      <c r="R241" s="7"/>
      <c r="S241" s="81">
        <v>0.09</v>
      </c>
      <c r="T241" s="7">
        <v>25</v>
      </c>
      <c r="U241" s="82"/>
      <c r="V241" s="83">
        <f>ROUNDUP(E241*S241,2)</f>
        <v>0</v>
      </c>
      <c r="W241" s="83">
        <f>ROUNDUP(E241*0.015,2)</f>
        <v>0</v>
      </c>
      <c r="X241" s="82">
        <f>MAX(MIN(SUMIFS(Логистика!$C$2:$C$38,Логистика!$A$2:$A$38,"&lt;="&amp;K241,Логистика!$B$2:$B$38,"&gt;="&amp;K241)*E241,SUMIFS(Логистика!$E$2:$E$38,Логистика!$A$2:$A$38,"&lt;="&amp;K241,Логистика!$B$2:$B$38,"&gt;="&amp;K241)),SUMIFS(Логистика!$D$2:$D$38,Логистика!$A$2:$A$38,"&lt;="&amp;K241,Логистика!$B$2:$B$38,"&gt;="&amp;K241))</f>
        <v>0</v>
      </c>
      <c r="Y241" s="83">
        <f>IF(AND(E241*0.055&gt;20,E241*0.055&lt;250),ROUNDUP(E241*0.055,2),IF(E241*0.055&lt;=20,20,250))</f>
        <v>20</v>
      </c>
      <c r="Z241" s="83">
        <f>ROUND(M241*0.05,2)</f>
        <v>0</v>
      </c>
      <c r="AA241" s="83">
        <f>IF(N241=0,0,IF(ROUND(E241*N241,2)&gt;5,ROUND(E241*N241,2),5))</f>
        <v>0</v>
      </c>
      <c r="AB241" s="83">
        <f>IF(O241="Да",ROUND(E241*0.1111,2),0)</f>
        <v>0</v>
      </c>
      <c r="AC241" s="53">
        <f>V241+W241+T241+X241+Y241+Z241+AA241+AB241</f>
        <v>45</v>
      </c>
      <c r="AD241" s="8">
        <v>0</v>
      </c>
      <c r="AE241" s="36">
        <f>ROUND(E241*AD241,2)</f>
        <v>0</v>
      </c>
      <c r="AF241" s="6">
        <v>15</v>
      </c>
      <c r="AG241" s="6">
        <v>15</v>
      </c>
      <c r="AH241" s="5"/>
      <c r="AI241" s="57">
        <f>E241-AC241-AE241-AH241</f>
        <v>-45</v>
      </c>
      <c r="AJ241" s="17">
        <f>E241-AC241</f>
        <v>-45</v>
      </c>
      <c r="AK241" s="20" t="e">
        <f>ROUND(AI241/E241,2)</f>
        <v>#DIV/0!</v>
      </c>
      <c r="AL241" s="21" t="e">
        <f t="shared" si="45"/>
        <v>#DIV/0!</v>
      </c>
    </row>
    <row r="242" spans="1:38" x14ac:dyDescent="0.25">
      <c r="A242" s="27" t="s">
        <v>546</v>
      </c>
      <c r="B242" s="46" t="s">
        <v>545</v>
      </c>
      <c r="C242" s="31"/>
      <c r="D242" s="38">
        <v>0</v>
      </c>
      <c r="E242" s="50">
        <f t="shared" si="46"/>
        <v>0</v>
      </c>
      <c r="F242" s="24">
        <v>0.05</v>
      </c>
      <c r="G242" s="7">
        <v>7.0000000000000009</v>
      </c>
      <c r="H242" s="7">
        <v>7.0000000000000009</v>
      </c>
      <c r="I242" s="7">
        <v>6</v>
      </c>
      <c r="J242" s="78">
        <f t="shared" si="33"/>
        <v>0.29400000000000009</v>
      </c>
      <c r="K242" s="2">
        <f t="shared" si="34"/>
        <v>0.1</v>
      </c>
      <c r="L242" s="8">
        <v>0</v>
      </c>
      <c r="M242" s="1">
        <f t="shared" si="44"/>
        <v>0</v>
      </c>
      <c r="N242" s="41">
        <v>0</v>
      </c>
      <c r="O242" s="84" t="s">
        <v>275</v>
      </c>
      <c r="P242" s="24" t="s">
        <v>562</v>
      </c>
      <c r="Q242" s="7" t="s">
        <v>557</v>
      </c>
      <c r="R242" s="7"/>
      <c r="S242" s="81">
        <v>0.09</v>
      </c>
      <c r="T242" s="7">
        <v>25</v>
      </c>
      <c r="U242" s="82"/>
      <c r="V242" s="83">
        <f>ROUNDUP(E242*S242,2)</f>
        <v>0</v>
      </c>
      <c r="W242" s="83">
        <f>ROUNDUP(E242*0.015,2)</f>
        <v>0</v>
      </c>
      <c r="X242" s="82">
        <f>MAX(MIN(SUMIFS(Логистика!$C$2:$C$38,Логистика!$A$2:$A$38,"&lt;="&amp;K242,Логистика!$B$2:$B$38,"&gt;="&amp;K242)*E242,SUMIFS(Логистика!$E$2:$E$38,Логистика!$A$2:$A$38,"&lt;="&amp;K242,Логистика!$B$2:$B$38,"&gt;="&amp;K242)),SUMIFS(Логистика!$D$2:$D$38,Логистика!$A$2:$A$38,"&lt;="&amp;K242,Логистика!$B$2:$B$38,"&gt;="&amp;K242))</f>
        <v>40</v>
      </c>
      <c r="Y242" s="83">
        <f>IF(AND(E242*0.055&gt;20,E242*0.055&lt;250),ROUNDUP(E242*0.055,2),IF(E242*0.055&lt;=20,20,250))</f>
        <v>20</v>
      </c>
      <c r="Z242" s="83">
        <f>ROUND(M242*0.05,2)</f>
        <v>0</v>
      </c>
      <c r="AA242" s="83">
        <f>IF(N242=0,0,IF(ROUND(E242*N242,2)&gt;5,ROUND(E242*N242,2),5))</f>
        <v>0</v>
      </c>
      <c r="AB242" s="83">
        <f>IF(O242="Да",ROUND(E242*0.1111,2),0)</f>
        <v>0</v>
      </c>
      <c r="AC242" s="53">
        <f>V242+W242+T242+X242+Y242+Z242+AA242+AB242</f>
        <v>85</v>
      </c>
      <c r="AD242" s="8">
        <v>0</v>
      </c>
      <c r="AE242" s="36">
        <f>ROUND(E242*AD242,2)</f>
        <v>0</v>
      </c>
      <c r="AF242" s="6">
        <v>15</v>
      </c>
      <c r="AG242" s="6">
        <v>15</v>
      </c>
      <c r="AH242" s="5">
        <v>125</v>
      </c>
      <c r="AI242" s="57">
        <f>E242-AC242-AE242-AH242</f>
        <v>-210</v>
      </c>
      <c r="AJ242" s="17">
        <f>E242-AC242</f>
        <v>-85</v>
      </c>
      <c r="AK242" s="20" t="e">
        <f>ROUND(AI242/E242,2)</f>
        <v>#DIV/0!</v>
      </c>
      <c r="AL242" s="21">
        <f t="shared" si="45"/>
        <v>-1.68</v>
      </c>
    </row>
    <row r="243" spans="1:38" x14ac:dyDescent="0.25">
      <c r="A243" s="27" t="s">
        <v>547</v>
      </c>
      <c r="B243" s="46" t="s">
        <v>548</v>
      </c>
      <c r="C243" s="31"/>
      <c r="D243" s="38">
        <v>0</v>
      </c>
      <c r="E243" s="50">
        <f t="shared" si="46"/>
        <v>0</v>
      </c>
      <c r="F243" s="24">
        <v>0.1</v>
      </c>
      <c r="G243" s="7">
        <v>12</v>
      </c>
      <c r="H243" s="7">
        <v>7.0000000000000009</v>
      </c>
      <c r="I243" s="7">
        <v>6</v>
      </c>
      <c r="J243" s="78">
        <f t="shared" si="33"/>
        <v>0.50400000000000011</v>
      </c>
      <c r="K243" s="2">
        <f t="shared" si="34"/>
        <v>0.1</v>
      </c>
      <c r="L243" s="8">
        <v>0</v>
      </c>
      <c r="M243" s="1">
        <f t="shared" si="44"/>
        <v>0</v>
      </c>
      <c r="N243" s="41">
        <v>0</v>
      </c>
      <c r="O243" s="84" t="s">
        <v>275</v>
      </c>
      <c r="P243" s="24" t="s">
        <v>562</v>
      </c>
      <c r="Q243" s="7" t="s">
        <v>557</v>
      </c>
      <c r="R243" s="7"/>
      <c r="S243" s="81">
        <v>0.09</v>
      </c>
      <c r="T243" s="7">
        <v>25</v>
      </c>
      <c r="U243" s="82"/>
      <c r="V243" s="83">
        <f>ROUNDUP(E243*S243,2)</f>
        <v>0</v>
      </c>
      <c r="W243" s="83">
        <f>ROUNDUP(E243*0.015,2)</f>
        <v>0</v>
      </c>
      <c r="X243" s="82">
        <f>MAX(MIN(SUMIFS(Логистика!$C$2:$C$38,Логистика!$A$2:$A$38,"&lt;="&amp;K243,Логистика!$B$2:$B$38,"&gt;="&amp;K243)*E243,SUMIFS(Логистика!$E$2:$E$38,Логистика!$A$2:$A$38,"&lt;="&amp;K243,Логистика!$B$2:$B$38,"&gt;="&amp;K243)),SUMIFS(Логистика!$D$2:$D$38,Логистика!$A$2:$A$38,"&lt;="&amp;K243,Логистика!$B$2:$B$38,"&gt;="&amp;K243))</f>
        <v>40</v>
      </c>
      <c r="Y243" s="83">
        <f>IF(AND(E243*0.055&gt;20,E243*0.055&lt;250),ROUNDUP(E243*0.055,2),IF(E243*0.055&lt;=20,20,250))</f>
        <v>20</v>
      </c>
      <c r="Z243" s="83">
        <f>ROUND(M243*0.05,2)</f>
        <v>0</v>
      </c>
      <c r="AA243" s="83">
        <f>IF(N243=0,0,IF(ROUND(E243*N243,2)&gt;5,ROUND(E243*N243,2),5))</f>
        <v>0</v>
      </c>
      <c r="AB243" s="83">
        <f>IF(O243="Да",ROUND(E243*0.1111,2),0)</f>
        <v>0</v>
      </c>
      <c r="AC243" s="53">
        <f>V243+W243+T243+X243+Y243+Z243+AA243+AB243</f>
        <v>85</v>
      </c>
      <c r="AD243" s="8">
        <v>0</v>
      </c>
      <c r="AE243" s="36">
        <f>ROUND(E243*AD243,2)</f>
        <v>0</v>
      </c>
      <c r="AF243" s="6">
        <v>15</v>
      </c>
      <c r="AG243" s="6">
        <v>15</v>
      </c>
      <c r="AH243" s="5"/>
      <c r="AI243" s="57">
        <f>E243-AC243-AE243-AH243</f>
        <v>-85</v>
      </c>
      <c r="AJ243" s="17">
        <f>E243-AC243</f>
        <v>-85</v>
      </c>
      <c r="AK243" s="20" t="e">
        <f>ROUND(AI243/E243,2)</f>
        <v>#DIV/0!</v>
      </c>
      <c r="AL243" s="21" t="e">
        <f t="shared" si="45"/>
        <v>#DIV/0!</v>
      </c>
    </row>
    <row r="244" spans="1:38" x14ac:dyDescent="0.25">
      <c r="A244" s="27"/>
      <c r="B244" s="46"/>
      <c r="C244" s="31"/>
      <c r="D244" s="38">
        <v>0</v>
      </c>
      <c r="E244" s="50">
        <f t="shared" si="46"/>
        <v>0</v>
      </c>
      <c r="F244" s="24"/>
      <c r="G244" s="7">
        <v>0</v>
      </c>
      <c r="H244" s="7">
        <v>0</v>
      </c>
      <c r="I244" s="7">
        <v>0</v>
      </c>
      <c r="J244" s="78">
        <f t="shared" si="33"/>
        <v>0</v>
      </c>
      <c r="K244" s="2">
        <f t="shared" si="34"/>
        <v>0</v>
      </c>
      <c r="L244" s="8">
        <v>0</v>
      </c>
      <c r="M244" s="1">
        <f t="shared" si="44"/>
        <v>0</v>
      </c>
      <c r="N244" s="41">
        <v>0</v>
      </c>
      <c r="O244" s="84" t="s">
        <v>275</v>
      </c>
      <c r="P244" s="24" t="s">
        <v>562</v>
      </c>
      <c r="Q244" s="7" t="s">
        <v>557</v>
      </c>
      <c r="R244" s="7"/>
      <c r="S244" s="81">
        <v>0.09</v>
      </c>
      <c r="T244" s="7">
        <v>25</v>
      </c>
      <c r="U244" s="82"/>
      <c r="V244" s="83">
        <f>ROUNDUP(E244*S244,2)</f>
        <v>0</v>
      </c>
      <c r="W244" s="83">
        <f>ROUNDUP(E244*0.015,2)</f>
        <v>0</v>
      </c>
      <c r="X244" s="82">
        <f>MAX(MIN(SUMIFS(Логистика!$C$2:$C$38,Логистика!$A$2:$A$38,"&lt;="&amp;K244,Логистика!$B$2:$B$38,"&gt;="&amp;K244)*E244,SUMIFS(Логистика!$E$2:$E$38,Логистика!$A$2:$A$38,"&lt;="&amp;K244,Логистика!$B$2:$B$38,"&gt;="&amp;K244)),SUMIFS(Логистика!$D$2:$D$38,Логистика!$A$2:$A$38,"&lt;="&amp;K244,Логистика!$B$2:$B$38,"&gt;="&amp;K244))</f>
        <v>0</v>
      </c>
      <c r="Y244" s="83">
        <f>IF(AND(E244*0.055&gt;20,E244*0.055&lt;250),ROUNDUP(E244*0.055,2),IF(E244*0.055&lt;=20,20,250))</f>
        <v>20</v>
      </c>
      <c r="Z244" s="83">
        <f>ROUND(M244*0.05,2)</f>
        <v>0</v>
      </c>
      <c r="AA244" s="83">
        <f>IF(N244=0,0,IF(ROUND(E244*N244,2)&gt;5,ROUND(E244*N244,2),5))</f>
        <v>0</v>
      </c>
      <c r="AB244" s="83">
        <f>IF(O244="Да",ROUND(E244*0.1111,2),0)</f>
        <v>0</v>
      </c>
      <c r="AC244" s="53">
        <f>V244+W244+T244+X244+Y244+Z244+AA244+AB244</f>
        <v>45</v>
      </c>
      <c r="AD244" s="8">
        <v>0</v>
      </c>
      <c r="AE244" s="36">
        <f>ROUND(E244*AD244,2)</f>
        <v>0</v>
      </c>
      <c r="AF244" s="6">
        <v>15</v>
      </c>
      <c r="AG244" s="6">
        <v>15</v>
      </c>
      <c r="AH244" s="5"/>
      <c r="AI244" s="57">
        <f>E244-AC244-AE244-AH244</f>
        <v>-45</v>
      </c>
      <c r="AJ244" s="17">
        <f>E244-AC244</f>
        <v>-45</v>
      </c>
      <c r="AK244" s="20" t="e">
        <f>ROUND(AI244/E244,2)</f>
        <v>#DIV/0!</v>
      </c>
      <c r="AL244" s="21" t="e">
        <f t="shared" si="45"/>
        <v>#DIV/0!</v>
      </c>
    </row>
    <row r="245" spans="1:38" x14ac:dyDescent="0.25">
      <c r="A245" s="27"/>
      <c r="B245" s="46"/>
      <c r="C245" s="31"/>
      <c r="D245" s="38">
        <v>0</v>
      </c>
      <c r="E245" s="50">
        <f t="shared" si="46"/>
        <v>0</v>
      </c>
      <c r="F245" s="24"/>
      <c r="G245" s="7">
        <v>0</v>
      </c>
      <c r="H245" s="7">
        <v>0</v>
      </c>
      <c r="I245" s="7">
        <v>0</v>
      </c>
      <c r="J245" s="78">
        <f t="shared" si="33"/>
        <v>0</v>
      </c>
      <c r="K245" s="2">
        <f t="shared" si="34"/>
        <v>0</v>
      </c>
      <c r="L245" s="8">
        <v>0</v>
      </c>
      <c r="M245" s="1">
        <f t="shared" si="44"/>
        <v>0</v>
      </c>
      <c r="N245" s="41">
        <v>0</v>
      </c>
      <c r="O245" s="84" t="s">
        <v>275</v>
      </c>
      <c r="P245" s="24" t="s">
        <v>562</v>
      </c>
      <c r="Q245" s="7" t="s">
        <v>557</v>
      </c>
      <c r="R245" s="7"/>
      <c r="S245" s="81">
        <v>0.09</v>
      </c>
      <c r="T245" s="7">
        <v>25</v>
      </c>
      <c r="U245" s="82"/>
      <c r="V245" s="83">
        <f>ROUNDUP(E245*S245,2)</f>
        <v>0</v>
      </c>
      <c r="W245" s="83">
        <f>ROUNDUP(E245*0.015,2)</f>
        <v>0</v>
      </c>
      <c r="X245" s="82">
        <f>MAX(MIN(SUMIFS(Логистика!$C$2:$C$38,Логистика!$A$2:$A$38,"&lt;="&amp;K245,Логистика!$B$2:$B$38,"&gt;="&amp;K245)*E245,SUMIFS(Логистика!$E$2:$E$38,Логистика!$A$2:$A$38,"&lt;="&amp;K245,Логистика!$B$2:$B$38,"&gt;="&amp;K245)),SUMIFS(Логистика!$D$2:$D$38,Логистика!$A$2:$A$38,"&lt;="&amp;K245,Логистика!$B$2:$B$38,"&gt;="&amp;K245))</f>
        <v>0</v>
      </c>
      <c r="Y245" s="83">
        <f>IF(AND(E245*0.055&gt;20,E245*0.055&lt;250),ROUNDUP(E245*0.055,2),IF(E245*0.055&lt;=20,20,250))</f>
        <v>20</v>
      </c>
      <c r="Z245" s="83">
        <f>ROUND(M245*0.05,2)</f>
        <v>0</v>
      </c>
      <c r="AA245" s="83">
        <f>IF(N245=0,0,IF(ROUND(E245*N245,2)&gt;5,ROUND(E245*N245,2),5))</f>
        <v>0</v>
      </c>
      <c r="AB245" s="83">
        <f>IF(O245="Да",ROUND(E245*0.1111,2),0)</f>
        <v>0</v>
      </c>
      <c r="AC245" s="53">
        <f>V245+W245+T245+X245+Y245+Z245+AA245+AB245</f>
        <v>45</v>
      </c>
      <c r="AD245" s="8">
        <v>0</v>
      </c>
      <c r="AE245" s="36">
        <f>ROUND(E245*AD245,2)</f>
        <v>0</v>
      </c>
      <c r="AF245" s="6">
        <v>15</v>
      </c>
      <c r="AG245" s="6">
        <v>15</v>
      </c>
      <c r="AH245" s="5"/>
      <c r="AI245" s="57">
        <f>E245-AC245-AE245-AH245</f>
        <v>-45</v>
      </c>
      <c r="AJ245" s="17">
        <f>E245-AC245</f>
        <v>-45</v>
      </c>
      <c r="AK245" s="20" t="e">
        <f>ROUND(AI245/E245,2)</f>
        <v>#DIV/0!</v>
      </c>
      <c r="AL245" s="21" t="e">
        <f t="shared" si="45"/>
        <v>#DIV/0!</v>
      </c>
    </row>
    <row r="246" spans="1:38" x14ac:dyDescent="0.25">
      <c r="A246" s="27"/>
      <c r="B246" s="46"/>
      <c r="C246" s="31"/>
      <c r="D246" s="38">
        <v>0</v>
      </c>
      <c r="E246" s="50">
        <f t="shared" si="46"/>
        <v>0</v>
      </c>
      <c r="F246" s="24"/>
      <c r="G246" s="7">
        <v>0</v>
      </c>
      <c r="H246" s="7">
        <v>0</v>
      </c>
      <c r="I246" s="7">
        <v>0</v>
      </c>
      <c r="J246" s="78">
        <f t="shared" si="33"/>
        <v>0</v>
      </c>
      <c r="K246" s="2">
        <f t="shared" si="34"/>
        <v>0</v>
      </c>
      <c r="L246" s="8">
        <v>0</v>
      </c>
      <c r="M246" s="1">
        <f t="shared" si="44"/>
        <v>0</v>
      </c>
      <c r="N246" s="41">
        <v>0</v>
      </c>
      <c r="O246" s="84" t="s">
        <v>275</v>
      </c>
      <c r="P246" s="24" t="s">
        <v>562</v>
      </c>
      <c r="Q246" s="7" t="s">
        <v>557</v>
      </c>
      <c r="R246" s="7"/>
      <c r="S246" s="81">
        <v>0.09</v>
      </c>
      <c r="T246" s="7">
        <v>25</v>
      </c>
      <c r="U246" s="82"/>
      <c r="V246" s="83">
        <f>ROUNDUP(E246*S246,2)</f>
        <v>0</v>
      </c>
      <c r="W246" s="83">
        <f>ROUNDUP(E246*0.015,2)</f>
        <v>0</v>
      </c>
      <c r="X246" s="82">
        <f>MAX(MIN(SUMIFS(Логистика!$C$2:$C$38,Логистика!$A$2:$A$38,"&lt;="&amp;K246,Логистика!$B$2:$B$38,"&gt;="&amp;K246)*E246,SUMIFS(Логистика!$E$2:$E$38,Логистика!$A$2:$A$38,"&lt;="&amp;K246,Логистика!$B$2:$B$38,"&gt;="&amp;K246)),SUMIFS(Логистика!$D$2:$D$38,Логистика!$A$2:$A$38,"&lt;="&amp;K246,Логистика!$B$2:$B$38,"&gt;="&amp;K246))</f>
        <v>0</v>
      </c>
      <c r="Y246" s="83">
        <f>IF(AND(E246*0.055&gt;20,E246*0.055&lt;250),ROUNDUP(E246*0.055,2),IF(E246*0.055&lt;=20,20,250))</f>
        <v>20</v>
      </c>
      <c r="Z246" s="83">
        <f>ROUND(M246*0.05,2)</f>
        <v>0</v>
      </c>
      <c r="AA246" s="83">
        <f>IF(N246=0,0,IF(ROUND(E246*N246,2)&gt;5,ROUND(E246*N246,2),5))</f>
        <v>0</v>
      </c>
      <c r="AB246" s="83">
        <f>IF(O246="Да",ROUND(E246*0.1111,2),0)</f>
        <v>0</v>
      </c>
      <c r="AC246" s="53">
        <f>V246+W246+T246+X246+Y246+Z246+AA246+AB246</f>
        <v>45</v>
      </c>
      <c r="AD246" s="8">
        <v>0</v>
      </c>
      <c r="AE246" s="36">
        <f>ROUND(E246*AD246,2)</f>
        <v>0</v>
      </c>
      <c r="AF246" s="6">
        <v>15</v>
      </c>
      <c r="AG246" s="6">
        <v>15</v>
      </c>
      <c r="AH246" s="5"/>
      <c r="AI246" s="57">
        <f>E246-AC246-AE246-AH246</f>
        <v>-45</v>
      </c>
      <c r="AJ246" s="17">
        <f>E246-AC246</f>
        <v>-45</v>
      </c>
      <c r="AK246" s="20" t="e">
        <f>ROUND(AI246/E246,2)</f>
        <v>#DIV/0!</v>
      </c>
      <c r="AL246" s="21" t="e">
        <f t="shared" si="45"/>
        <v>#DIV/0!</v>
      </c>
    </row>
    <row r="247" spans="1:38" x14ac:dyDescent="0.25">
      <c r="A247" s="27"/>
      <c r="B247" s="46"/>
      <c r="C247" s="31"/>
      <c r="D247" s="38">
        <v>0</v>
      </c>
      <c r="E247" s="50">
        <f t="shared" si="46"/>
        <v>0</v>
      </c>
      <c r="F247" s="24"/>
      <c r="G247" s="7">
        <v>0</v>
      </c>
      <c r="H247" s="7">
        <v>0</v>
      </c>
      <c r="I247" s="7">
        <v>0</v>
      </c>
      <c r="J247" s="78">
        <f t="shared" si="33"/>
        <v>0</v>
      </c>
      <c r="K247" s="2">
        <f t="shared" si="34"/>
        <v>0</v>
      </c>
      <c r="L247" s="8">
        <v>0</v>
      </c>
      <c r="M247" s="1">
        <f t="shared" si="44"/>
        <v>0</v>
      </c>
      <c r="N247" s="41">
        <v>0</v>
      </c>
      <c r="O247" s="84" t="s">
        <v>275</v>
      </c>
      <c r="P247" s="24" t="s">
        <v>562</v>
      </c>
      <c r="Q247" s="7" t="s">
        <v>557</v>
      </c>
      <c r="R247" s="7"/>
      <c r="S247" s="81">
        <v>0.09</v>
      </c>
      <c r="T247" s="7">
        <v>25</v>
      </c>
      <c r="U247" s="82"/>
      <c r="V247" s="83">
        <f>ROUNDUP(E247*S247,2)</f>
        <v>0</v>
      </c>
      <c r="W247" s="83">
        <f>ROUNDUP(E247*0.015,2)</f>
        <v>0</v>
      </c>
      <c r="X247" s="82">
        <f>MAX(MIN(SUMIFS(Логистика!$C$2:$C$38,Логистика!$A$2:$A$38,"&lt;="&amp;K247,Логистика!$B$2:$B$38,"&gt;="&amp;K247)*E247,SUMIFS(Логистика!$E$2:$E$38,Логистика!$A$2:$A$38,"&lt;="&amp;K247,Логистика!$B$2:$B$38,"&gt;="&amp;K247)),SUMIFS(Логистика!$D$2:$D$38,Логистика!$A$2:$A$38,"&lt;="&amp;K247,Логистика!$B$2:$B$38,"&gt;="&amp;K247))</f>
        <v>0</v>
      </c>
      <c r="Y247" s="83">
        <f>IF(AND(E247*0.055&gt;20,E247*0.055&lt;250),ROUNDUP(E247*0.055,2),IF(E247*0.055&lt;=20,20,250))</f>
        <v>20</v>
      </c>
      <c r="Z247" s="83">
        <f>ROUND(M247*0.05,2)</f>
        <v>0</v>
      </c>
      <c r="AA247" s="83">
        <f>IF(N247=0,0,IF(ROUND(E247*N247,2)&gt;5,ROUND(E247*N247,2),5))</f>
        <v>0</v>
      </c>
      <c r="AB247" s="83">
        <f>IF(O247="Да",ROUND(E247*0.1111,2),0)</f>
        <v>0</v>
      </c>
      <c r="AC247" s="53">
        <f>V247+W247+T247+X247+Y247+Z247+AA247+AB247</f>
        <v>45</v>
      </c>
      <c r="AD247" s="8">
        <v>0</v>
      </c>
      <c r="AE247" s="36">
        <f>ROUND(E247*AD247,2)</f>
        <v>0</v>
      </c>
      <c r="AF247" s="6">
        <v>15</v>
      </c>
      <c r="AG247" s="6">
        <v>15</v>
      </c>
      <c r="AH247" s="5"/>
      <c r="AI247" s="57">
        <f>E247-AC247-AE247-AH247</f>
        <v>-45</v>
      </c>
      <c r="AJ247" s="17">
        <f>E247-AC247</f>
        <v>-45</v>
      </c>
      <c r="AK247" s="20" t="e">
        <f>ROUND(AI247/E247,2)</f>
        <v>#DIV/0!</v>
      </c>
      <c r="AL247" s="21" t="e">
        <f t="shared" si="45"/>
        <v>#DIV/0!</v>
      </c>
    </row>
    <row r="248" spans="1:38" x14ac:dyDescent="0.25">
      <c r="A248" s="27"/>
      <c r="B248" s="46"/>
      <c r="C248" s="31"/>
      <c r="D248" s="38">
        <v>0</v>
      </c>
      <c r="E248" s="50">
        <f t="shared" si="46"/>
        <v>0</v>
      </c>
      <c r="F248" s="24"/>
      <c r="G248" s="7">
        <v>0</v>
      </c>
      <c r="H248" s="7">
        <v>0</v>
      </c>
      <c r="I248" s="7">
        <v>0</v>
      </c>
      <c r="J248" s="78">
        <f t="shared" si="33"/>
        <v>0</v>
      </c>
      <c r="K248" s="2">
        <f t="shared" si="34"/>
        <v>0</v>
      </c>
      <c r="L248" s="8">
        <v>0</v>
      </c>
      <c r="M248" s="1">
        <f t="shared" si="44"/>
        <v>0</v>
      </c>
      <c r="N248" s="41">
        <v>0</v>
      </c>
      <c r="O248" s="84" t="s">
        <v>275</v>
      </c>
      <c r="P248" s="24" t="s">
        <v>562</v>
      </c>
      <c r="Q248" s="7" t="s">
        <v>557</v>
      </c>
      <c r="R248" s="7"/>
      <c r="S248" s="81">
        <v>0.09</v>
      </c>
      <c r="T248" s="7">
        <v>25</v>
      </c>
      <c r="U248" s="82"/>
      <c r="V248" s="83">
        <f>ROUNDUP(E248*S248,2)</f>
        <v>0</v>
      </c>
      <c r="W248" s="83">
        <f>ROUNDUP(E248*0.015,2)</f>
        <v>0</v>
      </c>
      <c r="X248" s="82">
        <f>MAX(MIN(SUMIFS(Логистика!$C$2:$C$38,Логистика!$A$2:$A$38,"&lt;="&amp;K248,Логистика!$B$2:$B$38,"&gt;="&amp;K248)*E248,SUMIFS(Логистика!$E$2:$E$38,Логистика!$A$2:$A$38,"&lt;="&amp;K248,Логистика!$B$2:$B$38,"&gt;="&amp;K248)),SUMIFS(Логистика!$D$2:$D$38,Логистика!$A$2:$A$38,"&lt;="&amp;K248,Логистика!$B$2:$B$38,"&gt;="&amp;K248))</f>
        <v>0</v>
      </c>
      <c r="Y248" s="83">
        <f>IF(AND(E248*0.055&gt;20,E248*0.055&lt;250),ROUNDUP(E248*0.055,2),IF(E248*0.055&lt;=20,20,250))</f>
        <v>20</v>
      </c>
      <c r="Z248" s="83">
        <f>ROUND(M248*0.05,2)</f>
        <v>0</v>
      </c>
      <c r="AA248" s="83">
        <f>IF(N248=0,0,IF(ROUND(E248*N248,2)&gt;5,ROUND(E248*N248,2),5))</f>
        <v>0</v>
      </c>
      <c r="AB248" s="83">
        <f>IF(O248="Да",ROUND(E248*0.1111,2),0)</f>
        <v>0</v>
      </c>
      <c r="AC248" s="53">
        <f>V248+W248+T248+X248+Y248+Z248+AA248+AB248</f>
        <v>45</v>
      </c>
      <c r="AD248" s="8">
        <v>0</v>
      </c>
      <c r="AE248" s="36">
        <f>ROUND(E248*AD248,2)</f>
        <v>0</v>
      </c>
      <c r="AF248" s="6">
        <v>15</v>
      </c>
      <c r="AG248" s="6">
        <v>15</v>
      </c>
      <c r="AH248" s="5"/>
      <c r="AI248" s="57">
        <f>E248-AC248-AE248-AH248</f>
        <v>-45</v>
      </c>
      <c r="AJ248" s="17">
        <f>E248-AC248</f>
        <v>-45</v>
      </c>
      <c r="AK248" s="20" t="e">
        <f>ROUND(AI248/E248,2)</f>
        <v>#DIV/0!</v>
      </c>
      <c r="AL248" s="21" t="e">
        <f t="shared" si="45"/>
        <v>#DIV/0!</v>
      </c>
    </row>
    <row r="249" spans="1:38" x14ac:dyDescent="0.25">
      <c r="A249" s="27"/>
      <c r="B249" s="46"/>
      <c r="C249" s="31"/>
      <c r="D249" s="38">
        <v>0</v>
      </c>
      <c r="E249" s="50">
        <f t="shared" si="46"/>
        <v>0</v>
      </c>
      <c r="F249" s="24"/>
      <c r="G249" s="7">
        <v>0</v>
      </c>
      <c r="H249" s="7">
        <v>0</v>
      </c>
      <c r="I249" s="7">
        <v>0</v>
      </c>
      <c r="J249" s="78">
        <f t="shared" si="33"/>
        <v>0</v>
      </c>
      <c r="K249" s="2">
        <f t="shared" si="34"/>
        <v>0</v>
      </c>
      <c r="L249" s="8">
        <v>0</v>
      </c>
      <c r="M249" s="1">
        <f t="shared" si="44"/>
        <v>0</v>
      </c>
      <c r="N249" s="41">
        <v>0</v>
      </c>
      <c r="O249" s="84" t="s">
        <v>275</v>
      </c>
      <c r="P249" s="24" t="s">
        <v>562</v>
      </c>
      <c r="Q249" s="7" t="s">
        <v>557</v>
      </c>
      <c r="R249" s="7"/>
      <c r="S249" s="81">
        <v>0.09</v>
      </c>
      <c r="T249" s="7">
        <v>25</v>
      </c>
      <c r="U249" s="82"/>
      <c r="V249" s="83">
        <f>ROUNDUP(E249*S249,2)</f>
        <v>0</v>
      </c>
      <c r="W249" s="83">
        <f>ROUNDUP(E249*0.015,2)</f>
        <v>0</v>
      </c>
      <c r="X249" s="82">
        <f>MAX(MIN(SUMIFS(Логистика!$C$2:$C$38,Логистика!$A$2:$A$38,"&lt;="&amp;K249,Логистика!$B$2:$B$38,"&gt;="&amp;K249)*E249,SUMIFS(Логистика!$E$2:$E$38,Логистика!$A$2:$A$38,"&lt;="&amp;K249,Логистика!$B$2:$B$38,"&gt;="&amp;K249)),SUMIFS(Логистика!$D$2:$D$38,Логистика!$A$2:$A$38,"&lt;="&amp;K249,Логистика!$B$2:$B$38,"&gt;="&amp;K249))</f>
        <v>0</v>
      </c>
      <c r="Y249" s="83">
        <f>IF(AND(E249*0.055&gt;20,E249*0.055&lt;250),ROUNDUP(E249*0.055,2),IF(E249*0.055&lt;=20,20,250))</f>
        <v>20</v>
      </c>
      <c r="Z249" s="83">
        <f>ROUND(M249*0.05,2)</f>
        <v>0</v>
      </c>
      <c r="AA249" s="83">
        <f>IF(N249=0,0,IF(ROUND(E249*N249,2)&gt;5,ROUND(E249*N249,2),5))</f>
        <v>0</v>
      </c>
      <c r="AB249" s="83">
        <f>IF(O249="Да",ROUND(E249*0.1111,2),0)</f>
        <v>0</v>
      </c>
      <c r="AC249" s="53">
        <f>V249+W249+T249+X249+Y249+Z249+AA249+AB249</f>
        <v>45</v>
      </c>
      <c r="AD249" s="8">
        <v>0</v>
      </c>
      <c r="AE249" s="36">
        <f>ROUND(E249*AD249,2)</f>
        <v>0</v>
      </c>
      <c r="AF249" s="6">
        <v>15</v>
      </c>
      <c r="AG249" s="6">
        <v>15</v>
      </c>
      <c r="AH249" s="5"/>
      <c r="AI249" s="57">
        <f>E249-AC249-AE249-AH249</f>
        <v>-45</v>
      </c>
      <c r="AJ249" s="17">
        <f>E249-AC249</f>
        <v>-45</v>
      </c>
      <c r="AK249" s="20" t="e">
        <f>ROUND(AI249/E249,2)</f>
        <v>#DIV/0!</v>
      </c>
      <c r="AL249" s="21" t="e">
        <f t="shared" si="45"/>
        <v>#DIV/0!</v>
      </c>
    </row>
    <row r="250" spans="1:38" x14ac:dyDescent="0.25">
      <c r="A250" s="27"/>
      <c r="B250" s="46"/>
      <c r="C250" s="31"/>
      <c r="D250" s="38">
        <v>0</v>
      </c>
      <c r="E250" s="50">
        <f t="shared" si="46"/>
        <v>0</v>
      </c>
      <c r="F250" s="24"/>
      <c r="G250" s="7">
        <v>0</v>
      </c>
      <c r="H250" s="7">
        <v>0</v>
      </c>
      <c r="I250" s="7">
        <v>0</v>
      </c>
      <c r="J250" s="78">
        <f t="shared" si="33"/>
        <v>0</v>
      </c>
      <c r="K250" s="2">
        <f t="shared" si="34"/>
        <v>0</v>
      </c>
      <c r="L250" s="8">
        <v>0</v>
      </c>
      <c r="M250" s="1">
        <f t="shared" si="44"/>
        <v>0</v>
      </c>
      <c r="N250" s="41">
        <v>0</v>
      </c>
      <c r="O250" s="84" t="s">
        <v>275</v>
      </c>
      <c r="P250" s="24" t="s">
        <v>562</v>
      </c>
      <c r="Q250" s="7" t="s">
        <v>557</v>
      </c>
      <c r="R250" s="7"/>
      <c r="S250" s="81">
        <v>0.09</v>
      </c>
      <c r="T250" s="7">
        <v>25</v>
      </c>
      <c r="U250" s="82"/>
      <c r="V250" s="83">
        <f>ROUNDUP(E250*S250,2)</f>
        <v>0</v>
      </c>
      <c r="W250" s="83">
        <f>ROUNDUP(E250*0.015,2)</f>
        <v>0</v>
      </c>
      <c r="X250" s="82">
        <f>MAX(MIN(SUMIFS(Логистика!$C$2:$C$38,Логистика!$A$2:$A$38,"&lt;="&amp;K250,Логистика!$B$2:$B$38,"&gt;="&amp;K250)*E250,SUMIFS(Логистика!$E$2:$E$38,Логистика!$A$2:$A$38,"&lt;="&amp;K250,Логистика!$B$2:$B$38,"&gt;="&amp;K250)),SUMIFS(Логистика!$D$2:$D$38,Логистика!$A$2:$A$38,"&lt;="&amp;K250,Логистика!$B$2:$B$38,"&gt;="&amp;K250))</f>
        <v>0</v>
      </c>
      <c r="Y250" s="83">
        <f>IF(AND(E250*0.055&gt;20,E250*0.055&lt;250),ROUNDUP(E250*0.055,2),IF(E250*0.055&lt;=20,20,250))</f>
        <v>20</v>
      </c>
      <c r="Z250" s="83">
        <f>ROUND(M250*0.05,2)</f>
        <v>0</v>
      </c>
      <c r="AA250" s="83">
        <f>IF(N250=0,0,IF(ROUND(E250*N250,2)&gt;5,ROUND(E250*N250,2),5))</f>
        <v>0</v>
      </c>
      <c r="AB250" s="83">
        <f>IF(O250="Да",ROUND(E250*0.1111,2),0)</f>
        <v>0</v>
      </c>
      <c r="AC250" s="53">
        <f>V250+W250+T250+X250+Y250+Z250+AA250+AB250</f>
        <v>45</v>
      </c>
      <c r="AD250" s="8">
        <v>0</v>
      </c>
      <c r="AE250" s="36">
        <f>ROUND(E250*AD250,2)</f>
        <v>0</v>
      </c>
      <c r="AF250" s="6">
        <v>15</v>
      </c>
      <c r="AG250" s="6">
        <v>15</v>
      </c>
      <c r="AH250" s="5"/>
      <c r="AI250" s="57">
        <f>E250-AC250-AE250-AH250</f>
        <v>-45</v>
      </c>
      <c r="AJ250" s="17">
        <f>E250-AC250</f>
        <v>-45</v>
      </c>
      <c r="AK250" s="20" t="e">
        <f>ROUND(AI250/E250,2)</f>
        <v>#DIV/0!</v>
      </c>
      <c r="AL250" s="21" t="e">
        <f t="shared" si="45"/>
        <v>#DIV/0!</v>
      </c>
    </row>
    <row r="251" spans="1:38" x14ac:dyDescent="0.25">
      <c r="A251" s="27"/>
      <c r="B251" s="46"/>
      <c r="C251" s="31"/>
      <c r="D251" s="38">
        <v>0</v>
      </c>
      <c r="E251" s="50">
        <f t="shared" si="46"/>
        <v>0</v>
      </c>
      <c r="F251" s="24"/>
      <c r="G251" s="7">
        <v>0</v>
      </c>
      <c r="H251" s="7">
        <v>0</v>
      </c>
      <c r="I251" s="7">
        <v>0</v>
      </c>
      <c r="J251" s="78">
        <f t="shared" si="33"/>
        <v>0</v>
      </c>
      <c r="K251" s="2">
        <f t="shared" si="34"/>
        <v>0</v>
      </c>
      <c r="L251" s="8">
        <v>0</v>
      </c>
      <c r="M251" s="1">
        <f t="shared" si="44"/>
        <v>0</v>
      </c>
      <c r="N251" s="41">
        <v>0</v>
      </c>
      <c r="O251" s="84" t="s">
        <v>275</v>
      </c>
      <c r="P251" s="24" t="s">
        <v>562</v>
      </c>
      <c r="Q251" s="7" t="s">
        <v>557</v>
      </c>
      <c r="R251" s="7"/>
      <c r="S251" s="81">
        <v>0.09</v>
      </c>
      <c r="T251" s="7">
        <v>25</v>
      </c>
      <c r="U251" s="82"/>
      <c r="V251" s="83">
        <f>ROUNDUP(E251*S251,2)</f>
        <v>0</v>
      </c>
      <c r="W251" s="83">
        <f>ROUNDUP(E251*0.015,2)</f>
        <v>0</v>
      </c>
      <c r="X251" s="82">
        <f>MAX(MIN(SUMIFS(Логистика!$C$2:$C$38,Логистика!$A$2:$A$38,"&lt;="&amp;K251,Логистика!$B$2:$B$38,"&gt;="&amp;K251)*E251,SUMIFS(Логистика!$E$2:$E$38,Логистика!$A$2:$A$38,"&lt;="&amp;K251,Логистика!$B$2:$B$38,"&gt;="&amp;K251)),SUMIFS(Логистика!$D$2:$D$38,Логистика!$A$2:$A$38,"&lt;="&amp;K251,Логистика!$B$2:$B$38,"&gt;="&amp;K251))</f>
        <v>0</v>
      </c>
      <c r="Y251" s="83">
        <f>IF(AND(E251*0.055&gt;20,E251*0.055&lt;250),ROUNDUP(E251*0.055,2),IF(E251*0.055&lt;=20,20,250))</f>
        <v>20</v>
      </c>
      <c r="Z251" s="83">
        <f>ROUND(M251*0.05,2)</f>
        <v>0</v>
      </c>
      <c r="AA251" s="83">
        <f>IF(N251=0,0,IF(ROUND(E251*N251,2)&gt;5,ROUND(E251*N251,2),5))</f>
        <v>0</v>
      </c>
      <c r="AB251" s="83">
        <f>IF(O251="Да",ROUND(E251*0.1111,2),0)</f>
        <v>0</v>
      </c>
      <c r="AC251" s="53">
        <f>V251+W251+T251+X251+Y251+Z251+AA251+AB251</f>
        <v>45</v>
      </c>
      <c r="AD251" s="8">
        <v>0</v>
      </c>
      <c r="AE251" s="36">
        <f>ROUND(E251*AD251,2)</f>
        <v>0</v>
      </c>
      <c r="AF251" s="6">
        <v>15</v>
      </c>
      <c r="AG251" s="6">
        <v>15</v>
      </c>
      <c r="AH251" s="5"/>
      <c r="AI251" s="57">
        <f>E251-AC251-AE251-AH251</f>
        <v>-45</v>
      </c>
      <c r="AJ251" s="17">
        <f>E251-AC251</f>
        <v>-45</v>
      </c>
      <c r="AK251" s="20" t="e">
        <f>ROUND(AI251/E251,2)</f>
        <v>#DIV/0!</v>
      </c>
      <c r="AL251" s="21" t="e">
        <f t="shared" si="45"/>
        <v>#DIV/0!</v>
      </c>
    </row>
    <row r="252" spans="1:38" x14ac:dyDescent="0.25">
      <c r="A252" s="27"/>
      <c r="B252" s="46"/>
      <c r="C252" s="31"/>
      <c r="D252" s="38">
        <v>0</v>
      </c>
      <c r="E252" s="50">
        <f t="shared" si="46"/>
        <v>0</v>
      </c>
      <c r="F252" s="24"/>
      <c r="G252" s="7">
        <v>0</v>
      </c>
      <c r="H252" s="7">
        <v>0</v>
      </c>
      <c r="I252" s="7">
        <v>0</v>
      </c>
      <c r="J252" s="78">
        <f t="shared" si="33"/>
        <v>0</v>
      </c>
      <c r="K252" s="2">
        <f t="shared" si="34"/>
        <v>0</v>
      </c>
      <c r="L252" s="8">
        <v>0</v>
      </c>
      <c r="M252" s="1">
        <f t="shared" si="44"/>
        <v>0</v>
      </c>
      <c r="N252" s="41">
        <v>0</v>
      </c>
      <c r="O252" s="84" t="s">
        <v>275</v>
      </c>
      <c r="P252" s="24" t="s">
        <v>562</v>
      </c>
      <c r="Q252" s="7" t="s">
        <v>557</v>
      </c>
      <c r="R252" s="7"/>
      <c r="S252" s="81">
        <v>0.09</v>
      </c>
      <c r="T252" s="7">
        <v>25</v>
      </c>
      <c r="U252" s="82"/>
      <c r="V252" s="83">
        <f>ROUNDUP(E252*S252,2)</f>
        <v>0</v>
      </c>
      <c r="W252" s="83">
        <f>ROUNDUP(E252*0.015,2)</f>
        <v>0</v>
      </c>
      <c r="X252" s="82">
        <f>MAX(MIN(SUMIFS(Логистика!$C$2:$C$38,Логистика!$A$2:$A$38,"&lt;="&amp;K252,Логистика!$B$2:$B$38,"&gt;="&amp;K252)*E252,SUMIFS(Логистика!$E$2:$E$38,Логистика!$A$2:$A$38,"&lt;="&amp;K252,Логистика!$B$2:$B$38,"&gt;="&amp;K252)),SUMIFS(Логистика!$D$2:$D$38,Логистика!$A$2:$A$38,"&lt;="&amp;K252,Логистика!$B$2:$B$38,"&gt;="&amp;K252))</f>
        <v>0</v>
      </c>
      <c r="Y252" s="83">
        <f>IF(AND(E252*0.055&gt;20,E252*0.055&lt;250),ROUNDUP(E252*0.055,2),IF(E252*0.055&lt;=20,20,250))</f>
        <v>20</v>
      </c>
      <c r="Z252" s="83">
        <f>ROUND(M252*0.05,2)</f>
        <v>0</v>
      </c>
      <c r="AA252" s="83">
        <f>IF(N252=0,0,IF(ROUND(E252*N252,2)&gt;5,ROUND(E252*N252,2),5))</f>
        <v>0</v>
      </c>
      <c r="AB252" s="83">
        <f>IF(O252="Да",ROUND(E252*0.1111,2),0)</f>
        <v>0</v>
      </c>
      <c r="AC252" s="53">
        <f>V252+W252+T252+X252+Y252+Z252+AA252+AB252</f>
        <v>45</v>
      </c>
      <c r="AD252" s="8">
        <v>0</v>
      </c>
      <c r="AE252" s="36">
        <f>ROUND(E252*AD252,2)</f>
        <v>0</v>
      </c>
      <c r="AF252" s="6">
        <v>15</v>
      </c>
      <c r="AG252" s="6">
        <v>15</v>
      </c>
      <c r="AH252" s="5"/>
      <c r="AI252" s="57">
        <f>E252-AC252-AE252-AH252</f>
        <v>-45</v>
      </c>
      <c r="AJ252" s="17">
        <f>E252-AC252</f>
        <v>-45</v>
      </c>
      <c r="AK252" s="20" t="e">
        <f>ROUND(AI252/E252,2)</f>
        <v>#DIV/0!</v>
      </c>
      <c r="AL252" s="21" t="e">
        <f t="shared" si="45"/>
        <v>#DIV/0!</v>
      </c>
    </row>
    <row r="253" spans="1:38" x14ac:dyDescent="0.25">
      <c r="A253" s="27"/>
      <c r="B253" s="46"/>
      <c r="C253" s="31"/>
      <c r="D253" s="38">
        <v>0</v>
      </c>
      <c r="E253" s="50">
        <f t="shared" si="46"/>
        <v>0</v>
      </c>
      <c r="F253" s="24"/>
      <c r="G253" s="7">
        <v>0</v>
      </c>
      <c r="H253" s="7">
        <v>0</v>
      </c>
      <c r="I253" s="7">
        <v>0</v>
      </c>
      <c r="J253" s="78">
        <f t="shared" si="33"/>
        <v>0</v>
      </c>
      <c r="K253" s="2">
        <f t="shared" si="34"/>
        <v>0</v>
      </c>
      <c r="L253" s="8">
        <v>0</v>
      </c>
      <c r="M253" s="1">
        <f t="shared" si="44"/>
        <v>0</v>
      </c>
      <c r="N253" s="41">
        <v>0</v>
      </c>
      <c r="O253" s="84" t="s">
        <v>275</v>
      </c>
      <c r="P253" s="24" t="s">
        <v>562</v>
      </c>
      <c r="Q253" s="7" t="s">
        <v>557</v>
      </c>
      <c r="R253" s="7"/>
      <c r="S253" s="81">
        <v>0.09</v>
      </c>
      <c r="T253" s="7">
        <v>25</v>
      </c>
      <c r="U253" s="82"/>
      <c r="V253" s="83">
        <f>ROUNDUP(E253*S253,2)</f>
        <v>0</v>
      </c>
      <c r="W253" s="83">
        <f>ROUNDUP(E253*0.015,2)</f>
        <v>0</v>
      </c>
      <c r="X253" s="82">
        <f>MAX(MIN(SUMIFS(Логистика!$C$2:$C$38,Логистика!$A$2:$A$38,"&lt;="&amp;K253,Логистика!$B$2:$B$38,"&gt;="&amp;K253)*E253,SUMIFS(Логистика!$E$2:$E$38,Логистика!$A$2:$A$38,"&lt;="&amp;K253,Логистика!$B$2:$B$38,"&gt;="&amp;K253)),SUMIFS(Логистика!$D$2:$D$38,Логистика!$A$2:$A$38,"&lt;="&amp;K253,Логистика!$B$2:$B$38,"&gt;="&amp;K253))</f>
        <v>0</v>
      </c>
      <c r="Y253" s="83">
        <f>IF(AND(E253*0.055&gt;20,E253*0.055&lt;250),ROUNDUP(E253*0.055,2),IF(E253*0.055&lt;=20,20,250))</f>
        <v>20</v>
      </c>
      <c r="Z253" s="83">
        <f>ROUND(M253*0.05,2)</f>
        <v>0</v>
      </c>
      <c r="AA253" s="83">
        <f>IF(N253=0,0,IF(ROUND(E253*N253,2)&gt;5,ROUND(E253*N253,2),5))</f>
        <v>0</v>
      </c>
      <c r="AB253" s="83">
        <f>IF(O253="Да",ROUND(E253*0.1111,2),0)</f>
        <v>0</v>
      </c>
      <c r="AC253" s="53">
        <f>V253+W253+T253+X253+Y253+Z253+AA253+AB253</f>
        <v>45</v>
      </c>
      <c r="AD253" s="8">
        <v>0</v>
      </c>
      <c r="AE253" s="36">
        <f>ROUND(E253*AD253,2)</f>
        <v>0</v>
      </c>
      <c r="AF253" s="6">
        <v>15</v>
      </c>
      <c r="AG253" s="6">
        <v>15</v>
      </c>
      <c r="AH253" s="5"/>
      <c r="AI253" s="57">
        <f>E253-AC253-AE253-AH253</f>
        <v>-45</v>
      </c>
      <c r="AJ253" s="17">
        <f>E253-AC253</f>
        <v>-45</v>
      </c>
      <c r="AK253" s="20" t="e">
        <f>ROUND(AI253/E253,2)</f>
        <v>#DIV/0!</v>
      </c>
      <c r="AL253" s="21" t="e">
        <f t="shared" si="45"/>
        <v>#DIV/0!</v>
      </c>
    </row>
    <row r="254" spans="1:38" x14ac:dyDescent="0.25">
      <c r="A254" s="27"/>
      <c r="B254" s="46"/>
      <c r="C254" s="31"/>
      <c r="D254" s="38">
        <v>0</v>
      </c>
      <c r="E254" s="50">
        <f t="shared" si="46"/>
        <v>0</v>
      </c>
      <c r="F254" s="24"/>
      <c r="G254" s="7">
        <v>0</v>
      </c>
      <c r="H254" s="7">
        <v>0</v>
      </c>
      <c r="I254" s="7">
        <v>0</v>
      </c>
      <c r="J254" s="78">
        <f t="shared" si="33"/>
        <v>0</v>
      </c>
      <c r="K254" s="2">
        <f t="shared" si="34"/>
        <v>0</v>
      </c>
      <c r="L254" s="8">
        <v>0</v>
      </c>
      <c r="M254" s="1">
        <f t="shared" si="44"/>
        <v>0</v>
      </c>
      <c r="N254" s="41">
        <v>0</v>
      </c>
      <c r="O254" s="84" t="s">
        <v>275</v>
      </c>
      <c r="P254" s="24" t="s">
        <v>562</v>
      </c>
      <c r="Q254" s="7" t="s">
        <v>557</v>
      </c>
      <c r="R254" s="7"/>
      <c r="S254" s="81">
        <v>0.09</v>
      </c>
      <c r="T254" s="7">
        <v>25</v>
      </c>
      <c r="U254" s="82"/>
      <c r="V254" s="83">
        <f>ROUNDUP(E254*S254,2)</f>
        <v>0</v>
      </c>
      <c r="W254" s="83">
        <f>ROUNDUP(E254*0.015,2)</f>
        <v>0</v>
      </c>
      <c r="X254" s="82">
        <f>MAX(MIN(SUMIFS(Логистика!$C$2:$C$38,Логистика!$A$2:$A$38,"&lt;="&amp;K254,Логистика!$B$2:$B$38,"&gt;="&amp;K254)*E254,SUMIFS(Логистика!$E$2:$E$38,Логистика!$A$2:$A$38,"&lt;="&amp;K254,Логистика!$B$2:$B$38,"&gt;="&amp;K254)),SUMIFS(Логистика!$D$2:$D$38,Логистика!$A$2:$A$38,"&lt;="&amp;K254,Логистика!$B$2:$B$38,"&gt;="&amp;K254))</f>
        <v>0</v>
      </c>
      <c r="Y254" s="83">
        <f>IF(AND(E254*0.055&gt;20,E254*0.055&lt;250),ROUNDUP(E254*0.055,2),IF(E254*0.055&lt;=20,20,250))</f>
        <v>20</v>
      </c>
      <c r="Z254" s="83">
        <f>ROUND(M254*0.05,2)</f>
        <v>0</v>
      </c>
      <c r="AA254" s="83">
        <f>IF(N254=0,0,IF(ROUND(E254*N254,2)&gt;5,ROUND(E254*N254,2),5))</f>
        <v>0</v>
      </c>
      <c r="AB254" s="83">
        <f>IF(O254="Да",ROUND(E254*0.1111,2),0)</f>
        <v>0</v>
      </c>
      <c r="AC254" s="53">
        <f>V254+W254+T254+X254+Y254+Z254+AA254+AB254</f>
        <v>45</v>
      </c>
      <c r="AD254" s="8">
        <v>0</v>
      </c>
      <c r="AE254" s="36">
        <f>ROUND(E254*AD254,2)</f>
        <v>0</v>
      </c>
      <c r="AF254" s="6">
        <v>15</v>
      </c>
      <c r="AG254" s="6">
        <v>15</v>
      </c>
      <c r="AH254" s="5"/>
      <c r="AI254" s="57">
        <f>E254-AC254-AE254-AH254</f>
        <v>-45</v>
      </c>
      <c r="AJ254" s="17">
        <f>E254-AC254</f>
        <v>-45</v>
      </c>
      <c r="AK254" s="20" t="e">
        <f>ROUND(AI254/E254,2)</f>
        <v>#DIV/0!</v>
      </c>
      <c r="AL254" s="21" t="e">
        <f t="shared" si="45"/>
        <v>#DIV/0!</v>
      </c>
    </row>
    <row r="255" spans="1:38" x14ac:dyDescent="0.25">
      <c r="A255" s="27"/>
      <c r="B255" s="46"/>
      <c r="C255" s="31"/>
      <c r="D255" s="38">
        <v>0</v>
      </c>
      <c r="E255" s="50">
        <f t="shared" si="46"/>
        <v>0</v>
      </c>
      <c r="F255" s="24"/>
      <c r="G255" s="7">
        <v>0</v>
      </c>
      <c r="H255" s="7">
        <v>0</v>
      </c>
      <c r="I255" s="7">
        <v>0</v>
      </c>
      <c r="J255" s="78">
        <f t="shared" si="33"/>
        <v>0</v>
      </c>
      <c r="K255" s="2">
        <f t="shared" si="34"/>
        <v>0</v>
      </c>
      <c r="L255" s="8">
        <v>0</v>
      </c>
      <c r="M255" s="1">
        <f t="shared" si="44"/>
        <v>0</v>
      </c>
      <c r="N255" s="41">
        <v>0</v>
      </c>
      <c r="O255" s="84" t="s">
        <v>275</v>
      </c>
      <c r="P255" s="24" t="s">
        <v>562</v>
      </c>
      <c r="Q255" s="7" t="s">
        <v>557</v>
      </c>
      <c r="R255" s="7"/>
      <c r="S255" s="81">
        <v>0.09</v>
      </c>
      <c r="T255" s="7">
        <v>25</v>
      </c>
      <c r="U255" s="82"/>
      <c r="V255" s="83">
        <f>ROUNDUP(E255*S255,2)</f>
        <v>0</v>
      </c>
      <c r="W255" s="83">
        <f>ROUNDUP(E255*0.015,2)</f>
        <v>0</v>
      </c>
      <c r="X255" s="82">
        <f>MAX(MIN(SUMIFS(Логистика!$C$2:$C$38,Логистика!$A$2:$A$38,"&lt;="&amp;K255,Логистика!$B$2:$B$38,"&gt;="&amp;K255)*E255,SUMIFS(Логистика!$E$2:$E$38,Логистика!$A$2:$A$38,"&lt;="&amp;K255,Логистика!$B$2:$B$38,"&gt;="&amp;K255)),SUMIFS(Логистика!$D$2:$D$38,Логистика!$A$2:$A$38,"&lt;="&amp;K255,Логистика!$B$2:$B$38,"&gt;="&amp;K255))</f>
        <v>0</v>
      </c>
      <c r="Y255" s="83">
        <f>IF(AND(E255*0.055&gt;20,E255*0.055&lt;250),ROUNDUP(E255*0.055,2),IF(E255*0.055&lt;=20,20,250))</f>
        <v>20</v>
      </c>
      <c r="Z255" s="83">
        <f>ROUND(M255*0.05,2)</f>
        <v>0</v>
      </c>
      <c r="AA255" s="83">
        <f>IF(N255=0,0,IF(ROUND(E255*N255,2)&gt;5,ROUND(E255*N255,2),5))</f>
        <v>0</v>
      </c>
      <c r="AB255" s="83">
        <f>IF(O255="Да",ROUND(E255*0.1111,2),0)</f>
        <v>0</v>
      </c>
      <c r="AC255" s="53">
        <f>V255+W255+T255+X255+Y255+Z255+AA255+AB255</f>
        <v>45</v>
      </c>
      <c r="AD255" s="8">
        <v>0</v>
      </c>
      <c r="AE255" s="36">
        <f>ROUND(E255*AD255,2)</f>
        <v>0</v>
      </c>
      <c r="AF255" s="6">
        <v>15</v>
      </c>
      <c r="AG255" s="6">
        <v>15</v>
      </c>
      <c r="AH255" s="5"/>
      <c r="AI255" s="57">
        <f>E255-AC255-AE255-AH255</f>
        <v>-45</v>
      </c>
      <c r="AJ255" s="17">
        <f>E255-AC255</f>
        <v>-45</v>
      </c>
      <c r="AK255" s="20" t="e">
        <f>ROUND(AI255/E255,2)</f>
        <v>#DIV/0!</v>
      </c>
      <c r="AL255" s="21" t="e">
        <f t="shared" si="45"/>
        <v>#DIV/0!</v>
      </c>
    </row>
    <row r="256" spans="1:38" x14ac:dyDescent="0.25">
      <c r="A256" s="27"/>
      <c r="B256" s="46"/>
      <c r="C256" s="31"/>
      <c r="D256" s="38">
        <v>0</v>
      </c>
      <c r="E256" s="50">
        <f t="shared" si="46"/>
        <v>0</v>
      </c>
      <c r="F256" s="24"/>
      <c r="G256" s="7">
        <v>0</v>
      </c>
      <c r="H256" s="7">
        <v>0</v>
      </c>
      <c r="I256" s="7">
        <v>0</v>
      </c>
      <c r="J256" s="78">
        <f t="shared" si="33"/>
        <v>0</v>
      </c>
      <c r="K256" s="2">
        <f t="shared" si="34"/>
        <v>0</v>
      </c>
      <c r="L256" s="8">
        <v>0</v>
      </c>
      <c r="M256" s="1">
        <f t="shared" si="44"/>
        <v>0</v>
      </c>
      <c r="N256" s="41">
        <v>0</v>
      </c>
      <c r="O256" s="84" t="s">
        <v>275</v>
      </c>
      <c r="P256" s="24" t="s">
        <v>562</v>
      </c>
      <c r="Q256" s="7" t="s">
        <v>557</v>
      </c>
      <c r="R256" s="7"/>
      <c r="S256" s="81">
        <v>0.09</v>
      </c>
      <c r="T256" s="7">
        <v>25</v>
      </c>
      <c r="U256" s="82"/>
      <c r="V256" s="83">
        <f>ROUNDUP(E256*S256,2)</f>
        <v>0</v>
      </c>
      <c r="W256" s="83">
        <f>ROUNDUP(E256*0.015,2)</f>
        <v>0</v>
      </c>
      <c r="X256" s="82">
        <f>MAX(MIN(SUMIFS(Логистика!$C$2:$C$38,Логистика!$A$2:$A$38,"&lt;="&amp;K256,Логистика!$B$2:$B$38,"&gt;="&amp;K256)*E256,SUMIFS(Логистика!$E$2:$E$38,Логистика!$A$2:$A$38,"&lt;="&amp;K256,Логистика!$B$2:$B$38,"&gt;="&amp;K256)),SUMIFS(Логистика!$D$2:$D$38,Логистика!$A$2:$A$38,"&lt;="&amp;K256,Логистика!$B$2:$B$38,"&gt;="&amp;K256))</f>
        <v>0</v>
      </c>
      <c r="Y256" s="83">
        <f>IF(AND(E256*0.055&gt;20,E256*0.055&lt;250),ROUNDUP(E256*0.055,2),IF(E256*0.055&lt;=20,20,250))</f>
        <v>20</v>
      </c>
      <c r="Z256" s="83">
        <f>ROUND(M256*0.05,2)</f>
        <v>0</v>
      </c>
      <c r="AA256" s="83">
        <f>IF(N256=0,0,IF(ROUND(E256*N256,2)&gt;5,ROUND(E256*N256,2),5))</f>
        <v>0</v>
      </c>
      <c r="AB256" s="83">
        <f>IF(O256="Да",ROUND(E256*0.1111,2),0)</f>
        <v>0</v>
      </c>
      <c r="AC256" s="53">
        <f>V256+W256+T256+X256+Y256+Z256+AA256+AB256</f>
        <v>45</v>
      </c>
      <c r="AD256" s="8">
        <v>0</v>
      </c>
      <c r="AE256" s="36">
        <f>ROUND(E256*AD256,2)</f>
        <v>0</v>
      </c>
      <c r="AF256" s="6">
        <v>15</v>
      </c>
      <c r="AG256" s="6">
        <v>15</v>
      </c>
      <c r="AH256" s="5"/>
      <c r="AI256" s="57">
        <f>E256-AC256-AE256-AH256</f>
        <v>-45</v>
      </c>
      <c r="AJ256" s="17">
        <f>E256-AC256</f>
        <v>-45</v>
      </c>
      <c r="AK256" s="20" t="e">
        <f>ROUND(AI256/E256,2)</f>
        <v>#DIV/0!</v>
      </c>
      <c r="AL256" s="21" t="e">
        <f t="shared" si="45"/>
        <v>#DIV/0!</v>
      </c>
    </row>
    <row r="257" spans="1:38" x14ac:dyDescent="0.25">
      <c r="A257" s="27"/>
      <c r="B257" s="46"/>
      <c r="C257" s="31"/>
      <c r="D257" s="38">
        <v>0</v>
      </c>
      <c r="E257" s="50">
        <f t="shared" si="46"/>
        <v>0</v>
      </c>
      <c r="F257" s="24"/>
      <c r="G257" s="7">
        <v>0</v>
      </c>
      <c r="H257" s="7">
        <v>0</v>
      </c>
      <c r="I257" s="7">
        <v>0</v>
      </c>
      <c r="J257" s="78">
        <f t="shared" si="33"/>
        <v>0</v>
      </c>
      <c r="K257" s="2">
        <f t="shared" si="34"/>
        <v>0</v>
      </c>
      <c r="L257" s="8">
        <v>0</v>
      </c>
      <c r="M257" s="1">
        <f t="shared" si="44"/>
        <v>0</v>
      </c>
      <c r="N257" s="41">
        <v>0</v>
      </c>
      <c r="O257" s="84" t="s">
        <v>275</v>
      </c>
      <c r="P257" s="24" t="s">
        <v>562</v>
      </c>
      <c r="Q257" s="7" t="s">
        <v>557</v>
      </c>
      <c r="R257" s="7"/>
      <c r="S257" s="81">
        <v>0.09</v>
      </c>
      <c r="T257" s="7">
        <v>25</v>
      </c>
      <c r="U257" s="82"/>
      <c r="V257" s="83">
        <f>ROUNDUP(E257*S257,2)</f>
        <v>0</v>
      </c>
      <c r="W257" s="83">
        <f>ROUNDUP(E257*0.015,2)</f>
        <v>0</v>
      </c>
      <c r="X257" s="82">
        <f>MAX(MIN(SUMIFS(Логистика!$C$2:$C$38,Логистика!$A$2:$A$38,"&lt;="&amp;K257,Логистика!$B$2:$B$38,"&gt;="&amp;K257)*E257,SUMIFS(Логистика!$E$2:$E$38,Логистика!$A$2:$A$38,"&lt;="&amp;K257,Логистика!$B$2:$B$38,"&gt;="&amp;K257)),SUMIFS(Логистика!$D$2:$D$38,Логистика!$A$2:$A$38,"&lt;="&amp;K257,Логистика!$B$2:$B$38,"&gt;="&amp;K257))</f>
        <v>0</v>
      </c>
      <c r="Y257" s="83">
        <f>IF(AND(E257*0.055&gt;20,E257*0.055&lt;250),ROUNDUP(E257*0.055,2),IF(E257*0.055&lt;=20,20,250))</f>
        <v>20</v>
      </c>
      <c r="Z257" s="83">
        <f>ROUND(M257*0.05,2)</f>
        <v>0</v>
      </c>
      <c r="AA257" s="83">
        <f>IF(N257=0,0,IF(ROUND(E257*N257,2)&gt;5,ROUND(E257*N257,2),5))</f>
        <v>0</v>
      </c>
      <c r="AB257" s="83">
        <f>IF(O257="Да",ROUND(E257*0.1111,2),0)</f>
        <v>0</v>
      </c>
      <c r="AC257" s="53">
        <f>V257+W257+T257+X257+Y257+Z257+AA257+AB257</f>
        <v>45</v>
      </c>
      <c r="AD257" s="8">
        <v>0</v>
      </c>
      <c r="AE257" s="36">
        <f>ROUND(E257*AD257,2)</f>
        <v>0</v>
      </c>
      <c r="AF257" s="6">
        <v>15</v>
      </c>
      <c r="AG257" s="6">
        <v>15</v>
      </c>
      <c r="AH257" s="5"/>
      <c r="AI257" s="57">
        <f>E257-AC257-AE257-AH257</f>
        <v>-45</v>
      </c>
      <c r="AJ257" s="17">
        <f>E257-AC257</f>
        <v>-45</v>
      </c>
      <c r="AK257" s="20" t="e">
        <f>ROUND(AI257/E257,2)</f>
        <v>#DIV/0!</v>
      </c>
      <c r="AL257" s="21" t="e">
        <f t="shared" si="45"/>
        <v>#DIV/0!</v>
      </c>
    </row>
    <row r="258" spans="1:38" x14ac:dyDescent="0.25">
      <c r="A258" s="27"/>
      <c r="B258" s="46"/>
      <c r="C258" s="31"/>
      <c r="D258" s="38">
        <v>0</v>
      </c>
      <c r="E258" s="50">
        <f t="shared" si="46"/>
        <v>0</v>
      </c>
      <c r="F258" s="24"/>
      <c r="G258" s="7">
        <v>0</v>
      </c>
      <c r="H258" s="7">
        <v>0</v>
      </c>
      <c r="I258" s="7">
        <v>0</v>
      </c>
      <c r="J258" s="78">
        <f t="shared" si="33"/>
        <v>0</v>
      </c>
      <c r="K258" s="2">
        <f t="shared" si="34"/>
        <v>0</v>
      </c>
      <c r="L258" s="8">
        <v>0</v>
      </c>
      <c r="M258" s="1">
        <f t="shared" si="44"/>
        <v>0</v>
      </c>
      <c r="N258" s="41">
        <v>0</v>
      </c>
      <c r="O258" s="84" t="s">
        <v>275</v>
      </c>
      <c r="P258" s="24" t="s">
        <v>562</v>
      </c>
      <c r="Q258" s="7" t="s">
        <v>557</v>
      </c>
      <c r="R258" s="7"/>
      <c r="S258" s="81">
        <v>0.09</v>
      </c>
      <c r="T258" s="7">
        <v>25</v>
      </c>
      <c r="U258" s="82"/>
      <c r="V258" s="83">
        <f>ROUNDUP(E258*S258,2)</f>
        <v>0</v>
      </c>
      <c r="W258" s="83">
        <f>ROUNDUP(E258*0.015,2)</f>
        <v>0</v>
      </c>
      <c r="X258" s="82">
        <f>MAX(MIN(SUMIFS(Логистика!$C$2:$C$38,Логистика!$A$2:$A$38,"&lt;="&amp;K258,Логистика!$B$2:$B$38,"&gt;="&amp;K258)*E258,SUMIFS(Логистика!$E$2:$E$38,Логистика!$A$2:$A$38,"&lt;="&amp;K258,Логистика!$B$2:$B$38,"&gt;="&amp;K258)),SUMIFS(Логистика!$D$2:$D$38,Логистика!$A$2:$A$38,"&lt;="&amp;K258,Логистика!$B$2:$B$38,"&gt;="&amp;K258))</f>
        <v>0</v>
      </c>
      <c r="Y258" s="83">
        <f>IF(AND(E258*0.055&gt;20,E258*0.055&lt;250),ROUNDUP(E258*0.055,2),IF(E258*0.055&lt;=20,20,250))</f>
        <v>20</v>
      </c>
      <c r="Z258" s="83">
        <f>ROUND(M258*0.05,2)</f>
        <v>0</v>
      </c>
      <c r="AA258" s="83">
        <f>IF(N258=0,0,IF(ROUND(E258*N258,2)&gt;5,ROUND(E258*N258,2),5))</f>
        <v>0</v>
      </c>
      <c r="AB258" s="83">
        <f>IF(O258="Да",ROUND(E258*0.1111,2),0)</f>
        <v>0</v>
      </c>
      <c r="AC258" s="53">
        <f>V258+W258+T258+X258+Y258+Z258+AA258+AB258</f>
        <v>45</v>
      </c>
      <c r="AD258" s="8">
        <v>0</v>
      </c>
      <c r="AE258" s="36">
        <f>ROUND(E258*AD258,2)</f>
        <v>0</v>
      </c>
      <c r="AF258" s="6">
        <v>15</v>
      </c>
      <c r="AG258" s="6">
        <v>15</v>
      </c>
      <c r="AH258" s="5"/>
      <c r="AI258" s="57">
        <f>E258-AC258-AE258-AH258</f>
        <v>-45</v>
      </c>
      <c r="AJ258" s="17">
        <f>E258-AC258</f>
        <v>-45</v>
      </c>
      <c r="AK258" s="20" t="e">
        <f>ROUND(AI258/E258,2)</f>
        <v>#DIV/0!</v>
      </c>
      <c r="AL258" s="21" t="e">
        <f t="shared" si="45"/>
        <v>#DIV/0!</v>
      </c>
    </row>
    <row r="259" spans="1:38" x14ac:dyDescent="0.25">
      <c r="A259" s="27"/>
      <c r="B259" s="46"/>
      <c r="C259" s="31"/>
      <c r="D259" s="38">
        <v>0</v>
      </c>
      <c r="E259" s="50">
        <f t="shared" si="46"/>
        <v>0</v>
      </c>
      <c r="F259" s="24"/>
      <c r="G259" s="7">
        <v>0</v>
      </c>
      <c r="H259" s="7">
        <v>0</v>
      </c>
      <c r="I259" s="7">
        <v>0</v>
      </c>
      <c r="J259" s="78">
        <f t="shared" si="33"/>
        <v>0</v>
      </c>
      <c r="K259" s="2">
        <f t="shared" si="34"/>
        <v>0</v>
      </c>
      <c r="L259" s="8">
        <v>0</v>
      </c>
      <c r="M259" s="1">
        <f t="shared" si="44"/>
        <v>0</v>
      </c>
      <c r="N259" s="41">
        <v>0</v>
      </c>
      <c r="O259" s="84" t="s">
        <v>275</v>
      </c>
      <c r="P259" s="24" t="s">
        <v>562</v>
      </c>
      <c r="Q259" s="7" t="s">
        <v>557</v>
      </c>
      <c r="R259" s="7"/>
      <c r="S259" s="81">
        <v>0.09</v>
      </c>
      <c r="T259" s="7">
        <v>25</v>
      </c>
      <c r="U259" s="82"/>
      <c r="V259" s="83">
        <f>ROUNDUP(E259*S259,2)</f>
        <v>0</v>
      </c>
      <c r="W259" s="83">
        <f>ROUNDUP(E259*0.015,2)</f>
        <v>0</v>
      </c>
      <c r="X259" s="82">
        <f>MAX(MIN(SUMIFS(Логистика!$C$2:$C$38,Логистика!$A$2:$A$38,"&lt;="&amp;K259,Логистика!$B$2:$B$38,"&gt;="&amp;K259)*E259,SUMIFS(Логистика!$E$2:$E$38,Логистика!$A$2:$A$38,"&lt;="&amp;K259,Логистика!$B$2:$B$38,"&gt;="&amp;K259)),SUMIFS(Логистика!$D$2:$D$38,Логистика!$A$2:$A$38,"&lt;="&amp;K259,Логистика!$B$2:$B$38,"&gt;="&amp;K259))</f>
        <v>0</v>
      </c>
      <c r="Y259" s="83">
        <f>IF(AND(E259*0.055&gt;20,E259*0.055&lt;250),ROUNDUP(E259*0.055,2),IF(E259*0.055&lt;=20,20,250))</f>
        <v>20</v>
      </c>
      <c r="Z259" s="83">
        <f>ROUND(M259*0.05,2)</f>
        <v>0</v>
      </c>
      <c r="AA259" s="83">
        <f>IF(N259=0,0,IF(ROUND(E259*N259,2)&gt;5,ROUND(E259*N259,2),5))</f>
        <v>0</v>
      </c>
      <c r="AB259" s="83">
        <f>IF(O259="Да",ROUND(E259*0.1111,2),0)</f>
        <v>0</v>
      </c>
      <c r="AC259" s="53">
        <f>V259+W259+T259+X259+Y259+Z259+AA259+AB259</f>
        <v>45</v>
      </c>
      <c r="AD259" s="8">
        <v>0</v>
      </c>
      <c r="AE259" s="36">
        <f>ROUND(E259*AD259,2)</f>
        <v>0</v>
      </c>
      <c r="AF259" s="6">
        <v>15</v>
      </c>
      <c r="AG259" s="6">
        <v>15</v>
      </c>
      <c r="AH259" s="5"/>
      <c r="AI259" s="57">
        <f>E259-AC259-AE259-AH259</f>
        <v>-45</v>
      </c>
      <c r="AJ259" s="17">
        <f>E259-AC259</f>
        <v>-45</v>
      </c>
      <c r="AK259" s="20" t="e">
        <f>ROUND(AI259/E259,2)</f>
        <v>#DIV/0!</v>
      </c>
      <c r="AL259" s="21" t="e">
        <f t="shared" si="45"/>
        <v>#DIV/0!</v>
      </c>
    </row>
    <row r="260" spans="1:38" x14ac:dyDescent="0.25">
      <c r="A260" s="27"/>
      <c r="B260" s="46"/>
      <c r="C260" s="31"/>
      <c r="D260" s="38">
        <v>0</v>
      </c>
      <c r="E260" s="50">
        <f t="shared" si="46"/>
        <v>0</v>
      </c>
      <c r="F260" s="24"/>
      <c r="G260" s="7">
        <v>0</v>
      </c>
      <c r="H260" s="7">
        <v>0</v>
      </c>
      <c r="I260" s="7">
        <v>0</v>
      </c>
      <c r="J260" s="78">
        <f t="shared" ref="J260:J323" si="47">G260*H260*I260/1000</f>
        <v>0</v>
      </c>
      <c r="K260" s="2">
        <f t="shared" si="34"/>
        <v>0</v>
      </c>
      <c r="L260" s="8">
        <v>0</v>
      </c>
      <c r="M260" s="1">
        <f t="shared" si="44"/>
        <v>0</v>
      </c>
      <c r="N260" s="41">
        <v>0</v>
      </c>
      <c r="O260" s="84" t="s">
        <v>275</v>
      </c>
      <c r="P260" s="24" t="s">
        <v>562</v>
      </c>
      <c r="Q260" s="7" t="s">
        <v>557</v>
      </c>
      <c r="R260" s="7"/>
      <c r="S260" s="81">
        <v>0.09</v>
      </c>
      <c r="T260" s="7">
        <v>25</v>
      </c>
      <c r="U260" s="82"/>
      <c r="V260" s="83">
        <f>ROUNDUP(E260*S260,2)</f>
        <v>0</v>
      </c>
      <c r="W260" s="83">
        <f>ROUNDUP(E260*0.015,2)</f>
        <v>0</v>
      </c>
      <c r="X260" s="82">
        <f>MAX(MIN(SUMIFS(Логистика!$C$2:$C$38,Логистика!$A$2:$A$38,"&lt;="&amp;K260,Логистика!$B$2:$B$38,"&gt;="&amp;K260)*E260,SUMIFS(Логистика!$E$2:$E$38,Логистика!$A$2:$A$38,"&lt;="&amp;K260,Логистика!$B$2:$B$38,"&gt;="&amp;K260)),SUMIFS(Логистика!$D$2:$D$38,Логистика!$A$2:$A$38,"&lt;="&amp;K260,Логистика!$B$2:$B$38,"&gt;="&amp;K260))</f>
        <v>0</v>
      </c>
      <c r="Y260" s="83">
        <f>IF(AND(E260*0.055&gt;20,E260*0.055&lt;250),ROUNDUP(E260*0.055,2),IF(E260*0.055&lt;=20,20,250))</f>
        <v>20</v>
      </c>
      <c r="Z260" s="83">
        <f>ROUND(M260*0.05,2)</f>
        <v>0</v>
      </c>
      <c r="AA260" s="83">
        <f>IF(N260=0,0,IF(ROUND(E260*N260,2)&gt;5,ROUND(E260*N260,2),5))</f>
        <v>0</v>
      </c>
      <c r="AB260" s="83">
        <f>IF(O260="Да",ROUND(E260*0.1111,2),0)</f>
        <v>0</v>
      </c>
      <c r="AC260" s="53">
        <f>V260+W260+T260+X260+Y260+Z260+AA260+AB260</f>
        <v>45</v>
      </c>
      <c r="AD260" s="8">
        <v>0</v>
      </c>
      <c r="AE260" s="36">
        <f>ROUND(E260*AD260,2)</f>
        <v>0</v>
      </c>
      <c r="AF260" s="6">
        <v>15</v>
      </c>
      <c r="AG260" s="6">
        <v>15</v>
      </c>
      <c r="AH260" s="5"/>
      <c r="AI260" s="57">
        <f>E260-AC260-AE260-AH260</f>
        <v>-45</v>
      </c>
      <c r="AJ260" s="17">
        <f>E260-AC260</f>
        <v>-45</v>
      </c>
      <c r="AK260" s="20" t="e">
        <f>ROUND(AI260/E260,2)</f>
        <v>#DIV/0!</v>
      </c>
      <c r="AL260" s="21" t="e">
        <f t="shared" si="45"/>
        <v>#DIV/0!</v>
      </c>
    </row>
    <row r="261" spans="1:38" x14ac:dyDescent="0.25">
      <c r="A261" s="27"/>
      <c r="B261" s="46"/>
      <c r="C261" s="31"/>
      <c r="D261" s="38">
        <v>0</v>
      </c>
      <c r="E261" s="50">
        <f t="shared" si="46"/>
        <v>0</v>
      </c>
      <c r="F261" s="24"/>
      <c r="G261" s="7">
        <v>0</v>
      </c>
      <c r="H261" s="7">
        <v>0</v>
      </c>
      <c r="I261" s="7">
        <v>0</v>
      </c>
      <c r="J261" s="78">
        <f t="shared" si="47"/>
        <v>0</v>
      </c>
      <c r="K261" s="2">
        <f t="shared" ref="K261:K324" si="48">ROUND(IF(J261/5&gt;F261,J261/5,F261),1)</f>
        <v>0</v>
      </c>
      <c r="L261" s="8">
        <v>0</v>
      </c>
      <c r="M261" s="1">
        <f t="shared" si="44"/>
        <v>0</v>
      </c>
      <c r="N261" s="41">
        <v>0</v>
      </c>
      <c r="O261" s="84" t="s">
        <v>275</v>
      </c>
      <c r="P261" s="24" t="s">
        <v>562</v>
      </c>
      <c r="Q261" s="7" t="s">
        <v>557</v>
      </c>
      <c r="R261" s="7"/>
      <c r="S261" s="81">
        <v>0.09</v>
      </c>
      <c r="T261" s="7">
        <v>25</v>
      </c>
      <c r="U261" s="82"/>
      <c r="V261" s="83">
        <f>ROUNDUP(E261*S261,2)</f>
        <v>0</v>
      </c>
      <c r="W261" s="83">
        <f>ROUNDUP(E261*0.015,2)</f>
        <v>0</v>
      </c>
      <c r="X261" s="82">
        <f>MAX(MIN(SUMIFS(Логистика!$C$2:$C$38,Логистика!$A$2:$A$38,"&lt;="&amp;K261,Логистика!$B$2:$B$38,"&gt;="&amp;K261)*E261,SUMIFS(Логистика!$E$2:$E$38,Логистика!$A$2:$A$38,"&lt;="&amp;K261,Логистика!$B$2:$B$38,"&gt;="&amp;K261)),SUMIFS(Логистика!$D$2:$D$38,Логистика!$A$2:$A$38,"&lt;="&amp;K261,Логистика!$B$2:$B$38,"&gt;="&amp;K261))</f>
        <v>0</v>
      </c>
      <c r="Y261" s="83">
        <f>IF(AND(E261*0.055&gt;20,E261*0.055&lt;250),ROUNDUP(E261*0.055,2),IF(E261*0.055&lt;=20,20,250))</f>
        <v>20</v>
      </c>
      <c r="Z261" s="83">
        <f>ROUND(M261*0.05,2)</f>
        <v>0</v>
      </c>
      <c r="AA261" s="83">
        <f>IF(N261=0,0,IF(ROUND(E261*N261,2)&gt;5,ROUND(E261*N261,2),5))</f>
        <v>0</v>
      </c>
      <c r="AB261" s="83">
        <f>IF(O261="Да",ROUND(E261*0.1111,2),0)</f>
        <v>0</v>
      </c>
      <c r="AC261" s="53">
        <f>V261+W261+T261+X261+Y261+Z261+AA261+AB261</f>
        <v>45</v>
      </c>
      <c r="AD261" s="8">
        <v>0</v>
      </c>
      <c r="AE261" s="36">
        <f>ROUND(E261*AD261,2)</f>
        <v>0</v>
      </c>
      <c r="AF261" s="6">
        <v>15</v>
      </c>
      <c r="AG261" s="6">
        <v>15</v>
      </c>
      <c r="AH261" s="5"/>
      <c r="AI261" s="57">
        <f>E261-AC261-AE261-AH261</f>
        <v>-45</v>
      </c>
      <c r="AJ261" s="17">
        <f>E261-AC261</f>
        <v>-45</v>
      </c>
      <c r="AK261" s="20" t="e">
        <f>ROUND(AI261/E261,2)</f>
        <v>#DIV/0!</v>
      </c>
      <c r="AL261" s="21" t="e">
        <f t="shared" si="45"/>
        <v>#DIV/0!</v>
      </c>
    </row>
    <row r="262" spans="1:38" x14ac:dyDescent="0.25">
      <c r="A262" s="27"/>
      <c r="B262" s="46"/>
      <c r="C262" s="31"/>
      <c r="D262" s="38">
        <v>0</v>
      </c>
      <c r="E262" s="50">
        <f t="shared" si="46"/>
        <v>0</v>
      </c>
      <c r="F262" s="24"/>
      <c r="G262" s="7">
        <v>0</v>
      </c>
      <c r="H262" s="7">
        <v>0</v>
      </c>
      <c r="I262" s="7">
        <v>0</v>
      </c>
      <c r="J262" s="78">
        <f t="shared" si="47"/>
        <v>0</v>
      </c>
      <c r="K262" s="2">
        <f t="shared" si="48"/>
        <v>0</v>
      </c>
      <c r="L262" s="8">
        <v>0</v>
      </c>
      <c r="M262" s="1">
        <f t="shared" si="44"/>
        <v>0</v>
      </c>
      <c r="N262" s="41">
        <v>0</v>
      </c>
      <c r="O262" s="84" t="s">
        <v>275</v>
      </c>
      <c r="P262" s="24" t="s">
        <v>562</v>
      </c>
      <c r="Q262" s="7" t="s">
        <v>557</v>
      </c>
      <c r="R262" s="7"/>
      <c r="S262" s="81">
        <v>0.09</v>
      </c>
      <c r="T262" s="7">
        <v>25</v>
      </c>
      <c r="U262" s="82"/>
      <c r="V262" s="83">
        <f>ROUNDUP(E262*S262,2)</f>
        <v>0</v>
      </c>
      <c r="W262" s="83">
        <f>ROUNDUP(E262*0.015,2)</f>
        <v>0</v>
      </c>
      <c r="X262" s="82">
        <f>MAX(MIN(SUMIFS(Логистика!$C$2:$C$38,Логистика!$A$2:$A$38,"&lt;="&amp;K262,Логистика!$B$2:$B$38,"&gt;="&amp;K262)*E262,SUMIFS(Логистика!$E$2:$E$38,Логистика!$A$2:$A$38,"&lt;="&amp;K262,Логистика!$B$2:$B$38,"&gt;="&amp;K262)),SUMIFS(Логистика!$D$2:$D$38,Логистика!$A$2:$A$38,"&lt;="&amp;K262,Логистика!$B$2:$B$38,"&gt;="&amp;K262))</f>
        <v>0</v>
      </c>
      <c r="Y262" s="83">
        <f>IF(AND(E262*0.055&gt;20,E262*0.055&lt;250),ROUNDUP(E262*0.055,2),IF(E262*0.055&lt;=20,20,250))</f>
        <v>20</v>
      </c>
      <c r="Z262" s="83">
        <f>ROUND(M262*0.05,2)</f>
        <v>0</v>
      </c>
      <c r="AA262" s="83">
        <f>IF(N262=0,0,IF(ROUND(E262*N262,2)&gt;5,ROUND(E262*N262,2),5))</f>
        <v>0</v>
      </c>
      <c r="AB262" s="83">
        <f>IF(O262="Да",ROUND(E262*0.1111,2),0)</f>
        <v>0</v>
      </c>
      <c r="AC262" s="53">
        <f>V262+W262+T262+X262+Y262+Z262+AA262+AB262</f>
        <v>45</v>
      </c>
      <c r="AD262" s="8">
        <v>0</v>
      </c>
      <c r="AE262" s="36">
        <f>ROUND(E262*AD262,2)</f>
        <v>0</v>
      </c>
      <c r="AF262" s="6">
        <v>15</v>
      </c>
      <c r="AG262" s="6">
        <v>15</v>
      </c>
      <c r="AH262" s="5"/>
      <c r="AI262" s="57">
        <f>E262-AC262-AE262-AH262</f>
        <v>-45</v>
      </c>
      <c r="AJ262" s="17">
        <f>E262-AC262</f>
        <v>-45</v>
      </c>
      <c r="AK262" s="20" t="e">
        <f>ROUND(AI262/E262,2)</f>
        <v>#DIV/0!</v>
      </c>
      <c r="AL262" s="21" t="e">
        <f t="shared" si="45"/>
        <v>#DIV/0!</v>
      </c>
    </row>
    <row r="263" spans="1:38" x14ac:dyDescent="0.25">
      <c r="A263" s="27"/>
      <c r="B263" s="46"/>
      <c r="C263" s="31"/>
      <c r="D263" s="38">
        <v>0</v>
      </c>
      <c r="E263" s="50">
        <f t="shared" si="46"/>
        <v>0</v>
      </c>
      <c r="F263" s="24"/>
      <c r="G263" s="7">
        <v>0</v>
      </c>
      <c r="H263" s="7">
        <v>0</v>
      </c>
      <c r="I263" s="7">
        <v>0</v>
      </c>
      <c r="J263" s="78">
        <f t="shared" si="47"/>
        <v>0</v>
      </c>
      <c r="K263" s="2">
        <f t="shared" si="48"/>
        <v>0</v>
      </c>
      <c r="L263" s="8">
        <v>0</v>
      </c>
      <c r="M263" s="1">
        <f t="shared" si="44"/>
        <v>0</v>
      </c>
      <c r="N263" s="41">
        <v>0</v>
      </c>
      <c r="O263" s="84" t="s">
        <v>275</v>
      </c>
      <c r="P263" s="24" t="s">
        <v>562</v>
      </c>
      <c r="Q263" s="7" t="s">
        <v>557</v>
      </c>
      <c r="R263" s="7"/>
      <c r="S263" s="81">
        <v>0.09</v>
      </c>
      <c r="T263" s="7">
        <v>25</v>
      </c>
      <c r="U263" s="82"/>
      <c r="V263" s="83">
        <f>ROUNDUP(E263*S263,2)</f>
        <v>0</v>
      </c>
      <c r="W263" s="83">
        <f>ROUNDUP(E263*0.015,2)</f>
        <v>0</v>
      </c>
      <c r="X263" s="82">
        <f>MAX(MIN(SUMIFS(Логистика!$C$2:$C$38,Логистика!$A$2:$A$38,"&lt;="&amp;K263,Логистика!$B$2:$B$38,"&gt;="&amp;K263)*E263,SUMIFS(Логистика!$E$2:$E$38,Логистика!$A$2:$A$38,"&lt;="&amp;K263,Логистика!$B$2:$B$38,"&gt;="&amp;K263)),SUMIFS(Логистика!$D$2:$D$38,Логистика!$A$2:$A$38,"&lt;="&amp;K263,Логистика!$B$2:$B$38,"&gt;="&amp;K263))</f>
        <v>0</v>
      </c>
      <c r="Y263" s="83">
        <f>IF(AND(E263*0.055&gt;20,E263*0.055&lt;250),ROUNDUP(E263*0.055,2),IF(E263*0.055&lt;=20,20,250))</f>
        <v>20</v>
      </c>
      <c r="Z263" s="83">
        <f>ROUND(M263*0.05,2)</f>
        <v>0</v>
      </c>
      <c r="AA263" s="83">
        <f>IF(N263=0,0,IF(ROUND(E263*N263,2)&gt;5,ROUND(E263*N263,2),5))</f>
        <v>0</v>
      </c>
      <c r="AB263" s="83">
        <f>IF(O263="Да",ROUND(E263*0.1111,2),0)</f>
        <v>0</v>
      </c>
      <c r="AC263" s="53">
        <f>V263+W263+T263+X263+Y263+Z263+AA263+AB263</f>
        <v>45</v>
      </c>
      <c r="AD263" s="8">
        <v>0</v>
      </c>
      <c r="AE263" s="36">
        <f>ROUND(E263*AD263,2)</f>
        <v>0</v>
      </c>
      <c r="AF263" s="6">
        <v>15</v>
      </c>
      <c r="AG263" s="6">
        <v>15</v>
      </c>
      <c r="AH263" s="5"/>
      <c r="AI263" s="57">
        <f>E263-AC263-AE263-AH263</f>
        <v>-45</v>
      </c>
      <c r="AJ263" s="17">
        <f>E263-AC263</f>
        <v>-45</v>
      </c>
      <c r="AK263" s="20" t="e">
        <f>ROUND(AI263/E263,2)</f>
        <v>#DIV/0!</v>
      </c>
      <c r="AL263" s="21" t="e">
        <f t="shared" si="45"/>
        <v>#DIV/0!</v>
      </c>
    </row>
    <row r="264" spans="1:38" x14ac:dyDescent="0.25">
      <c r="A264" s="27"/>
      <c r="B264" s="46"/>
      <c r="C264" s="31"/>
      <c r="D264" s="38">
        <v>0</v>
      </c>
      <c r="E264" s="50">
        <f t="shared" si="46"/>
        <v>0</v>
      </c>
      <c r="F264" s="24"/>
      <c r="G264" s="7">
        <v>0</v>
      </c>
      <c r="H264" s="7">
        <v>0</v>
      </c>
      <c r="I264" s="7">
        <v>0</v>
      </c>
      <c r="J264" s="78">
        <f t="shared" si="47"/>
        <v>0</v>
      </c>
      <c r="K264" s="2">
        <f t="shared" si="48"/>
        <v>0</v>
      </c>
      <c r="L264" s="8">
        <v>0</v>
      </c>
      <c r="M264" s="1">
        <f t="shared" si="44"/>
        <v>0</v>
      </c>
      <c r="N264" s="41">
        <v>0</v>
      </c>
      <c r="O264" s="84" t="s">
        <v>275</v>
      </c>
      <c r="P264" s="24" t="s">
        <v>562</v>
      </c>
      <c r="Q264" s="7" t="s">
        <v>557</v>
      </c>
      <c r="R264" s="7"/>
      <c r="S264" s="81">
        <v>0.09</v>
      </c>
      <c r="T264" s="7">
        <v>25</v>
      </c>
      <c r="U264" s="82"/>
      <c r="V264" s="83">
        <f>ROUNDUP(E264*S264,2)</f>
        <v>0</v>
      </c>
      <c r="W264" s="83">
        <f>ROUNDUP(E264*0.015,2)</f>
        <v>0</v>
      </c>
      <c r="X264" s="82">
        <f>MAX(MIN(SUMIFS(Логистика!$C$2:$C$38,Логистика!$A$2:$A$38,"&lt;="&amp;K264,Логистика!$B$2:$B$38,"&gt;="&amp;K264)*E264,SUMIFS(Логистика!$E$2:$E$38,Логистика!$A$2:$A$38,"&lt;="&amp;K264,Логистика!$B$2:$B$38,"&gt;="&amp;K264)),SUMIFS(Логистика!$D$2:$D$38,Логистика!$A$2:$A$38,"&lt;="&amp;K264,Логистика!$B$2:$B$38,"&gt;="&amp;K264))</f>
        <v>0</v>
      </c>
      <c r="Y264" s="83">
        <f>IF(AND(E264*0.055&gt;20,E264*0.055&lt;250),ROUNDUP(E264*0.055,2),IF(E264*0.055&lt;=20,20,250))</f>
        <v>20</v>
      </c>
      <c r="Z264" s="83">
        <f>ROUND(M264*0.05,2)</f>
        <v>0</v>
      </c>
      <c r="AA264" s="83">
        <f>IF(N264=0,0,IF(ROUND(E264*N264,2)&gt;5,ROUND(E264*N264,2),5))</f>
        <v>0</v>
      </c>
      <c r="AB264" s="83">
        <f>IF(O264="Да",ROUND(E264*0.1111,2),0)</f>
        <v>0</v>
      </c>
      <c r="AC264" s="53">
        <f>V264+W264+T264+X264+Y264+Z264+AA264+AB264</f>
        <v>45</v>
      </c>
      <c r="AD264" s="8">
        <v>0</v>
      </c>
      <c r="AE264" s="36">
        <f>ROUND(E264*AD264,2)</f>
        <v>0</v>
      </c>
      <c r="AF264" s="6">
        <v>15</v>
      </c>
      <c r="AG264" s="6">
        <v>15</v>
      </c>
      <c r="AH264" s="5"/>
      <c r="AI264" s="57">
        <f>E264-AC264-AE264-AH264</f>
        <v>-45</v>
      </c>
      <c r="AJ264" s="17">
        <f>E264-AC264</f>
        <v>-45</v>
      </c>
      <c r="AK264" s="20" t="e">
        <f>ROUND(AI264/E264,2)</f>
        <v>#DIV/0!</v>
      </c>
      <c r="AL264" s="21" t="e">
        <f t="shared" si="45"/>
        <v>#DIV/0!</v>
      </c>
    </row>
    <row r="265" spans="1:38" x14ac:dyDescent="0.25">
      <c r="A265" s="27"/>
      <c r="B265" s="46"/>
      <c r="C265" s="31"/>
      <c r="D265" s="38">
        <v>0</v>
      </c>
      <c r="E265" s="50">
        <f t="shared" si="46"/>
        <v>0</v>
      </c>
      <c r="F265" s="24"/>
      <c r="G265" s="7">
        <v>0</v>
      </c>
      <c r="H265" s="7">
        <v>0</v>
      </c>
      <c r="I265" s="7">
        <v>0</v>
      </c>
      <c r="J265" s="78">
        <f t="shared" si="47"/>
        <v>0</v>
      </c>
      <c r="K265" s="2">
        <f t="shared" si="48"/>
        <v>0</v>
      </c>
      <c r="L265" s="8">
        <v>0</v>
      </c>
      <c r="M265" s="1">
        <f t="shared" si="44"/>
        <v>0</v>
      </c>
      <c r="N265" s="41">
        <v>0</v>
      </c>
      <c r="O265" s="84" t="s">
        <v>275</v>
      </c>
      <c r="P265" s="24" t="s">
        <v>562</v>
      </c>
      <c r="Q265" s="7" t="s">
        <v>557</v>
      </c>
      <c r="R265" s="7"/>
      <c r="S265" s="81">
        <v>0.09</v>
      </c>
      <c r="T265" s="7">
        <v>25</v>
      </c>
      <c r="U265" s="82"/>
      <c r="V265" s="83">
        <f>ROUNDUP(E265*S265,2)</f>
        <v>0</v>
      </c>
      <c r="W265" s="83">
        <f>ROUNDUP(E265*0.015,2)</f>
        <v>0</v>
      </c>
      <c r="X265" s="82">
        <f>MAX(MIN(SUMIFS(Логистика!$C$2:$C$38,Логистика!$A$2:$A$38,"&lt;="&amp;K265,Логистика!$B$2:$B$38,"&gt;="&amp;K265)*E265,SUMIFS(Логистика!$E$2:$E$38,Логистика!$A$2:$A$38,"&lt;="&amp;K265,Логистика!$B$2:$B$38,"&gt;="&amp;K265)),SUMIFS(Логистика!$D$2:$D$38,Логистика!$A$2:$A$38,"&lt;="&amp;K265,Логистика!$B$2:$B$38,"&gt;="&amp;K265))</f>
        <v>0</v>
      </c>
      <c r="Y265" s="83">
        <f>IF(AND(E265*0.055&gt;20,E265*0.055&lt;250),ROUNDUP(E265*0.055,2),IF(E265*0.055&lt;=20,20,250))</f>
        <v>20</v>
      </c>
      <c r="Z265" s="83">
        <f>ROUND(M265*0.05,2)</f>
        <v>0</v>
      </c>
      <c r="AA265" s="83">
        <f>IF(N265=0,0,IF(ROUND(E265*N265,2)&gt;5,ROUND(E265*N265,2),5))</f>
        <v>0</v>
      </c>
      <c r="AB265" s="83">
        <f>IF(O265="Да",ROUND(E265*0.1111,2),0)</f>
        <v>0</v>
      </c>
      <c r="AC265" s="53">
        <f>V265+W265+T265+X265+Y265+Z265+AA265+AB265</f>
        <v>45</v>
      </c>
      <c r="AD265" s="8">
        <v>0</v>
      </c>
      <c r="AE265" s="36">
        <f>ROUND(E265*AD265,2)</f>
        <v>0</v>
      </c>
      <c r="AF265" s="6">
        <v>15</v>
      </c>
      <c r="AG265" s="6">
        <v>15</v>
      </c>
      <c r="AH265" s="5"/>
      <c r="AI265" s="57">
        <f>E265-AC265-AE265-AH265</f>
        <v>-45</v>
      </c>
      <c r="AJ265" s="17">
        <f>E265-AC265</f>
        <v>-45</v>
      </c>
      <c r="AK265" s="20" t="e">
        <f>ROUND(AI265/E265,2)</f>
        <v>#DIV/0!</v>
      </c>
      <c r="AL265" s="21" t="e">
        <f t="shared" si="45"/>
        <v>#DIV/0!</v>
      </c>
    </row>
    <row r="266" spans="1:38" x14ac:dyDescent="0.25">
      <c r="A266" s="27"/>
      <c r="B266" s="46"/>
      <c r="C266" s="31"/>
      <c r="D266" s="38">
        <v>0</v>
      </c>
      <c r="E266" s="50">
        <f t="shared" si="46"/>
        <v>0</v>
      </c>
      <c r="F266" s="24"/>
      <c r="G266" s="7">
        <v>0</v>
      </c>
      <c r="H266" s="7">
        <v>0</v>
      </c>
      <c r="I266" s="7">
        <v>0</v>
      </c>
      <c r="J266" s="78">
        <f t="shared" si="47"/>
        <v>0</v>
      </c>
      <c r="K266" s="2">
        <f t="shared" si="48"/>
        <v>0</v>
      </c>
      <c r="L266" s="8">
        <v>0</v>
      </c>
      <c r="M266" s="1">
        <f t="shared" si="44"/>
        <v>0</v>
      </c>
      <c r="N266" s="41">
        <v>0</v>
      </c>
      <c r="O266" s="84" t="s">
        <v>275</v>
      </c>
      <c r="P266" s="24" t="s">
        <v>562</v>
      </c>
      <c r="Q266" s="7" t="s">
        <v>557</v>
      </c>
      <c r="R266" s="7"/>
      <c r="S266" s="81">
        <v>0.09</v>
      </c>
      <c r="T266" s="7">
        <v>25</v>
      </c>
      <c r="U266" s="82"/>
      <c r="V266" s="83">
        <f>ROUNDUP(E266*S266,2)</f>
        <v>0</v>
      </c>
      <c r="W266" s="83">
        <f>ROUNDUP(E266*0.015,2)</f>
        <v>0</v>
      </c>
      <c r="X266" s="82">
        <f>MAX(MIN(SUMIFS(Логистика!$C$2:$C$38,Логистика!$A$2:$A$38,"&lt;="&amp;K266,Логистика!$B$2:$B$38,"&gt;="&amp;K266)*E266,SUMIFS(Логистика!$E$2:$E$38,Логистика!$A$2:$A$38,"&lt;="&amp;K266,Логистика!$B$2:$B$38,"&gt;="&amp;K266)),SUMIFS(Логистика!$D$2:$D$38,Логистика!$A$2:$A$38,"&lt;="&amp;K266,Логистика!$B$2:$B$38,"&gt;="&amp;K266))</f>
        <v>0</v>
      </c>
      <c r="Y266" s="83">
        <f>IF(AND(E266*0.055&gt;20,E266*0.055&lt;250),ROUNDUP(E266*0.055,2),IF(E266*0.055&lt;=20,20,250))</f>
        <v>20</v>
      </c>
      <c r="Z266" s="83">
        <f>ROUND(M266*0.05,2)</f>
        <v>0</v>
      </c>
      <c r="AA266" s="83">
        <f>IF(N266=0,0,IF(ROUND(E266*N266,2)&gt;5,ROUND(E266*N266,2),5))</f>
        <v>0</v>
      </c>
      <c r="AB266" s="83">
        <f>IF(O266="Да",ROUND(E266*0.1111,2),0)</f>
        <v>0</v>
      </c>
      <c r="AC266" s="53">
        <f>V266+W266+T266+X266+Y266+Z266+AA266+AB266</f>
        <v>45</v>
      </c>
      <c r="AD266" s="8">
        <v>0</v>
      </c>
      <c r="AE266" s="36">
        <f>ROUND(E266*AD266,2)</f>
        <v>0</v>
      </c>
      <c r="AF266" s="6">
        <v>15</v>
      </c>
      <c r="AG266" s="6">
        <v>15</v>
      </c>
      <c r="AH266" s="5"/>
      <c r="AI266" s="57">
        <f>E266-AC266-AE266-AH266</f>
        <v>-45</v>
      </c>
      <c r="AJ266" s="17">
        <f>E266-AC266</f>
        <v>-45</v>
      </c>
      <c r="AK266" s="20" t="e">
        <f>ROUND(AI266/E266,2)</f>
        <v>#DIV/0!</v>
      </c>
      <c r="AL266" s="21" t="e">
        <f t="shared" si="45"/>
        <v>#DIV/0!</v>
      </c>
    </row>
    <row r="267" spans="1:38" x14ac:dyDescent="0.25">
      <c r="A267" s="27"/>
      <c r="B267" s="46"/>
      <c r="C267" s="31"/>
      <c r="D267" s="38">
        <v>0</v>
      </c>
      <c r="E267" s="50">
        <f t="shared" si="46"/>
        <v>0</v>
      </c>
      <c r="F267" s="24"/>
      <c r="G267" s="7">
        <v>0</v>
      </c>
      <c r="H267" s="7">
        <v>0</v>
      </c>
      <c r="I267" s="7">
        <v>0</v>
      </c>
      <c r="J267" s="78">
        <f t="shared" si="47"/>
        <v>0</v>
      </c>
      <c r="K267" s="2">
        <f t="shared" si="48"/>
        <v>0</v>
      </c>
      <c r="L267" s="8">
        <v>0</v>
      </c>
      <c r="M267" s="1">
        <f t="shared" si="44"/>
        <v>0</v>
      </c>
      <c r="N267" s="41">
        <v>0</v>
      </c>
      <c r="O267" s="84" t="s">
        <v>275</v>
      </c>
      <c r="P267" s="24" t="s">
        <v>562</v>
      </c>
      <c r="Q267" s="7" t="s">
        <v>557</v>
      </c>
      <c r="R267" s="7"/>
      <c r="S267" s="81">
        <v>0.09</v>
      </c>
      <c r="T267" s="7">
        <v>25</v>
      </c>
      <c r="U267" s="82"/>
      <c r="V267" s="83">
        <f>ROUNDUP(E267*S267,2)</f>
        <v>0</v>
      </c>
      <c r="W267" s="83">
        <f>ROUNDUP(E267*0.015,2)</f>
        <v>0</v>
      </c>
      <c r="X267" s="82">
        <f>MAX(MIN(SUMIFS(Логистика!$C$2:$C$38,Логистика!$A$2:$A$38,"&lt;="&amp;K267,Логистика!$B$2:$B$38,"&gt;="&amp;K267)*E267,SUMIFS(Логистика!$E$2:$E$38,Логистика!$A$2:$A$38,"&lt;="&amp;K267,Логистика!$B$2:$B$38,"&gt;="&amp;K267)),SUMIFS(Логистика!$D$2:$D$38,Логистика!$A$2:$A$38,"&lt;="&amp;K267,Логистика!$B$2:$B$38,"&gt;="&amp;K267))</f>
        <v>0</v>
      </c>
      <c r="Y267" s="83">
        <f>IF(AND(E267*0.055&gt;20,E267*0.055&lt;250),ROUNDUP(E267*0.055,2),IF(E267*0.055&lt;=20,20,250))</f>
        <v>20</v>
      </c>
      <c r="Z267" s="83">
        <f>ROUND(M267*0.05,2)</f>
        <v>0</v>
      </c>
      <c r="AA267" s="83">
        <f>IF(N267=0,0,IF(ROUND(E267*N267,2)&gt;5,ROUND(E267*N267,2),5))</f>
        <v>0</v>
      </c>
      <c r="AB267" s="83">
        <f>IF(O267="Да",ROUND(E267*0.1111,2),0)</f>
        <v>0</v>
      </c>
      <c r="AC267" s="53">
        <f>V267+W267+T267+X267+Y267+Z267+AA267+AB267</f>
        <v>45</v>
      </c>
      <c r="AD267" s="8">
        <v>0</v>
      </c>
      <c r="AE267" s="36">
        <f>ROUND(E267*AD267,2)</f>
        <v>0</v>
      </c>
      <c r="AF267" s="6">
        <v>15</v>
      </c>
      <c r="AG267" s="6">
        <v>15</v>
      </c>
      <c r="AH267" s="5"/>
      <c r="AI267" s="57">
        <f>E267-AC267-AE267-AH267</f>
        <v>-45</v>
      </c>
      <c r="AJ267" s="17">
        <f>E267-AC267</f>
        <v>-45</v>
      </c>
      <c r="AK267" s="20" t="e">
        <f>ROUND(AI267/E267,2)</f>
        <v>#DIV/0!</v>
      </c>
      <c r="AL267" s="21" t="e">
        <f t="shared" si="45"/>
        <v>#DIV/0!</v>
      </c>
    </row>
    <row r="268" spans="1:38" x14ac:dyDescent="0.25">
      <c r="A268" s="27"/>
      <c r="B268" s="46"/>
      <c r="C268" s="31"/>
      <c r="D268" s="38">
        <v>0</v>
      </c>
      <c r="E268" s="50">
        <f t="shared" si="46"/>
        <v>0</v>
      </c>
      <c r="F268" s="24"/>
      <c r="G268" s="7">
        <v>0</v>
      </c>
      <c r="H268" s="7">
        <v>0</v>
      </c>
      <c r="I268" s="7">
        <v>0</v>
      </c>
      <c r="J268" s="78">
        <f t="shared" si="47"/>
        <v>0</v>
      </c>
      <c r="K268" s="2">
        <f t="shared" si="48"/>
        <v>0</v>
      </c>
      <c r="L268" s="8">
        <v>0</v>
      </c>
      <c r="M268" s="1">
        <f t="shared" si="44"/>
        <v>0</v>
      </c>
      <c r="N268" s="41">
        <v>0</v>
      </c>
      <c r="O268" s="84" t="s">
        <v>275</v>
      </c>
      <c r="P268" s="24" t="s">
        <v>562</v>
      </c>
      <c r="Q268" s="7" t="s">
        <v>557</v>
      </c>
      <c r="R268" s="7"/>
      <c r="S268" s="81">
        <v>0.09</v>
      </c>
      <c r="T268" s="7">
        <v>25</v>
      </c>
      <c r="U268" s="82"/>
      <c r="V268" s="83">
        <f>ROUNDUP(E268*S268,2)</f>
        <v>0</v>
      </c>
      <c r="W268" s="83">
        <f>ROUNDUP(E268*0.015,2)</f>
        <v>0</v>
      </c>
      <c r="X268" s="82">
        <f>MAX(MIN(SUMIFS(Логистика!$C$2:$C$38,Логистика!$A$2:$A$38,"&lt;="&amp;K268,Логистика!$B$2:$B$38,"&gt;="&amp;K268)*E268,SUMIFS(Логистика!$E$2:$E$38,Логистика!$A$2:$A$38,"&lt;="&amp;K268,Логистика!$B$2:$B$38,"&gt;="&amp;K268)),SUMIFS(Логистика!$D$2:$D$38,Логистика!$A$2:$A$38,"&lt;="&amp;K268,Логистика!$B$2:$B$38,"&gt;="&amp;K268))</f>
        <v>0</v>
      </c>
      <c r="Y268" s="83">
        <f>IF(AND(E268*0.055&gt;20,E268*0.055&lt;250),ROUNDUP(E268*0.055,2),IF(E268*0.055&lt;=20,20,250))</f>
        <v>20</v>
      </c>
      <c r="Z268" s="83">
        <f>ROUND(M268*0.05,2)</f>
        <v>0</v>
      </c>
      <c r="AA268" s="83">
        <f>IF(N268=0,0,IF(ROUND(E268*N268,2)&gt;5,ROUND(E268*N268,2),5))</f>
        <v>0</v>
      </c>
      <c r="AB268" s="83">
        <f>IF(O268="Да",ROUND(E268*0.1111,2),0)</f>
        <v>0</v>
      </c>
      <c r="AC268" s="53">
        <f>V268+W268+T268+X268+Y268+Z268+AA268+AB268</f>
        <v>45</v>
      </c>
      <c r="AD268" s="8">
        <v>0</v>
      </c>
      <c r="AE268" s="36">
        <f>ROUND(E268*AD268,2)</f>
        <v>0</v>
      </c>
      <c r="AF268" s="6">
        <v>15</v>
      </c>
      <c r="AG268" s="6">
        <v>15</v>
      </c>
      <c r="AH268" s="5"/>
      <c r="AI268" s="57">
        <f>E268-AC268-AE268-AH268</f>
        <v>-45</v>
      </c>
      <c r="AJ268" s="17">
        <f>E268-AC268</f>
        <v>-45</v>
      </c>
      <c r="AK268" s="20" t="e">
        <f>ROUND(AI268/E268,2)</f>
        <v>#DIV/0!</v>
      </c>
      <c r="AL268" s="21" t="e">
        <f t="shared" si="45"/>
        <v>#DIV/0!</v>
      </c>
    </row>
    <row r="269" spans="1:38" x14ac:dyDescent="0.25">
      <c r="A269" s="27"/>
      <c r="B269" s="46"/>
      <c r="C269" s="31"/>
      <c r="D269" s="38">
        <v>0</v>
      </c>
      <c r="E269" s="50">
        <f t="shared" si="46"/>
        <v>0</v>
      </c>
      <c r="F269" s="24"/>
      <c r="G269" s="7">
        <v>0</v>
      </c>
      <c r="H269" s="7">
        <v>0</v>
      </c>
      <c r="I269" s="7">
        <v>0</v>
      </c>
      <c r="J269" s="78">
        <f t="shared" si="47"/>
        <v>0</v>
      </c>
      <c r="K269" s="2">
        <f t="shared" si="48"/>
        <v>0</v>
      </c>
      <c r="L269" s="8">
        <v>0</v>
      </c>
      <c r="M269" s="1">
        <f t="shared" si="44"/>
        <v>0</v>
      </c>
      <c r="N269" s="41">
        <v>0</v>
      </c>
      <c r="O269" s="84" t="s">
        <v>275</v>
      </c>
      <c r="P269" s="24" t="s">
        <v>562</v>
      </c>
      <c r="Q269" s="7" t="s">
        <v>557</v>
      </c>
      <c r="R269" s="7"/>
      <c r="S269" s="81">
        <v>0.09</v>
      </c>
      <c r="T269" s="7">
        <v>25</v>
      </c>
      <c r="U269" s="82"/>
      <c r="V269" s="83">
        <f>ROUNDUP(E269*S269,2)</f>
        <v>0</v>
      </c>
      <c r="W269" s="83">
        <f>ROUNDUP(E269*0.015,2)</f>
        <v>0</v>
      </c>
      <c r="X269" s="82">
        <f>MAX(MIN(SUMIFS(Логистика!$C$2:$C$38,Логистика!$A$2:$A$38,"&lt;="&amp;K269,Логистика!$B$2:$B$38,"&gt;="&amp;K269)*E269,SUMIFS(Логистика!$E$2:$E$38,Логистика!$A$2:$A$38,"&lt;="&amp;K269,Логистика!$B$2:$B$38,"&gt;="&amp;K269)),SUMIFS(Логистика!$D$2:$D$38,Логистика!$A$2:$A$38,"&lt;="&amp;K269,Логистика!$B$2:$B$38,"&gt;="&amp;K269))</f>
        <v>0</v>
      </c>
      <c r="Y269" s="83">
        <f>IF(AND(E269*0.055&gt;20,E269*0.055&lt;250),ROUNDUP(E269*0.055,2),IF(E269*0.055&lt;=20,20,250))</f>
        <v>20</v>
      </c>
      <c r="Z269" s="83">
        <f>ROUND(M269*0.05,2)</f>
        <v>0</v>
      </c>
      <c r="AA269" s="83">
        <f>IF(N269=0,0,IF(ROUND(E269*N269,2)&gt;5,ROUND(E269*N269,2),5))</f>
        <v>0</v>
      </c>
      <c r="AB269" s="83">
        <f>IF(O269="Да",ROUND(E269*0.1111,2),0)</f>
        <v>0</v>
      </c>
      <c r="AC269" s="53">
        <f>V269+W269+T269+X269+Y269+Z269+AA269+AB269</f>
        <v>45</v>
      </c>
      <c r="AD269" s="8">
        <v>0</v>
      </c>
      <c r="AE269" s="36">
        <f>ROUND(E269*AD269,2)</f>
        <v>0</v>
      </c>
      <c r="AF269" s="6">
        <v>15</v>
      </c>
      <c r="AG269" s="6">
        <v>15</v>
      </c>
      <c r="AH269" s="5"/>
      <c r="AI269" s="57">
        <f>E269-AC269-AE269-AH269</f>
        <v>-45</v>
      </c>
      <c r="AJ269" s="17">
        <f>E269-AC269</f>
        <v>-45</v>
      </c>
      <c r="AK269" s="20" t="e">
        <f>ROUND(AI269/E269,2)</f>
        <v>#DIV/0!</v>
      </c>
      <c r="AL269" s="21" t="e">
        <f t="shared" si="45"/>
        <v>#DIV/0!</v>
      </c>
    </row>
    <row r="270" spans="1:38" x14ac:dyDescent="0.25">
      <c r="A270" s="27"/>
      <c r="B270" s="46"/>
      <c r="C270" s="31"/>
      <c r="D270" s="38">
        <v>0</v>
      </c>
      <c r="E270" s="50">
        <f t="shared" si="46"/>
        <v>0</v>
      </c>
      <c r="F270" s="24"/>
      <c r="G270" s="7">
        <v>0</v>
      </c>
      <c r="H270" s="7">
        <v>0</v>
      </c>
      <c r="I270" s="7">
        <v>0</v>
      </c>
      <c r="J270" s="78">
        <f t="shared" si="47"/>
        <v>0</v>
      </c>
      <c r="K270" s="2">
        <f t="shared" si="48"/>
        <v>0</v>
      </c>
      <c r="L270" s="8">
        <v>0</v>
      </c>
      <c r="M270" s="1">
        <f t="shared" si="44"/>
        <v>0</v>
      </c>
      <c r="N270" s="41">
        <v>0</v>
      </c>
      <c r="O270" s="84" t="s">
        <v>275</v>
      </c>
      <c r="P270" s="24" t="s">
        <v>562</v>
      </c>
      <c r="Q270" s="7" t="s">
        <v>557</v>
      </c>
      <c r="R270" s="7"/>
      <c r="S270" s="81">
        <v>0.09</v>
      </c>
      <c r="T270" s="7">
        <v>25</v>
      </c>
      <c r="U270" s="82"/>
      <c r="V270" s="83">
        <f>ROUNDUP(E270*S270,2)</f>
        <v>0</v>
      </c>
      <c r="W270" s="83">
        <f>ROUNDUP(E270*0.015,2)</f>
        <v>0</v>
      </c>
      <c r="X270" s="82">
        <f>MAX(MIN(SUMIFS(Логистика!$C$2:$C$38,Логистика!$A$2:$A$38,"&lt;="&amp;K270,Логистика!$B$2:$B$38,"&gt;="&amp;K270)*E270,SUMIFS(Логистика!$E$2:$E$38,Логистика!$A$2:$A$38,"&lt;="&amp;K270,Логистика!$B$2:$B$38,"&gt;="&amp;K270)),SUMIFS(Логистика!$D$2:$D$38,Логистика!$A$2:$A$38,"&lt;="&amp;K270,Логистика!$B$2:$B$38,"&gt;="&amp;K270))</f>
        <v>0</v>
      </c>
      <c r="Y270" s="83">
        <f>IF(AND(E270*0.055&gt;20,E270*0.055&lt;250),ROUNDUP(E270*0.055,2),IF(E270*0.055&lt;=20,20,250))</f>
        <v>20</v>
      </c>
      <c r="Z270" s="83">
        <f>ROUND(M270*0.05,2)</f>
        <v>0</v>
      </c>
      <c r="AA270" s="83">
        <f>IF(N270=0,0,IF(ROUND(E270*N270,2)&gt;5,ROUND(E270*N270,2),5))</f>
        <v>0</v>
      </c>
      <c r="AB270" s="83">
        <f>IF(O270="Да",ROUND(E270*0.1111,2),0)</f>
        <v>0</v>
      </c>
      <c r="AC270" s="53">
        <f>V270+W270+T270+X270+Y270+Z270+AA270+AB270</f>
        <v>45</v>
      </c>
      <c r="AD270" s="8">
        <v>0</v>
      </c>
      <c r="AE270" s="36">
        <f>ROUND(E270*AD270,2)</f>
        <v>0</v>
      </c>
      <c r="AF270" s="6">
        <v>15</v>
      </c>
      <c r="AG270" s="6">
        <v>15</v>
      </c>
      <c r="AH270" s="5"/>
      <c r="AI270" s="57">
        <f>E270-AC270-AE270-AH270</f>
        <v>-45</v>
      </c>
      <c r="AJ270" s="17">
        <f>E270-AC270</f>
        <v>-45</v>
      </c>
      <c r="AK270" s="20" t="e">
        <f>ROUND(AI270/E270,2)</f>
        <v>#DIV/0!</v>
      </c>
      <c r="AL270" s="21" t="e">
        <f t="shared" si="45"/>
        <v>#DIV/0!</v>
      </c>
    </row>
    <row r="271" spans="1:38" x14ac:dyDescent="0.25">
      <c r="A271" s="27" t="s">
        <v>421</v>
      </c>
      <c r="B271" s="46" t="s">
        <v>422</v>
      </c>
      <c r="C271" s="31">
        <v>150</v>
      </c>
      <c r="D271" s="38">
        <v>0</v>
      </c>
      <c r="E271" s="50">
        <f t="shared" si="46"/>
        <v>150</v>
      </c>
      <c r="F271" s="24">
        <v>0.05</v>
      </c>
      <c r="G271" s="7">
        <v>9</v>
      </c>
      <c r="H271" s="7">
        <v>9</v>
      </c>
      <c r="I271" s="7">
        <v>9</v>
      </c>
      <c r="J271" s="78">
        <f t="shared" si="47"/>
        <v>0.72899999999999998</v>
      </c>
      <c r="K271" s="2">
        <f t="shared" si="48"/>
        <v>0.1</v>
      </c>
      <c r="L271" s="8">
        <v>0</v>
      </c>
      <c r="M271" s="1">
        <f t="shared" si="44"/>
        <v>0</v>
      </c>
      <c r="N271" s="41">
        <v>0</v>
      </c>
      <c r="O271" s="84" t="s">
        <v>275</v>
      </c>
      <c r="P271" s="24" t="s">
        <v>562</v>
      </c>
      <c r="Q271" s="7" t="s">
        <v>557</v>
      </c>
      <c r="R271" s="7"/>
      <c r="S271" s="81">
        <v>0.09</v>
      </c>
      <c r="T271" s="7">
        <v>25</v>
      </c>
      <c r="U271" s="82"/>
      <c r="V271" s="83">
        <f>ROUNDUP(E271*S271,2)</f>
        <v>13.5</v>
      </c>
      <c r="W271" s="83">
        <f>ROUNDUP(E271*0.015,2)</f>
        <v>2.25</v>
      </c>
      <c r="X271" s="82">
        <f>MAX(MIN(SUMIFS(Логистика!$C$2:$C$38,Логистика!$A$2:$A$38,"&lt;="&amp;K271,Логистика!$B$2:$B$38,"&gt;="&amp;K271)*E271,SUMIFS(Логистика!$E$2:$E$38,Логистика!$A$2:$A$38,"&lt;="&amp;K271,Логистика!$B$2:$B$38,"&gt;="&amp;K271)),SUMIFS(Логистика!$D$2:$D$38,Логистика!$A$2:$A$38,"&lt;="&amp;K271,Логистика!$B$2:$B$38,"&gt;="&amp;K271))</f>
        <v>40</v>
      </c>
      <c r="Y271" s="83">
        <f>IF(AND(E271*0.055&gt;20,E271*0.055&lt;250),ROUNDUP(E271*0.055,2),IF(E271*0.055&lt;=20,20,250))</f>
        <v>20</v>
      </c>
      <c r="Z271" s="83">
        <f>ROUND(M271*0.05,2)</f>
        <v>0</v>
      </c>
      <c r="AA271" s="83">
        <f>IF(N271=0,0,IF(ROUND(E271*N271,2)&gt;5,ROUND(E271*N271,2),5))</f>
        <v>0</v>
      </c>
      <c r="AB271" s="83">
        <f>IF(O271="Да",ROUND(E271*0.1111,2),0)</f>
        <v>0</v>
      </c>
      <c r="AC271" s="53">
        <f>V271+W271+T271+X271+Y271+Z271+AA271+AB271</f>
        <v>100.75</v>
      </c>
      <c r="AD271" s="8">
        <v>0</v>
      </c>
      <c r="AE271" s="36">
        <f>ROUND(E271*AD271,2)</f>
        <v>0</v>
      </c>
      <c r="AF271" s="6">
        <v>15</v>
      </c>
      <c r="AG271" s="6">
        <v>15</v>
      </c>
      <c r="AH271" s="5">
        <v>19</v>
      </c>
      <c r="AI271" s="57">
        <f>E271-AC271-AE271-AH271</f>
        <v>30.25</v>
      </c>
      <c r="AJ271" s="17">
        <f>E271-AC271</f>
        <v>49.25</v>
      </c>
      <c r="AK271" s="20">
        <f>ROUND(AI271/E271,2)</f>
        <v>0.2</v>
      </c>
      <c r="AL271" s="21">
        <f t="shared" si="45"/>
        <v>1.59</v>
      </c>
    </row>
    <row r="272" spans="1:38" x14ac:dyDescent="0.25">
      <c r="A272" s="27" t="s">
        <v>423</v>
      </c>
      <c r="B272" s="46" t="s">
        <v>432</v>
      </c>
      <c r="C272" s="31">
        <v>190</v>
      </c>
      <c r="D272" s="38">
        <v>0</v>
      </c>
      <c r="E272" s="50">
        <f t="shared" si="46"/>
        <v>190</v>
      </c>
      <c r="F272" s="24">
        <v>0.1</v>
      </c>
      <c r="G272" s="7">
        <v>16</v>
      </c>
      <c r="H272" s="7">
        <v>9</v>
      </c>
      <c r="I272" s="7">
        <v>9</v>
      </c>
      <c r="J272" s="78">
        <f t="shared" si="47"/>
        <v>1.296</v>
      </c>
      <c r="K272" s="2">
        <f t="shared" si="48"/>
        <v>0.3</v>
      </c>
      <c r="L272" s="8">
        <v>0</v>
      </c>
      <c r="M272" s="1">
        <f t="shared" si="44"/>
        <v>0</v>
      </c>
      <c r="N272" s="41">
        <v>0</v>
      </c>
      <c r="O272" s="84" t="s">
        <v>275</v>
      </c>
      <c r="P272" s="24" t="s">
        <v>562</v>
      </c>
      <c r="Q272" s="7" t="s">
        <v>557</v>
      </c>
      <c r="R272" s="7"/>
      <c r="S272" s="81">
        <v>0.09</v>
      </c>
      <c r="T272" s="7">
        <v>25</v>
      </c>
      <c r="U272" s="82"/>
      <c r="V272" s="83">
        <f>ROUNDUP(E272*S272,2)</f>
        <v>17.100000000000001</v>
      </c>
      <c r="W272" s="83">
        <f>ROUNDUP(E272*0.015,2)</f>
        <v>2.85</v>
      </c>
      <c r="X272" s="82">
        <f>MAX(MIN(SUMIFS(Логистика!$C$2:$C$38,Логистика!$A$2:$A$38,"&lt;="&amp;K272,Логистика!$B$2:$B$38,"&gt;="&amp;K272)*E272,SUMIFS(Логистика!$E$2:$E$38,Логистика!$A$2:$A$38,"&lt;="&amp;K272,Логистика!$B$2:$B$38,"&gt;="&amp;K272)),SUMIFS(Логистика!$D$2:$D$38,Логистика!$A$2:$A$38,"&lt;="&amp;K272,Логистика!$B$2:$B$38,"&gt;="&amp;K272))</f>
        <v>42</v>
      </c>
      <c r="Y272" s="83">
        <f>IF(AND(E272*0.055&gt;20,E272*0.055&lt;250),ROUNDUP(E272*0.055,2),IF(E272*0.055&lt;=20,20,250))</f>
        <v>20</v>
      </c>
      <c r="Z272" s="83">
        <f>ROUND(M272*0.05,2)</f>
        <v>0</v>
      </c>
      <c r="AA272" s="83">
        <f>IF(N272=0,0,IF(ROUND(E272*N272,2)&gt;5,ROUND(E272*N272,2),5))</f>
        <v>0</v>
      </c>
      <c r="AB272" s="83">
        <f>IF(O272="Да",ROUND(E272*0.1111,2),0)</f>
        <v>0</v>
      </c>
      <c r="AC272" s="53">
        <f>V272+W272+T272+X272+Y272+Z272+AA272+AB272</f>
        <v>106.95</v>
      </c>
      <c r="AD272" s="8">
        <v>0</v>
      </c>
      <c r="AE272" s="36">
        <f>ROUND(E272*AD272,2)</f>
        <v>0</v>
      </c>
      <c r="AF272" s="6">
        <v>15</v>
      </c>
      <c r="AG272" s="6">
        <v>15</v>
      </c>
      <c r="AH272" s="59">
        <f>AH271*2</f>
        <v>38</v>
      </c>
      <c r="AI272" s="57">
        <f>E272-AC272-AE272-AH272</f>
        <v>45.05</v>
      </c>
      <c r="AJ272" s="17">
        <f>E272-AC272</f>
        <v>83.05</v>
      </c>
      <c r="AK272" s="20">
        <f>ROUND(AI272/E272,2)</f>
        <v>0.24</v>
      </c>
      <c r="AL272" s="21">
        <f t="shared" si="45"/>
        <v>1.19</v>
      </c>
    </row>
    <row r="273" spans="1:38" x14ac:dyDescent="0.25">
      <c r="A273" s="27" t="s">
        <v>424</v>
      </c>
      <c r="B273" s="46" t="s">
        <v>433</v>
      </c>
      <c r="C273" s="31">
        <v>230</v>
      </c>
      <c r="D273" s="38">
        <v>0</v>
      </c>
      <c r="E273" s="50">
        <f t="shared" si="46"/>
        <v>230</v>
      </c>
      <c r="F273" s="24">
        <v>0.15</v>
      </c>
      <c r="G273" s="7">
        <v>23</v>
      </c>
      <c r="H273" s="7">
        <v>9</v>
      </c>
      <c r="I273" s="7">
        <v>9</v>
      </c>
      <c r="J273" s="78">
        <f t="shared" si="47"/>
        <v>1.863</v>
      </c>
      <c r="K273" s="2">
        <f t="shared" si="48"/>
        <v>0.4</v>
      </c>
      <c r="L273" s="8">
        <v>0</v>
      </c>
      <c r="M273" s="1">
        <f t="shared" si="44"/>
        <v>0</v>
      </c>
      <c r="N273" s="41">
        <v>0</v>
      </c>
      <c r="O273" s="84" t="s">
        <v>275</v>
      </c>
      <c r="P273" s="24" t="s">
        <v>562</v>
      </c>
      <c r="Q273" s="7" t="s">
        <v>557</v>
      </c>
      <c r="R273" s="7"/>
      <c r="S273" s="81">
        <v>0.09</v>
      </c>
      <c r="T273" s="7">
        <v>25</v>
      </c>
      <c r="U273" s="82"/>
      <c r="V273" s="83">
        <f>ROUNDUP(E273*S273,2)</f>
        <v>20.7</v>
      </c>
      <c r="W273" s="83">
        <f>ROUNDUP(E273*0.015,2)</f>
        <v>3.45</v>
      </c>
      <c r="X273" s="82">
        <f>MAX(MIN(SUMIFS(Логистика!$C$2:$C$38,Логистика!$A$2:$A$38,"&lt;="&amp;K273,Логистика!$B$2:$B$38,"&gt;="&amp;K273)*E273,SUMIFS(Логистика!$E$2:$E$38,Логистика!$A$2:$A$38,"&lt;="&amp;K273,Логистика!$B$2:$B$38,"&gt;="&amp;K273)),SUMIFS(Логистика!$D$2:$D$38,Логистика!$A$2:$A$38,"&lt;="&amp;K273,Логистика!$B$2:$B$38,"&gt;="&amp;K273))</f>
        <v>43</v>
      </c>
      <c r="Y273" s="83">
        <f>IF(AND(E273*0.055&gt;20,E273*0.055&lt;250),ROUNDUP(E273*0.055,2),IF(E273*0.055&lt;=20,20,250))</f>
        <v>20</v>
      </c>
      <c r="Z273" s="83">
        <f>ROUND(M273*0.05,2)</f>
        <v>0</v>
      </c>
      <c r="AA273" s="83">
        <f>IF(N273=0,0,IF(ROUND(E273*N273,2)&gt;5,ROUND(E273*N273,2),5))</f>
        <v>0</v>
      </c>
      <c r="AB273" s="83">
        <f>IF(O273="Да",ROUND(E273*0.1111,2),0)</f>
        <v>0</v>
      </c>
      <c r="AC273" s="53">
        <f>V273+W273+T273+X273+Y273+Z273+AA273+AB273</f>
        <v>112.15</v>
      </c>
      <c r="AD273" s="8">
        <v>0</v>
      </c>
      <c r="AE273" s="36">
        <f>ROUND(E273*AD273,2)</f>
        <v>0</v>
      </c>
      <c r="AF273" s="6">
        <v>15</v>
      </c>
      <c r="AG273" s="6">
        <v>15</v>
      </c>
      <c r="AH273" s="59">
        <f>AH271*3</f>
        <v>57</v>
      </c>
      <c r="AI273" s="57">
        <f>E273-AC273-AE273-AH273</f>
        <v>60.849999999999994</v>
      </c>
      <c r="AJ273" s="17">
        <f>E273-AC273</f>
        <v>117.85</v>
      </c>
      <c r="AK273" s="20">
        <f>ROUND(AI273/E273,2)</f>
        <v>0.26</v>
      </c>
      <c r="AL273" s="21">
        <f t="shared" si="45"/>
        <v>1.07</v>
      </c>
    </row>
    <row r="274" spans="1:38" x14ac:dyDescent="0.25">
      <c r="A274" s="27" t="s">
        <v>425</v>
      </c>
      <c r="B274" s="46" t="s">
        <v>434</v>
      </c>
      <c r="C274" s="31">
        <v>260</v>
      </c>
      <c r="D274" s="38">
        <v>0</v>
      </c>
      <c r="E274" s="50">
        <f t="shared" si="46"/>
        <v>260</v>
      </c>
      <c r="F274" s="24">
        <v>0.2</v>
      </c>
      <c r="G274" s="7">
        <v>16</v>
      </c>
      <c r="H274" s="7">
        <v>16</v>
      </c>
      <c r="I274" s="7">
        <v>9</v>
      </c>
      <c r="J274" s="78">
        <f t="shared" si="47"/>
        <v>2.3039999999999998</v>
      </c>
      <c r="K274" s="2">
        <f t="shared" si="48"/>
        <v>0.5</v>
      </c>
      <c r="L274" s="8">
        <v>0</v>
      </c>
      <c r="M274" s="1">
        <f t="shared" si="44"/>
        <v>0</v>
      </c>
      <c r="N274" s="41">
        <v>0</v>
      </c>
      <c r="O274" s="84" t="s">
        <v>275</v>
      </c>
      <c r="P274" s="24" t="s">
        <v>562</v>
      </c>
      <c r="Q274" s="7" t="s">
        <v>557</v>
      </c>
      <c r="R274" s="7"/>
      <c r="S274" s="81">
        <v>0.09</v>
      </c>
      <c r="T274" s="7">
        <v>25</v>
      </c>
      <c r="U274" s="82"/>
      <c r="V274" s="83">
        <f>ROUNDUP(E274*S274,2)</f>
        <v>23.4</v>
      </c>
      <c r="W274" s="83">
        <f>ROUNDUP(E274*0.015,2)</f>
        <v>3.9</v>
      </c>
      <c r="X274" s="82">
        <f>MAX(MIN(SUMIFS(Логистика!$C$2:$C$38,Логистика!$A$2:$A$38,"&lt;="&amp;K274,Логистика!$B$2:$B$38,"&gt;="&amp;K274)*E274,SUMIFS(Логистика!$E$2:$E$38,Логистика!$A$2:$A$38,"&lt;="&amp;K274,Логистика!$B$2:$B$38,"&gt;="&amp;K274)),SUMIFS(Логистика!$D$2:$D$38,Логистика!$A$2:$A$38,"&lt;="&amp;K274,Логистика!$B$2:$B$38,"&gt;="&amp;K274))</f>
        <v>43</v>
      </c>
      <c r="Y274" s="83">
        <f>IF(AND(E274*0.055&gt;20,E274*0.055&lt;250),ROUNDUP(E274*0.055,2),IF(E274*0.055&lt;=20,20,250))</f>
        <v>20</v>
      </c>
      <c r="Z274" s="83">
        <f>ROUND(M274*0.05,2)</f>
        <v>0</v>
      </c>
      <c r="AA274" s="83">
        <f>IF(N274=0,0,IF(ROUND(E274*N274,2)&gt;5,ROUND(E274*N274,2),5))</f>
        <v>0</v>
      </c>
      <c r="AB274" s="83">
        <f>IF(O274="Да",ROUND(E274*0.1111,2),0)</f>
        <v>0</v>
      </c>
      <c r="AC274" s="53">
        <f>V274+W274+T274+X274+Y274+Z274+AA274+AB274</f>
        <v>115.3</v>
      </c>
      <c r="AD274" s="8">
        <v>0</v>
      </c>
      <c r="AE274" s="36">
        <f>ROUND(E274*AD274,2)</f>
        <v>0</v>
      </c>
      <c r="AF274" s="6">
        <v>15</v>
      </c>
      <c r="AG274" s="6">
        <v>15</v>
      </c>
      <c r="AH274" s="59">
        <f>AH271*4</f>
        <v>76</v>
      </c>
      <c r="AI274" s="57">
        <f>E274-AC274-AE274-AH274</f>
        <v>68.699999999999989</v>
      </c>
      <c r="AJ274" s="17">
        <f>E274-AC274</f>
        <v>144.69999999999999</v>
      </c>
      <c r="AK274" s="20">
        <f>ROUND(AI274/E274,2)</f>
        <v>0.26</v>
      </c>
      <c r="AL274" s="21">
        <f t="shared" si="45"/>
        <v>0.9</v>
      </c>
    </row>
    <row r="275" spans="1:38" x14ac:dyDescent="0.25">
      <c r="A275" s="27" t="s">
        <v>426</v>
      </c>
      <c r="B275" s="46" t="s">
        <v>435</v>
      </c>
      <c r="C275" s="31">
        <v>295</v>
      </c>
      <c r="D275" s="38">
        <v>0</v>
      </c>
      <c r="E275" s="50">
        <f t="shared" si="46"/>
        <v>295</v>
      </c>
      <c r="F275" s="24">
        <v>0.25</v>
      </c>
      <c r="G275" s="7">
        <v>37</v>
      </c>
      <c r="H275" s="7">
        <v>9</v>
      </c>
      <c r="I275" s="7">
        <v>9</v>
      </c>
      <c r="J275" s="78">
        <f t="shared" si="47"/>
        <v>2.9969999999999999</v>
      </c>
      <c r="K275" s="2">
        <f t="shared" si="48"/>
        <v>0.6</v>
      </c>
      <c r="L275" s="8">
        <v>0</v>
      </c>
      <c r="M275" s="1">
        <f t="shared" si="44"/>
        <v>0</v>
      </c>
      <c r="N275" s="41">
        <v>0</v>
      </c>
      <c r="O275" s="84" t="s">
        <v>275</v>
      </c>
      <c r="P275" s="24" t="s">
        <v>562</v>
      </c>
      <c r="Q275" s="7" t="s">
        <v>557</v>
      </c>
      <c r="R275" s="7"/>
      <c r="S275" s="81">
        <v>0.09</v>
      </c>
      <c r="T275" s="7">
        <v>25</v>
      </c>
      <c r="U275" s="82"/>
      <c r="V275" s="83">
        <f>ROUNDUP(E275*S275,2)</f>
        <v>26.55</v>
      </c>
      <c r="W275" s="83">
        <f>ROUNDUP(E275*0.015,2)</f>
        <v>4.43</v>
      </c>
      <c r="X275" s="82">
        <f>MAX(MIN(SUMIFS(Логистика!$C$2:$C$38,Логистика!$A$2:$A$38,"&lt;="&amp;K275,Логистика!$B$2:$B$38,"&gt;="&amp;K275)*E275,SUMIFS(Логистика!$E$2:$E$38,Логистика!$A$2:$A$38,"&lt;="&amp;K275,Логистика!$B$2:$B$38,"&gt;="&amp;K275)),SUMIFS(Логистика!$D$2:$D$38,Логистика!$A$2:$A$38,"&lt;="&amp;K275,Логистика!$B$2:$B$38,"&gt;="&amp;K275))</f>
        <v>45</v>
      </c>
      <c r="Y275" s="83">
        <f>IF(AND(E275*0.055&gt;20,E275*0.055&lt;250),ROUNDUP(E275*0.055,2),IF(E275*0.055&lt;=20,20,250))</f>
        <v>20</v>
      </c>
      <c r="Z275" s="83">
        <f>ROUND(M275*0.05,2)</f>
        <v>0</v>
      </c>
      <c r="AA275" s="83">
        <f>IF(N275=0,0,IF(ROUND(E275*N275,2)&gt;5,ROUND(E275*N275,2),5))</f>
        <v>0</v>
      </c>
      <c r="AB275" s="83">
        <f>IF(O275="Да",ROUND(E275*0.1111,2),0)</f>
        <v>0</v>
      </c>
      <c r="AC275" s="53">
        <f>V275+W275+T275+X275+Y275+Z275+AA275+AB275</f>
        <v>120.98</v>
      </c>
      <c r="AD275" s="8">
        <v>0</v>
      </c>
      <c r="AE275" s="36">
        <f>ROUND(E275*AD275,2)</f>
        <v>0</v>
      </c>
      <c r="AF275" s="6">
        <v>15</v>
      </c>
      <c r="AG275" s="6">
        <v>15</v>
      </c>
      <c r="AH275" s="59">
        <f>AH271*5</f>
        <v>95</v>
      </c>
      <c r="AI275" s="57">
        <f>E275-AC275-AE275-AH275</f>
        <v>79.019999999999982</v>
      </c>
      <c r="AJ275" s="17">
        <f>E275-AC275</f>
        <v>174.01999999999998</v>
      </c>
      <c r="AK275" s="20">
        <f>ROUND(AI275/E275,2)</f>
        <v>0.27</v>
      </c>
      <c r="AL275" s="21">
        <f t="shared" si="45"/>
        <v>0.83</v>
      </c>
    </row>
    <row r="276" spans="1:38" x14ac:dyDescent="0.25">
      <c r="A276" s="27" t="s">
        <v>427</v>
      </c>
      <c r="B276" s="46" t="s">
        <v>436</v>
      </c>
      <c r="C276" s="31">
        <v>325</v>
      </c>
      <c r="D276" s="38">
        <v>0</v>
      </c>
      <c r="E276" s="50">
        <f t="shared" si="46"/>
        <v>325</v>
      </c>
      <c r="F276" s="24">
        <v>0.3</v>
      </c>
      <c r="G276" s="7">
        <v>23</v>
      </c>
      <c r="H276" s="7">
        <v>16</v>
      </c>
      <c r="I276" s="7">
        <v>9</v>
      </c>
      <c r="J276" s="78">
        <f t="shared" si="47"/>
        <v>3.3119999999999998</v>
      </c>
      <c r="K276" s="2">
        <f t="shared" si="48"/>
        <v>0.7</v>
      </c>
      <c r="L276" s="8">
        <v>0</v>
      </c>
      <c r="M276" s="1">
        <f t="shared" si="44"/>
        <v>0</v>
      </c>
      <c r="N276" s="41">
        <v>0</v>
      </c>
      <c r="O276" s="84" t="s">
        <v>275</v>
      </c>
      <c r="P276" s="24" t="s">
        <v>562</v>
      </c>
      <c r="Q276" s="7" t="s">
        <v>557</v>
      </c>
      <c r="R276" s="7"/>
      <c r="S276" s="81">
        <v>0.09</v>
      </c>
      <c r="T276" s="7">
        <v>25</v>
      </c>
      <c r="U276" s="82"/>
      <c r="V276" s="83">
        <f>ROUNDUP(E276*S276,2)</f>
        <v>29.25</v>
      </c>
      <c r="W276" s="83">
        <f>ROUNDUP(E276*0.015,2)</f>
        <v>4.88</v>
      </c>
      <c r="X276" s="82">
        <f>MAX(MIN(SUMIFS(Логистика!$C$2:$C$38,Логистика!$A$2:$A$38,"&lt;="&amp;K276,Логистика!$B$2:$B$38,"&gt;="&amp;K276)*E276,SUMIFS(Логистика!$E$2:$E$38,Логистика!$A$2:$A$38,"&lt;="&amp;K276,Логистика!$B$2:$B$38,"&gt;="&amp;K276)),SUMIFS(Логистика!$D$2:$D$38,Логистика!$A$2:$A$38,"&lt;="&amp;K276,Логистика!$B$2:$B$38,"&gt;="&amp;K276))</f>
        <v>45</v>
      </c>
      <c r="Y276" s="83">
        <f>IF(AND(E276*0.055&gt;20,E276*0.055&lt;250),ROUNDUP(E276*0.055,2),IF(E276*0.055&lt;=20,20,250))</f>
        <v>20</v>
      </c>
      <c r="Z276" s="83">
        <f>ROUND(M276*0.05,2)</f>
        <v>0</v>
      </c>
      <c r="AA276" s="83">
        <f>IF(N276=0,0,IF(ROUND(E276*N276,2)&gt;5,ROUND(E276*N276,2),5))</f>
        <v>0</v>
      </c>
      <c r="AB276" s="83">
        <f>IF(O276="Да",ROUND(E276*0.1111,2),0)</f>
        <v>0</v>
      </c>
      <c r="AC276" s="53">
        <f>V276+W276+T276+X276+Y276+Z276+AA276+AB276</f>
        <v>124.13</v>
      </c>
      <c r="AD276" s="8">
        <v>0</v>
      </c>
      <c r="AE276" s="36">
        <f>ROUND(E276*AD276,2)</f>
        <v>0</v>
      </c>
      <c r="AF276" s="6">
        <v>15</v>
      </c>
      <c r="AG276" s="6">
        <v>15</v>
      </c>
      <c r="AH276" s="59">
        <f>AH271*6</f>
        <v>114</v>
      </c>
      <c r="AI276" s="57">
        <f>E276-AC276-AE276-AH276</f>
        <v>86.87</v>
      </c>
      <c r="AJ276" s="17">
        <f>E276-AC276</f>
        <v>200.87</v>
      </c>
      <c r="AK276" s="20">
        <f>ROUND(AI276/E276,2)</f>
        <v>0.27</v>
      </c>
      <c r="AL276" s="21">
        <f t="shared" si="45"/>
        <v>0.76</v>
      </c>
    </row>
    <row r="277" spans="1:38" x14ac:dyDescent="0.25">
      <c r="A277" s="27" t="s">
        <v>428</v>
      </c>
      <c r="B277" s="46" t="s">
        <v>437</v>
      </c>
      <c r="C277" s="31">
        <v>385</v>
      </c>
      <c r="D277" s="38">
        <v>0</v>
      </c>
      <c r="E277" s="50">
        <f t="shared" si="46"/>
        <v>385</v>
      </c>
      <c r="F277" s="24">
        <v>0.4</v>
      </c>
      <c r="G277" s="7">
        <v>16</v>
      </c>
      <c r="H277" s="7">
        <v>16</v>
      </c>
      <c r="I277" s="7">
        <v>16</v>
      </c>
      <c r="J277" s="78">
        <f t="shared" si="47"/>
        <v>4.0960000000000001</v>
      </c>
      <c r="K277" s="2">
        <f t="shared" si="48"/>
        <v>0.8</v>
      </c>
      <c r="L277" s="8">
        <v>0</v>
      </c>
      <c r="M277" s="1">
        <f t="shared" si="44"/>
        <v>0</v>
      </c>
      <c r="N277" s="41">
        <v>0</v>
      </c>
      <c r="O277" s="84" t="s">
        <v>275</v>
      </c>
      <c r="P277" s="24" t="s">
        <v>562</v>
      </c>
      <c r="Q277" s="7" t="s">
        <v>557</v>
      </c>
      <c r="R277" s="7"/>
      <c r="S277" s="81">
        <v>0.09</v>
      </c>
      <c r="T277" s="7">
        <v>25</v>
      </c>
      <c r="U277" s="82"/>
      <c r="V277" s="83">
        <f>ROUNDUP(E277*S277,2)</f>
        <v>34.65</v>
      </c>
      <c r="W277" s="83">
        <f>ROUNDUP(E277*0.015,2)</f>
        <v>5.7799999999999994</v>
      </c>
      <c r="X277" s="82">
        <f>MAX(MIN(SUMIFS(Логистика!$C$2:$C$38,Логистика!$A$2:$A$38,"&lt;="&amp;K277,Логистика!$B$2:$B$38,"&gt;="&amp;K277)*E277,SUMIFS(Логистика!$E$2:$E$38,Логистика!$A$2:$A$38,"&lt;="&amp;K277,Логистика!$B$2:$B$38,"&gt;="&amp;K277)),SUMIFS(Логистика!$D$2:$D$38,Логистика!$A$2:$A$38,"&lt;="&amp;K277,Логистика!$B$2:$B$38,"&gt;="&amp;K277))</f>
        <v>47</v>
      </c>
      <c r="Y277" s="83">
        <f>IF(AND(E277*0.055&gt;20,E277*0.055&lt;250),ROUNDUP(E277*0.055,2),IF(E277*0.055&lt;=20,20,250))</f>
        <v>21.180000000000003</v>
      </c>
      <c r="Z277" s="83">
        <f>ROUND(M277*0.05,2)</f>
        <v>0</v>
      </c>
      <c r="AA277" s="83">
        <f>IF(N277=0,0,IF(ROUND(E277*N277,2)&gt;5,ROUND(E277*N277,2),5))</f>
        <v>0</v>
      </c>
      <c r="AB277" s="83">
        <f>IF(O277="Да",ROUND(E277*0.1111,2),0)</f>
        <v>0</v>
      </c>
      <c r="AC277" s="53">
        <f>V277+W277+T277+X277+Y277+Z277+AA277+AB277</f>
        <v>133.61000000000001</v>
      </c>
      <c r="AD277" s="8">
        <v>0</v>
      </c>
      <c r="AE277" s="36">
        <f>ROUND(E277*AD277,2)</f>
        <v>0</v>
      </c>
      <c r="AF277" s="6">
        <v>15</v>
      </c>
      <c r="AG277" s="6">
        <v>15</v>
      </c>
      <c r="AH277" s="59">
        <f>AH271*8</f>
        <v>152</v>
      </c>
      <c r="AI277" s="57">
        <f>E277-AC277-AE277-AH277</f>
        <v>99.389999999999986</v>
      </c>
      <c r="AJ277" s="17">
        <f>E277-AC277</f>
        <v>251.39</v>
      </c>
      <c r="AK277" s="20">
        <f>ROUND(AI277/E277,2)</f>
        <v>0.26</v>
      </c>
      <c r="AL277" s="21">
        <f t="shared" si="45"/>
        <v>0.65</v>
      </c>
    </row>
    <row r="278" spans="1:38" x14ac:dyDescent="0.25">
      <c r="A278" s="27" t="s">
        <v>429</v>
      </c>
      <c r="B278" s="46" t="s">
        <v>438</v>
      </c>
      <c r="C278" s="31">
        <v>460</v>
      </c>
      <c r="D278" s="38">
        <v>0</v>
      </c>
      <c r="E278" s="50">
        <f t="shared" si="46"/>
        <v>460</v>
      </c>
      <c r="F278" s="24">
        <v>0.5</v>
      </c>
      <c r="G278" s="7">
        <v>37</v>
      </c>
      <c r="H278" s="7">
        <v>16</v>
      </c>
      <c r="I278" s="7">
        <v>9</v>
      </c>
      <c r="J278" s="78">
        <f t="shared" si="47"/>
        <v>5.3280000000000003</v>
      </c>
      <c r="K278" s="2">
        <f t="shared" si="48"/>
        <v>1.1000000000000001</v>
      </c>
      <c r="L278" s="8">
        <v>0</v>
      </c>
      <c r="M278" s="1">
        <f t="shared" si="44"/>
        <v>0</v>
      </c>
      <c r="N278" s="41">
        <v>0</v>
      </c>
      <c r="O278" s="84" t="s">
        <v>275</v>
      </c>
      <c r="P278" s="24" t="s">
        <v>562</v>
      </c>
      <c r="Q278" s="7" t="s">
        <v>557</v>
      </c>
      <c r="R278" s="7"/>
      <c r="S278" s="81">
        <v>0.09</v>
      </c>
      <c r="T278" s="7">
        <v>25</v>
      </c>
      <c r="U278" s="82"/>
      <c r="V278" s="83">
        <f>ROUNDUP(E278*S278,2)</f>
        <v>41.4</v>
      </c>
      <c r="W278" s="83">
        <f>ROUNDUP(E278*0.015,2)</f>
        <v>6.9</v>
      </c>
      <c r="X278" s="82">
        <f>MAX(MIN(SUMIFS(Логистика!$C$2:$C$38,Логистика!$A$2:$A$38,"&lt;="&amp;K278,Логистика!$B$2:$B$38,"&gt;="&amp;K278)*E278,SUMIFS(Логистика!$E$2:$E$38,Логистика!$A$2:$A$38,"&lt;="&amp;K278,Логистика!$B$2:$B$38,"&gt;="&amp;K278)),SUMIFS(Логистика!$D$2:$D$38,Логистика!$A$2:$A$38,"&lt;="&amp;K278,Логистика!$B$2:$B$38,"&gt;="&amp;K278))</f>
        <v>55</v>
      </c>
      <c r="Y278" s="83">
        <f>IF(AND(E278*0.055&gt;20,E278*0.055&lt;250),ROUNDUP(E278*0.055,2),IF(E278*0.055&lt;=20,20,250))</f>
        <v>25.3</v>
      </c>
      <c r="Z278" s="83">
        <f>ROUND(M278*0.05,2)</f>
        <v>0</v>
      </c>
      <c r="AA278" s="83">
        <f>IF(N278=0,0,IF(ROUND(E278*N278,2)&gt;5,ROUND(E278*N278,2),5))</f>
        <v>0</v>
      </c>
      <c r="AB278" s="83">
        <f>IF(O278="Да",ROUND(E278*0.1111,2),0)</f>
        <v>0</v>
      </c>
      <c r="AC278" s="53">
        <f>V278+W278+T278+X278+Y278+Z278+AA278+AB278</f>
        <v>153.60000000000002</v>
      </c>
      <c r="AD278" s="8">
        <v>0</v>
      </c>
      <c r="AE278" s="36">
        <f>ROUND(E278*AD278,2)</f>
        <v>0</v>
      </c>
      <c r="AF278" s="6">
        <v>15</v>
      </c>
      <c r="AG278" s="6">
        <v>15</v>
      </c>
      <c r="AH278" s="59">
        <f>AH271*10</f>
        <v>190</v>
      </c>
      <c r="AI278" s="57">
        <f>E278-AC278-AE278-AH278</f>
        <v>116.39999999999998</v>
      </c>
      <c r="AJ278" s="17">
        <f>E278-AC278</f>
        <v>306.39999999999998</v>
      </c>
      <c r="AK278" s="20">
        <f>ROUND(AI278/E278,2)</f>
        <v>0.25</v>
      </c>
      <c r="AL278" s="21">
        <f t="shared" si="45"/>
        <v>0.61</v>
      </c>
    </row>
    <row r="279" spans="1:38" x14ac:dyDescent="0.25">
      <c r="A279" s="27" t="s">
        <v>430</v>
      </c>
      <c r="B279" s="46" t="s">
        <v>439</v>
      </c>
      <c r="C279" s="31">
        <v>670</v>
      </c>
      <c r="D279" s="38">
        <v>0</v>
      </c>
      <c r="E279" s="50">
        <f t="shared" si="46"/>
        <v>670</v>
      </c>
      <c r="F279" s="24">
        <v>0.8</v>
      </c>
      <c r="G279" s="7">
        <v>30</v>
      </c>
      <c r="H279" s="7">
        <v>16</v>
      </c>
      <c r="I279" s="7">
        <v>16</v>
      </c>
      <c r="J279" s="78">
        <f t="shared" si="47"/>
        <v>7.68</v>
      </c>
      <c r="K279" s="2">
        <f t="shared" si="48"/>
        <v>1.5</v>
      </c>
      <c r="L279" s="8">
        <v>0</v>
      </c>
      <c r="M279" s="1">
        <f t="shared" si="44"/>
        <v>0</v>
      </c>
      <c r="N279" s="41">
        <v>0</v>
      </c>
      <c r="O279" s="84" t="s">
        <v>275</v>
      </c>
      <c r="P279" s="24" t="s">
        <v>562</v>
      </c>
      <c r="Q279" s="7" t="s">
        <v>557</v>
      </c>
      <c r="R279" s="7"/>
      <c r="S279" s="81">
        <v>0.09</v>
      </c>
      <c r="T279" s="7">
        <v>25</v>
      </c>
      <c r="U279" s="82"/>
      <c r="V279" s="83">
        <f>ROUNDUP(E279*S279,2)</f>
        <v>60.3</v>
      </c>
      <c r="W279" s="83">
        <f>ROUNDUP(E279*0.015,2)</f>
        <v>10.050000000000001</v>
      </c>
      <c r="X279" s="82">
        <f>MAX(MIN(SUMIFS(Логистика!$C$2:$C$38,Логистика!$A$2:$A$38,"&lt;="&amp;K279,Логистика!$B$2:$B$38,"&gt;="&amp;K279)*E279,SUMIFS(Логистика!$E$2:$E$38,Логистика!$A$2:$A$38,"&lt;="&amp;K279,Логистика!$B$2:$B$38,"&gt;="&amp;K279)),SUMIFS(Логистика!$D$2:$D$38,Логистика!$A$2:$A$38,"&lt;="&amp;K279,Логистика!$B$2:$B$38,"&gt;="&amp;K279))</f>
        <v>65</v>
      </c>
      <c r="Y279" s="83">
        <f>IF(AND(E279*0.055&gt;20,E279*0.055&lt;250),ROUNDUP(E279*0.055,2),IF(E279*0.055&lt;=20,20,250))</f>
        <v>36.85</v>
      </c>
      <c r="Z279" s="83">
        <f>ROUND(M279*0.05,2)</f>
        <v>0</v>
      </c>
      <c r="AA279" s="83">
        <f>IF(N279=0,0,IF(ROUND(E279*N279,2)&gt;5,ROUND(E279*N279,2),5))</f>
        <v>0</v>
      </c>
      <c r="AB279" s="83">
        <f>IF(O279="Да",ROUND(E279*0.1111,2),0)</f>
        <v>0</v>
      </c>
      <c r="AC279" s="53">
        <f>V279+W279+T279+X279+Y279+Z279+AA279+AB279</f>
        <v>197.2</v>
      </c>
      <c r="AD279" s="8">
        <v>0</v>
      </c>
      <c r="AE279" s="36">
        <f>ROUND(E279*AD279,2)</f>
        <v>0</v>
      </c>
      <c r="AF279" s="6">
        <v>15</v>
      </c>
      <c r="AG279" s="6">
        <v>15</v>
      </c>
      <c r="AH279" s="59">
        <f>AH271*16</f>
        <v>304</v>
      </c>
      <c r="AI279" s="57">
        <f>E279-AC279-AE279-AH279</f>
        <v>168.8</v>
      </c>
      <c r="AJ279" s="17">
        <f>E279-AC279</f>
        <v>472.8</v>
      </c>
      <c r="AK279" s="20">
        <f>ROUND(AI279/E279,2)</f>
        <v>0.25</v>
      </c>
      <c r="AL279" s="21">
        <f t="shared" si="45"/>
        <v>0.56000000000000005</v>
      </c>
    </row>
    <row r="280" spans="1:38" x14ac:dyDescent="0.25">
      <c r="A280" s="27" t="s">
        <v>431</v>
      </c>
      <c r="B280" s="46" t="s">
        <v>440</v>
      </c>
      <c r="C280" s="31">
        <v>810</v>
      </c>
      <c r="D280" s="38">
        <v>0</v>
      </c>
      <c r="E280" s="50">
        <f t="shared" si="46"/>
        <v>810</v>
      </c>
      <c r="F280" s="24">
        <v>1</v>
      </c>
      <c r="G280" s="7">
        <v>37</v>
      </c>
      <c r="H280" s="7">
        <v>16</v>
      </c>
      <c r="I280" s="7">
        <v>16</v>
      </c>
      <c r="J280" s="78">
        <f t="shared" si="47"/>
        <v>9.4719999999999995</v>
      </c>
      <c r="K280" s="2">
        <f t="shared" si="48"/>
        <v>1.9</v>
      </c>
      <c r="L280" s="8">
        <v>0</v>
      </c>
      <c r="M280" s="1">
        <f t="shared" si="44"/>
        <v>0</v>
      </c>
      <c r="N280" s="41">
        <v>0</v>
      </c>
      <c r="O280" s="84" t="s">
        <v>275</v>
      </c>
      <c r="P280" s="24" t="s">
        <v>562</v>
      </c>
      <c r="Q280" s="7" t="s">
        <v>557</v>
      </c>
      <c r="R280" s="7"/>
      <c r="S280" s="81">
        <v>0.09</v>
      </c>
      <c r="T280" s="7">
        <v>25</v>
      </c>
      <c r="U280" s="82"/>
      <c r="V280" s="83">
        <f>ROUNDUP(E280*S280,2)</f>
        <v>72.900000000000006</v>
      </c>
      <c r="W280" s="83">
        <f>ROUNDUP(E280*0.015,2)</f>
        <v>12.15</v>
      </c>
      <c r="X280" s="82">
        <f>MAX(MIN(SUMIFS(Логистика!$C$2:$C$38,Логистика!$A$2:$A$38,"&lt;="&amp;K280,Логистика!$B$2:$B$38,"&gt;="&amp;K280)*E280,SUMIFS(Логистика!$E$2:$E$38,Логистика!$A$2:$A$38,"&lt;="&amp;K280,Логистика!$B$2:$B$38,"&gt;="&amp;K280)),SUMIFS(Логистика!$D$2:$D$38,Логистика!$A$2:$A$38,"&lt;="&amp;K280,Логистика!$B$2:$B$38,"&gt;="&amp;K280))</f>
        <v>71</v>
      </c>
      <c r="Y280" s="83">
        <f>IF(AND(E280*0.055&gt;20,E280*0.055&lt;250),ROUNDUP(E280*0.055,2),IF(E280*0.055&lt;=20,20,250))</f>
        <v>44.55</v>
      </c>
      <c r="Z280" s="83">
        <f>ROUND(M280*0.05,2)</f>
        <v>0</v>
      </c>
      <c r="AA280" s="83">
        <f>IF(N280=0,0,IF(ROUND(E280*N280,2)&gt;5,ROUND(E280*N280,2),5))</f>
        <v>0</v>
      </c>
      <c r="AB280" s="83">
        <f>IF(O280="Да",ROUND(E280*0.1111,2),0)</f>
        <v>0</v>
      </c>
      <c r="AC280" s="53">
        <f>V280+W280+T280+X280+Y280+Z280+AA280+AB280</f>
        <v>225.60000000000002</v>
      </c>
      <c r="AD280" s="8">
        <v>0</v>
      </c>
      <c r="AE280" s="36">
        <f>ROUND(E280*AD280,2)</f>
        <v>0</v>
      </c>
      <c r="AF280" s="6">
        <v>15</v>
      </c>
      <c r="AG280" s="6">
        <v>15</v>
      </c>
      <c r="AH280" s="59">
        <f>AH271*20</f>
        <v>380</v>
      </c>
      <c r="AI280" s="57">
        <f>E280-AC280-AE280-AH280</f>
        <v>204.39999999999998</v>
      </c>
      <c r="AJ280" s="17">
        <f>E280-AC280</f>
        <v>584.4</v>
      </c>
      <c r="AK280" s="20">
        <f>ROUND(AI280/E280,2)</f>
        <v>0.25</v>
      </c>
      <c r="AL280" s="21">
        <f t="shared" si="45"/>
        <v>0.54</v>
      </c>
    </row>
    <row r="281" spans="1:38" x14ac:dyDescent="0.25">
      <c r="A281" s="27"/>
      <c r="B281" s="46"/>
      <c r="C281" s="31"/>
      <c r="D281" s="38">
        <v>0</v>
      </c>
      <c r="E281" s="50">
        <f t="shared" si="46"/>
        <v>0</v>
      </c>
      <c r="F281" s="24"/>
      <c r="G281" s="7">
        <v>0</v>
      </c>
      <c r="H281" s="7">
        <v>0</v>
      </c>
      <c r="I281" s="7">
        <v>0</v>
      </c>
      <c r="J281" s="78">
        <f t="shared" si="47"/>
        <v>0</v>
      </c>
      <c r="K281" s="2">
        <f t="shared" si="48"/>
        <v>0</v>
      </c>
      <c r="L281" s="8">
        <v>0</v>
      </c>
      <c r="M281" s="1">
        <f t="shared" si="44"/>
        <v>0</v>
      </c>
      <c r="N281" s="41">
        <v>0</v>
      </c>
      <c r="O281" s="84" t="s">
        <v>275</v>
      </c>
      <c r="P281" s="24" t="s">
        <v>562</v>
      </c>
      <c r="Q281" s="7" t="s">
        <v>557</v>
      </c>
      <c r="R281" s="7"/>
      <c r="S281" s="81">
        <v>0.09</v>
      </c>
      <c r="T281" s="7">
        <v>25</v>
      </c>
      <c r="U281" s="82"/>
      <c r="V281" s="83">
        <f>ROUNDUP(E281*S281,2)</f>
        <v>0</v>
      </c>
      <c r="W281" s="83">
        <f>ROUNDUP(E281*0.015,2)</f>
        <v>0</v>
      </c>
      <c r="X281" s="82">
        <f>MAX(MIN(SUMIFS(Логистика!$C$2:$C$38,Логистика!$A$2:$A$38,"&lt;="&amp;K281,Логистика!$B$2:$B$38,"&gt;="&amp;K281)*E281,SUMIFS(Логистика!$E$2:$E$38,Логистика!$A$2:$A$38,"&lt;="&amp;K281,Логистика!$B$2:$B$38,"&gt;="&amp;K281)),SUMIFS(Логистика!$D$2:$D$38,Логистика!$A$2:$A$38,"&lt;="&amp;K281,Логистика!$B$2:$B$38,"&gt;="&amp;K281))</f>
        <v>0</v>
      </c>
      <c r="Y281" s="83">
        <f>IF(AND(E281*0.055&gt;20,E281*0.055&lt;250),ROUNDUP(E281*0.055,2),IF(E281*0.055&lt;=20,20,250))</f>
        <v>20</v>
      </c>
      <c r="Z281" s="83">
        <f>ROUND(M281*0.05,2)</f>
        <v>0</v>
      </c>
      <c r="AA281" s="83">
        <f>IF(N281=0,0,IF(ROUND(E281*N281,2)&gt;5,ROUND(E281*N281,2),5))</f>
        <v>0</v>
      </c>
      <c r="AB281" s="83">
        <f>IF(O281="Да",ROUND(E281*0.1111,2),0)</f>
        <v>0</v>
      </c>
      <c r="AC281" s="53">
        <f>V281+W281+T281+X281+Y281+Z281+AA281+AB281</f>
        <v>45</v>
      </c>
      <c r="AD281" s="8">
        <v>0</v>
      </c>
      <c r="AE281" s="36">
        <f>ROUND(E281*AD281,2)</f>
        <v>0</v>
      </c>
      <c r="AF281" s="6">
        <v>15</v>
      </c>
      <c r="AG281" s="6">
        <v>15</v>
      </c>
      <c r="AH281" s="5"/>
      <c r="AI281" s="57">
        <f>E281-AC281-AE281-AH281</f>
        <v>-45</v>
      </c>
      <c r="AJ281" s="17">
        <f>E281-AC281</f>
        <v>-45</v>
      </c>
      <c r="AK281" s="20" t="e">
        <f>ROUND(AI281/E281,2)</f>
        <v>#DIV/0!</v>
      </c>
      <c r="AL281" s="21" t="e">
        <f t="shared" si="45"/>
        <v>#DIV/0!</v>
      </c>
    </row>
    <row r="282" spans="1:38" x14ac:dyDescent="0.25">
      <c r="A282" s="27" t="s">
        <v>451</v>
      </c>
      <c r="B282" s="46" t="s">
        <v>441</v>
      </c>
      <c r="C282" s="31">
        <v>185</v>
      </c>
      <c r="D282" s="38">
        <v>0</v>
      </c>
      <c r="E282" s="50">
        <f t="shared" si="46"/>
        <v>185</v>
      </c>
      <c r="F282" s="24">
        <v>0.05</v>
      </c>
      <c r="G282" s="7">
        <v>11</v>
      </c>
      <c r="H282" s="7">
        <v>11</v>
      </c>
      <c r="I282" s="7">
        <v>11</v>
      </c>
      <c r="J282" s="78">
        <f t="shared" si="47"/>
        <v>1.331</v>
      </c>
      <c r="K282" s="2">
        <f t="shared" si="48"/>
        <v>0.3</v>
      </c>
      <c r="L282" s="8">
        <v>0</v>
      </c>
      <c r="M282" s="1">
        <f t="shared" si="44"/>
        <v>0</v>
      </c>
      <c r="N282" s="41">
        <v>0</v>
      </c>
      <c r="O282" s="84" t="s">
        <v>275</v>
      </c>
      <c r="P282" s="24" t="s">
        <v>562</v>
      </c>
      <c r="Q282" s="7" t="s">
        <v>557</v>
      </c>
      <c r="R282" s="7"/>
      <c r="S282" s="81">
        <v>0.09</v>
      </c>
      <c r="T282" s="7">
        <v>25</v>
      </c>
      <c r="U282" s="82"/>
      <c r="V282" s="83">
        <f>ROUNDUP(E282*S282,2)</f>
        <v>16.649999999999999</v>
      </c>
      <c r="W282" s="83">
        <f>ROUNDUP(E282*0.015,2)</f>
        <v>2.78</v>
      </c>
      <c r="X282" s="82">
        <f>MAX(MIN(SUMIFS(Логистика!$C$2:$C$38,Логистика!$A$2:$A$38,"&lt;="&amp;K282,Логистика!$B$2:$B$38,"&gt;="&amp;K282)*E282,SUMIFS(Логистика!$E$2:$E$38,Логистика!$A$2:$A$38,"&lt;="&amp;K282,Логистика!$B$2:$B$38,"&gt;="&amp;K282)),SUMIFS(Логистика!$D$2:$D$38,Логистика!$A$2:$A$38,"&lt;="&amp;K282,Логистика!$B$2:$B$38,"&gt;="&amp;K282))</f>
        <v>42</v>
      </c>
      <c r="Y282" s="83">
        <f>IF(AND(E282*0.055&gt;20,E282*0.055&lt;250),ROUNDUP(E282*0.055,2),IF(E282*0.055&lt;=20,20,250))</f>
        <v>20</v>
      </c>
      <c r="Z282" s="83">
        <f>ROUND(M282*0.05,2)</f>
        <v>0</v>
      </c>
      <c r="AA282" s="83">
        <f>IF(N282=0,0,IF(ROUND(E282*N282,2)&gt;5,ROUND(E282*N282,2),5))</f>
        <v>0</v>
      </c>
      <c r="AB282" s="83">
        <f>IF(O282="Да",ROUND(E282*0.1111,2),0)</f>
        <v>0</v>
      </c>
      <c r="AC282" s="53">
        <f>V282+W282+T282+X282+Y282+Z282+AA282+AB282</f>
        <v>106.43</v>
      </c>
      <c r="AD282" s="8">
        <v>0</v>
      </c>
      <c r="AE282" s="36">
        <f>ROUND(E282*AD282,2)</f>
        <v>0</v>
      </c>
      <c r="AF282" s="6">
        <v>15</v>
      </c>
      <c r="AG282" s="6">
        <v>15</v>
      </c>
      <c r="AH282" s="5">
        <v>35</v>
      </c>
      <c r="AI282" s="57">
        <f>E282-AC282-AE282-AH282</f>
        <v>43.569999999999993</v>
      </c>
      <c r="AJ282" s="17">
        <f>E282-AC282</f>
        <v>78.569999999999993</v>
      </c>
      <c r="AK282" s="20">
        <f>ROUND(AI282/E282,2)</f>
        <v>0.24</v>
      </c>
      <c r="AL282" s="21">
        <f t="shared" si="45"/>
        <v>1.24</v>
      </c>
    </row>
    <row r="283" spans="1:38" x14ac:dyDescent="0.25">
      <c r="A283" s="27" t="s">
        <v>452</v>
      </c>
      <c r="B283" s="46" t="s">
        <v>442</v>
      </c>
      <c r="C283" s="31"/>
      <c r="D283" s="38">
        <v>0</v>
      </c>
      <c r="E283" s="50">
        <f t="shared" si="46"/>
        <v>0</v>
      </c>
      <c r="F283" s="24">
        <v>0.1</v>
      </c>
      <c r="G283" s="7">
        <v>20</v>
      </c>
      <c r="H283" s="7">
        <v>11</v>
      </c>
      <c r="I283" s="7">
        <v>11</v>
      </c>
      <c r="J283" s="78">
        <f t="shared" si="47"/>
        <v>2.42</v>
      </c>
      <c r="K283" s="2">
        <f t="shared" si="48"/>
        <v>0.5</v>
      </c>
      <c r="L283" s="8">
        <v>0</v>
      </c>
      <c r="M283" s="1">
        <f t="shared" si="44"/>
        <v>0</v>
      </c>
      <c r="N283" s="41">
        <v>0</v>
      </c>
      <c r="O283" s="84" t="s">
        <v>275</v>
      </c>
      <c r="P283" s="24" t="s">
        <v>562</v>
      </c>
      <c r="Q283" s="7" t="s">
        <v>557</v>
      </c>
      <c r="R283" s="7"/>
      <c r="S283" s="81">
        <v>0.09</v>
      </c>
      <c r="T283" s="7">
        <v>25</v>
      </c>
      <c r="U283" s="82"/>
      <c r="V283" s="83">
        <f>ROUNDUP(E283*S283,2)</f>
        <v>0</v>
      </c>
      <c r="W283" s="83">
        <f>ROUNDUP(E283*0.015,2)</f>
        <v>0</v>
      </c>
      <c r="X283" s="82">
        <f>MAX(MIN(SUMIFS(Логистика!$C$2:$C$38,Логистика!$A$2:$A$38,"&lt;="&amp;K283,Логистика!$B$2:$B$38,"&gt;="&amp;K283)*E283,SUMIFS(Логистика!$E$2:$E$38,Логистика!$A$2:$A$38,"&lt;="&amp;K283,Логистика!$B$2:$B$38,"&gt;="&amp;K283)),SUMIFS(Логистика!$D$2:$D$38,Логистика!$A$2:$A$38,"&lt;="&amp;K283,Логистика!$B$2:$B$38,"&gt;="&amp;K283))</f>
        <v>43</v>
      </c>
      <c r="Y283" s="83">
        <f>IF(AND(E283*0.055&gt;20,E283*0.055&lt;250),ROUNDUP(E283*0.055,2),IF(E283*0.055&lt;=20,20,250))</f>
        <v>20</v>
      </c>
      <c r="Z283" s="83">
        <f>ROUND(M283*0.05,2)</f>
        <v>0</v>
      </c>
      <c r="AA283" s="83">
        <f>IF(N283=0,0,IF(ROUND(E283*N283,2)&gt;5,ROUND(E283*N283,2),5))</f>
        <v>0</v>
      </c>
      <c r="AB283" s="83">
        <f>IF(O283="Да",ROUND(E283*0.1111,2),0)</f>
        <v>0</v>
      </c>
      <c r="AC283" s="53">
        <f>V283+W283+T283+X283+Y283+Z283+AA283+AB283</f>
        <v>88</v>
      </c>
      <c r="AD283" s="8">
        <v>0</v>
      </c>
      <c r="AE283" s="36">
        <f>ROUND(E283*AD283,2)</f>
        <v>0</v>
      </c>
      <c r="AF283" s="6">
        <v>15</v>
      </c>
      <c r="AG283" s="6">
        <v>15</v>
      </c>
      <c r="AH283" s="59">
        <f>AH282*2</f>
        <v>70</v>
      </c>
      <c r="AI283" s="57">
        <f>E283-AC283-AE283-AH283</f>
        <v>-158</v>
      </c>
      <c r="AJ283" s="17">
        <f>E283-AC283</f>
        <v>-88</v>
      </c>
      <c r="AK283" s="20" t="e">
        <f>ROUND(AI283/E283,2)</f>
        <v>#DIV/0!</v>
      </c>
      <c r="AL283" s="21">
        <f t="shared" si="45"/>
        <v>-2.2599999999999998</v>
      </c>
    </row>
    <row r="284" spans="1:38" x14ac:dyDescent="0.25">
      <c r="A284" s="27" t="s">
        <v>453</v>
      </c>
      <c r="B284" s="46" t="s">
        <v>443</v>
      </c>
      <c r="C284" s="31"/>
      <c r="D284" s="38">
        <v>0</v>
      </c>
      <c r="E284" s="50">
        <f t="shared" si="46"/>
        <v>0</v>
      </c>
      <c r="F284" s="24">
        <v>0.15</v>
      </c>
      <c r="G284" s="7">
        <v>28.999999999999996</v>
      </c>
      <c r="H284" s="7">
        <v>11</v>
      </c>
      <c r="I284" s="7">
        <v>11</v>
      </c>
      <c r="J284" s="78">
        <f t="shared" si="47"/>
        <v>3.5089999999999995</v>
      </c>
      <c r="K284" s="2">
        <f t="shared" si="48"/>
        <v>0.7</v>
      </c>
      <c r="L284" s="8">
        <v>0</v>
      </c>
      <c r="M284" s="1">
        <f t="shared" si="44"/>
        <v>0</v>
      </c>
      <c r="N284" s="41">
        <v>0</v>
      </c>
      <c r="O284" s="84" t="s">
        <v>275</v>
      </c>
      <c r="P284" s="24" t="s">
        <v>562</v>
      </c>
      <c r="Q284" s="7" t="s">
        <v>557</v>
      </c>
      <c r="R284" s="7"/>
      <c r="S284" s="81">
        <v>0.09</v>
      </c>
      <c r="T284" s="7">
        <v>25</v>
      </c>
      <c r="U284" s="82"/>
      <c r="V284" s="83">
        <f>ROUNDUP(E284*S284,2)</f>
        <v>0</v>
      </c>
      <c r="W284" s="83">
        <f>ROUNDUP(E284*0.015,2)</f>
        <v>0</v>
      </c>
      <c r="X284" s="82">
        <f>MAX(MIN(SUMIFS(Логистика!$C$2:$C$38,Логистика!$A$2:$A$38,"&lt;="&amp;K284,Логистика!$B$2:$B$38,"&gt;="&amp;K284)*E284,SUMIFS(Логистика!$E$2:$E$38,Логистика!$A$2:$A$38,"&lt;="&amp;K284,Логистика!$B$2:$B$38,"&gt;="&amp;K284)),SUMIFS(Логистика!$D$2:$D$38,Логистика!$A$2:$A$38,"&lt;="&amp;K284,Логистика!$B$2:$B$38,"&gt;="&amp;K284))</f>
        <v>45</v>
      </c>
      <c r="Y284" s="83">
        <f>IF(AND(E284*0.055&gt;20,E284*0.055&lt;250),ROUNDUP(E284*0.055,2),IF(E284*0.055&lt;=20,20,250))</f>
        <v>20</v>
      </c>
      <c r="Z284" s="83">
        <f>ROUND(M284*0.05,2)</f>
        <v>0</v>
      </c>
      <c r="AA284" s="83">
        <f>IF(N284=0,0,IF(ROUND(E284*N284,2)&gt;5,ROUND(E284*N284,2),5))</f>
        <v>0</v>
      </c>
      <c r="AB284" s="83">
        <f>IF(O284="Да",ROUND(E284*0.1111,2),0)</f>
        <v>0</v>
      </c>
      <c r="AC284" s="53">
        <f>V284+W284+T284+X284+Y284+Z284+AA284+AB284</f>
        <v>90</v>
      </c>
      <c r="AD284" s="8">
        <v>0</v>
      </c>
      <c r="AE284" s="36">
        <f>ROUND(E284*AD284,2)</f>
        <v>0</v>
      </c>
      <c r="AF284" s="6">
        <v>15</v>
      </c>
      <c r="AG284" s="6">
        <v>15</v>
      </c>
      <c r="AH284" s="59">
        <f>AH282*3</f>
        <v>105</v>
      </c>
      <c r="AI284" s="57">
        <f>E284-AC284-AE284-AH284</f>
        <v>-195</v>
      </c>
      <c r="AJ284" s="17">
        <f>E284-AC284</f>
        <v>-90</v>
      </c>
      <c r="AK284" s="20" t="e">
        <f>ROUND(AI284/E284,2)</f>
        <v>#DIV/0!</v>
      </c>
      <c r="AL284" s="21">
        <f t="shared" si="45"/>
        <v>-1.86</v>
      </c>
    </row>
    <row r="285" spans="1:38" x14ac:dyDescent="0.25">
      <c r="A285" s="27" t="s">
        <v>454</v>
      </c>
      <c r="B285" s="46" t="s">
        <v>444</v>
      </c>
      <c r="C285" s="31"/>
      <c r="D285" s="38">
        <v>0</v>
      </c>
      <c r="E285" s="50">
        <f t="shared" si="46"/>
        <v>0</v>
      </c>
      <c r="F285" s="24">
        <v>0.2</v>
      </c>
      <c r="G285" s="7">
        <v>20</v>
      </c>
      <c r="H285" s="7">
        <v>20</v>
      </c>
      <c r="I285" s="7">
        <v>11</v>
      </c>
      <c r="J285" s="78">
        <f t="shared" si="47"/>
        <v>4.4000000000000004</v>
      </c>
      <c r="K285" s="2">
        <f t="shared" si="48"/>
        <v>0.9</v>
      </c>
      <c r="L285" s="8">
        <v>0</v>
      </c>
      <c r="M285" s="1">
        <f t="shared" si="44"/>
        <v>0</v>
      </c>
      <c r="N285" s="41">
        <v>0</v>
      </c>
      <c r="O285" s="84" t="s">
        <v>275</v>
      </c>
      <c r="P285" s="24" t="s">
        <v>562</v>
      </c>
      <c r="Q285" s="7" t="s">
        <v>557</v>
      </c>
      <c r="R285" s="7"/>
      <c r="S285" s="81">
        <v>0.09</v>
      </c>
      <c r="T285" s="7">
        <v>25</v>
      </c>
      <c r="U285" s="82"/>
      <c r="V285" s="83">
        <f>ROUNDUP(E285*S285,2)</f>
        <v>0</v>
      </c>
      <c r="W285" s="83">
        <f>ROUNDUP(E285*0.015,2)</f>
        <v>0</v>
      </c>
      <c r="X285" s="82">
        <f>MAX(MIN(SUMIFS(Логистика!$C$2:$C$38,Логистика!$A$2:$A$38,"&lt;="&amp;K285,Логистика!$B$2:$B$38,"&gt;="&amp;K285)*E285,SUMIFS(Логистика!$E$2:$E$38,Логистика!$A$2:$A$38,"&lt;="&amp;K285,Логистика!$B$2:$B$38,"&gt;="&amp;K285)),SUMIFS(Логистика!$D$2:$D$38,Логистика!$A$2:$A$38,"&lt;="&amp;K285,Логистика!$B$2:$B$38,"&gt;="&amp;K285))</f>
        <v>49</v>
      </c>
      <c r="Y285" s="83">
        <f>IF(AND(E285*0.055&gt;20,E285*0.055&lt;250),ROUNDUP(E285*0.055,2),IF(E285*0.055&lt;=20,20,250))</f>
        <v>20</v>
      </c>
      <c r="Z285" s="83">
        <f>ROUND(M285*0.05,2)</f>
        <v>0</v>
      </c>
      <c r="AA285" s="83">
        <f>IF(N285=0,0,IF(ROUND(E285*N285,2)&gt;5,ROUND(E285*N285,2),5))</f>
        <v>0</v>
      </c>
      <c r="AB285" s="83">
        <f>IF(O285="Да",ROUND(E285*0.1111,2),0)</f>
        <v>0</v>
      </c>
      <c r="AC285" s="53">
        <f>V285+W285+T285+X285+Y285+Z285+AA285+AB285</f>
        <v>94</v>
      </c>
      <c r="AD285" s="8">
        <v>0</v>
      </c>
      <c r="AE285" s="36">
        <f>ROUND(E285*AD285,2)</f>
        <v>0</v>
      </c>
      <c r="AF285" s="6">
        <v>15</v>
      </c>
      <c r="AG285" s="6">
        <v>15</v>
      </c>
      <c r="AH285" s="59">
        <f>AH282*4</f>
        <v>140</v>
      </c>
      <c r="AI285" s="57">
        <f>E285-AC285-AE285-AH285</f>
        <v>-234</v>
      </c>
      <c r="AJ285" s="17">
        <f>E285-AC285</f>
        <v>-94</v>
      </c>
      <c r="AK285" s="20" t="e">
        <f>ROUND(AI285/E285,2)</f>
        <v>#DIV/0!</v>
      </c>
      <c r="AL285" s="21">
        <f t="shared" si="45"/>
        <v>-1.67</v>
      </c>
    </row>
    <row r="286" spans="1:38" x14ac:dyDescent="0.25">
      <c r="A286" s="27" t="s">
        <v>455</v>
      </c>
      <c r="B286" s="46" t="s">
        <v>445</v>
      </c>
      <c r="C286" s="31"/>
      <c r="D286" s="38">
        <v>0</v>
      </c>
      <c r="E286" s="50">
        <f t="shared" si="46"/>
        <v>0</v>
      </c>
      <c r="F286" s="24">
        <v>0.25</v>
      </c>
      <c r="G286" s="7">
        <v>47</v>
      </c>
      <c r="H286" s="7">
        <v>11</v>
      </c>
      <c r="I286" s="7">
        <v>11</v>
      </c>
      <c r="J286" s="78">
        <f t="shared" si="47"/>
        <v>5.6870000000000003</v>
      </c>
      <c r="K286" s="2">
        <f t="shared" si="48"/>
        <v>1.1000000000000001</v>
      </c>
      <c r="L286" s="8">
        <v>0</v>
      </c>
      <c r="M286" s="1">
        <f t="shared" si="44"/>
        <v>0</v>
      </c>
      <c r="N286" s="41">
        <v>0</v>
      </c>
      <c r="O286" s="84" t="s">
        <v>275</v>
      </c>
      <c r="P286" s="24" t="s">
        <v>562</v>
      </c>
      <c r="Q286" s="7" t="s">
        <v>557</v>
      </c>
      <c r="R286" s="7"/>
      <c r="S286" s="81">
        <v>0.09</v>
      </c>
      <c r="T286" s="7">
        <v>25</v>
      </c>
      <c r="U286" s="82"/>
      <c r="V286" s="83">
        <f>ROUNDUP(E286*S286,2)</f>
        <v>0</v>
      </c>
      <c r="W286" s="83">
        <f>ROUNDUP(E286*0.015,2)</f>
        <v>0</v>
      </c>
      <c r="X286" s="82">
        <f>MAX(MIN(SUMIFS(Логистика!$C$2:$C$38,Логистика!$A$2:$A$38,"&lt;="&amp;K286,Логистика!$B$2:$B$38,"&gt;="&amp;K286)*E286,SUMIFS(Логистика!$E$2:$E$38,Логистика!$A$2:$A$38,"&lt;="&amp;K286,Логистика!$B$2:$B$38,"&gt;="&amp;K286)),SUMIFS(Логистика!$D$2:$D$38,Логистика!$A$2:$A$38,"&lt;="&amp;K286,Логистика!$B$2:$B$38,"&gt;="&amp;K286))</f>
        <v>55</v>
      </c>
      <c r="Y286" s="83">
        <f>IF(AND(E286*0.055&gt;20,E286*0.055&lt;250),ROUNDUP(E286*0.055,2),IF(E286*0.055&lt;=20,20,250))</f>
        <v>20</v>
      </c>
      <c r="Z286" s="83">
        <f>ROUND(M286*0.05,2)</f>
        <v>0</v>
      </c>
      <c r="AA286" s="83">
        <f>IF(N286=0,0,IF(ROUND(E286*N286,2)&gt;5,ROUND(E286*N286,2),5))</f>
        <v>0</v>
      </c>
      <c r="AB286" s="83">
        <f>IF(O286="Да",ROUND(E286*0.1111,2),0)</f>
        <v>0</v>
      </c>
      <c r="AC286" s="53">
        <f>V286+W286+T286+X286+Y286+Z286+AA286+AB286</f>
        <v>100</v>
      </c>
      <c r="AD286" s="8">
        <v>0</v>
      </c>
      <c r="AE286" s="36">
        <f>ROUND(E286*AD286,2)</f>
        <v>0</v>
      </c>
      <c r="AF286" s="6">
        <v>15</v>
      </c>
      <c r="AG286" s="6">
        <v>15</v>
      </c>
      <c r="AH286" s="59">
        <f>AH282*5</f>
        <v>175</v>
      </c>
      <c r="AI286" s="57">
        <f>E286-AC286-AE286-AH286</f>
        <v>-275</v>
      </c>
      <c r="AJ286" s="17">
        <f>E286-AC286</f>
        <v>-100</v>
      </c>
      <c r="AK286" s="20" t="e">
        <f>ROUND(AI286/E286,2)</f>
        <v>#DIV/0!</v>
      </c>
      <c r="AL286" s="21">
        <f t="shared" si="45"/>
        <v>-1.57</v>
      </c>
    </row>
    <row r="287" spans="1:38" x14ac:dyDescent="0.25">
      <c r="A287" s="27" t="s">
        <v>456</v>
      </c>
      <c r="B287" s="46" t="s">
        <v>446</v>
      </c>
      <c r="C287" s="31"/>
      <c r="D287" s="38">
        <v>0</v>
      </c>
      <c r="E287" s="50">
        <f t="shared" si="46"/>
        <v>0</v>
      </c>
      <c r="F287" s="24">
        <v>0.3</v>
      </c>
      <c r="G287" s="7">
        <v>28.999999999999996</v>
      </c>
      <c r="H287" s="7">
        <v>20</v>
      </c>
      <c r="I287" s="7">
        <v>11</v>
      </c>
      <c r="J287" s="78">
        <f t="shared" si="47"/>
        <v>6.379999999999999</v>
      </c>
      <c r="K287" s="2">
        <f t="shared" si="48"/>
        <v>1.3</v>
      </c>
      <c r="L287" s="8">
        <v>0</v>
      </c>
      <c r="M287" s="1">
        <f t="shared" si="44"/>
        <v>0</v>
      </c>
      <c r="N287" s="41">
        <v>0</v>
      </c>
      <c r="O287" s="84" t="s">
        <v>275</v>
      </c>
      <c r="P287" s="24" t="s">
        <v>562</v>
      </c>
      <c r="Q287" s="7" t="s">
        <v>557</v>
      </c>
      <c r="R287" s="7"/>
      <c r="S287" s="81">
        <v>0.09</v>
      </c>
      <c r="T287" s="7">
        <v>25</v>
      </c>
      <c r="U287" s="82"/>
      <c r="V287" s="83">
        <f>ROUNDUP(E287*S287,2)</f>
        <v>0</v>
      </c>
      <c r="W287" s="83">
        <f>ROUNDUP(E287*0.015,2)</f>
        <v>0</v>
      </c>
      <c r="X287" s="82">
        <f>MAX(MIN(SUMIFS(Логистика!$C$2:$C$38,Логистика!$A$2:$A$38,"&lt;="&amp;K287,Логистика!$B$2:$B$38,"&gt;="&amp;K287)*E287,SUMIFS(Логистика!$E$2:$E$38,Логистика!$A$2:$A$38,"&lt;="&amp;K287,Логистика!$B$2:$B$38,"&gt;="&amp;K287)),SUMIFS(Логистика!$D$2:$D$38,Логистика!$A$2:$A$38,"&lt;="&amp;K287,Логистика!$B$2:$B$38,"&gt;="&amp;K287))</f>
        <v>61</v>
      </c>
      <c r="Y287" s="83">
        <f>IF(AND(E287*0.055&gt;20,E287*0.055&lt;250),ROUNDUP(E287*0.055,2),IF(E287*0.055&lt;=20,20,250))</f>
        <v>20</v>
      </c>
      <c r="Z287" s="83">
        <f>ROUND(M287*0.05,2)</f>
        <v>0</v>
      </c>
      <c r="AA287" s="83">
        <f>IF(N287=0,0,IF(ROUND(E287*N287,2)&gt;5,ROUND(E287*N287,2),5))</f>
        <v>0</v>
      </c>
      <c r="AB287" s="83">
        <f>IF(O287="Да",ROUND(E287*0.1111,2),0)</f>
        <v>0</v>
      </c>
      <c r="AC287" s="53">
        <f>V287+W287+T287+X287+Y287+Z287+AA287+AB287</f>
        <v>106</v>
      </c>
      <c r="AD287" s="8">
        <v>0</v>
      </c>
      <c r="AE287" s="36">
        <f>ROUND(E287*AD287,2)</f>
        <v>0</v>
      </c>
      <c r="AF287" s="6">
        <v>15</v>
      </c>
      <c r="AG287" s="6">
        <v>15</v>
      </c>
      <c r="AH287" s="59">
        <f>AH282*6</f>
        <v>210</v>
      </c>
      <c r="AI287" s="57">
        <f>E287-AC287-AE287-AH287</f>
        <v>-316</v>
      </c>
      <c r="AJ287" s="17">
        <f>E287-AC287</f>
        <v>-106</v>
      </c>
      <c r="AK287" s="20" t="e">
        <f>ROUND(AI287/E287,2)</f>
        <v>#DIV/0!</v>
      </c>
      <c r="AL287" s="21">
        <f t="shared" si="45"/>
        <v>-1.5</v>
      </c>
    </row>
    <row r="288" spans="1:38" x14ac:dyDescent="0.25">
      <c r="A288" s="27" t="s">
        <v>457</v>
      </c>
      <c r="B288" s="46" t="s">
        <v>447</v>
      </c>
      <c r="C288" s="31"/>
      <c r="D288" s="38">
        <v>0</v>
      </c>
      <c r="E288" s="50">
        <f t="shared" si="46"/>
        <v>0</v>
      </c>
      <c r="F288" s="24">
        <v>0.4</v>
      </c>
      <c r="G288" s="7">
        <v>20</v>
      </c>
      <c r="H288" s="7">
        <v>20</v>
      </c>
      <c r="I288" s="7">
        <v>20</v>
      </c>
      <c r="J288" s="78">
        <f t="shared" si="47"/>
        <v>8</v>
      </c>
      <c r="K288" s="2">
        <f t="shared" si="48"/>
        <v>1.6</v>
      </c>
      <c r="L288" s="8">
        <v>0</v>
      </c>
      <c r="M288" s="1">
        <f t="shared" si="44"/>
        <v>0</v>
      </c>
      <c r="N288" s="41">
        <v>0</v>
      </c>
      <c r="O288" s="84" t="s">
        <v>275</v>
      </c>
      <c r="P288" s="24" t="s">
        <v>562</v>
      </c>
      <c r="Q288" s="7" t="s">
        <v>557</v>
      </c>
      <c r="R288" s="7"/>
      <c r="S288" s="81">
        <v>0.09</v>
      </c>
      <c r="T288" s="7">
        <v>25</v>
      </c>
      <c r="U288" s="82"/>
      <c r="V288" s="83">
        <f>ROUNDUP(E288*S288,2)</f>
        <v>0</v>
      </c>
      <c r="W288" s="83">
        <f>ROUNDUP(E288*0.015,2)</f>
        <v>0</v>
      </c>
      <c r="X288" s="82">
        <f>MAX(MIN(SUMIFS(Логистика!$C$2:$C$38,Логистика!$A$2:$A$38,"&lt;="&amp;K288,Логистика!$B$2:$B$38,"&gt;="&amp;K288)*E288,SUMIFS(Логистика!$E$2:$E$38,Логистика!$A$2:$A$38,"&lt;="&amp;K288,Логистика!$B$2:$B$38,"&gt;="&amp;K288)),SUMIFS(Логистика!$D$2:$D$38,Логистика!$A$2:$A$38,"&lt;="&amp;K288,Логистика!$B$2:$B$38,"&gt;="&amp;K288))</f>
        <v>67</v>
      </c>
      <c r="Y288" s="83">
        <f>IF(AND(E288*0.055&gt;20,E288*0.055&lt;250),ROUNDUP(E288*0.055,2),IF(E288*0.055&lt;=20,20,250))</f>
        <v>20</v>
      </c>
      <c r="Z288" s="83">
        <f>ROUND(M288*0.05,2)</f>
        <v>0</v>
      </c>
      <c r="AA288" s="83">
        <f>IF(N288=0,0,IF(ROUND(E288*N288,2)&gt;5,ROUND(E288*N288,2),5))</f>
        <v>0</v>
      </c>
      <c r="AB288" s="83">
        <f>IF(O288="Да",ROUND(E288*0.1111,2),0)</f>
        <v>0</v>
      </c>
      <c r="AC288" s="53">
        <f>V288+W288+T288+X288+Y288+Z288+AA288+AB288</f>
        <v>112</v>
      </c>
      <c r="AD288" s="8">
        <v>0</v>
      </c>
      <c r="AE288" s="36">
        <f>ROUND(E288*AD288,2)</f>
        <v>0</v>
      </c>
      <c r="AF288" s="6">
        <v>15</v>
      </c>
      <c r="AG288" s="6">
        <v>15</v>
      </c>
      <c r="AH288" s="59">
        <f>AH282*8</f>
        <v>280</v>
      </c>
      <c r="AI288" s="57">
        <f>E288-AC288-AE288-AH288</f>
        <v>-392</v>
      </c>
      <c r="AJ288" s="17">
        <f>E288-AC288</f>
        <v>-112</v>
      </c>
      <c r="AK288" s="20" t="e">
        <f>ROUND(AI288/E288,2)</f>
        <v>#DIV/0!</v>
      </c>
      <c r="AL288" s="21">
        <f t="shared" si="45"/>
        <v>-1.4</v>
      </c>
    </row>
    <row r="289" spans="1:38" x14ac:dyDescent="0.25">
      <c r="A289" s="27" t="s">
        <v>458</v>
      </c>
      <c r="B289" s="46" t="s">
        <v>448</v>
      </c>
      <c r="C289" s="31"/>
      <c r="D289" s="38">
        <v>0</v>
      </c>
      <c r="E289" s="50">
        <f t="shared" si="46"/>
        <v>0</v>
      </c>
      <c r="F289" s="24">
        <v>0.5</v>
      </c>
      <c r="G289" s="7">
        <v>47</v>
      </c>
      <c r="H289" s="7">
        <v>20</v>
      </c>
      <c r="I289" s="7">
        <v>11</v>
      </c>
      <c r="J289" s="78">
        <f t="shared" si="47"/>
        <v>10.34</v>
      </c>
      <c r="K289" s="2">
        <f t="shared" si="48"/>
        <v>2.1</v>
      </c>
      <c r="L289" s="8">
        <v>0</v>
      </c>
      <c r="M289" s="1">
        <f t="shared" si="44"/>
        <v>0</v>
      </c>
      <c r="N289" s="41">
        <v>0</v>
      </c>
      <c r="O289" s="84" t="s">
        <v>275</v>
      </c>
      <c r="P289" s="24" t="s">
        <v>562</v>
      </c>
      <c r="Q289" s="7" t="s">
        <v>557</v>
      </c>
      <c r="R289" s="7"/>
      <c r="S289" s="81">
        <v>0.09</v>
      </c>
      <c r="T289" s="7">
        <v>25</v>
      </c>
      <c r="U289" s="82"/>
      <c r="V289" s="83">
        <f>ROUNDUP(E289*S289,2)</f>
        <v>0</v>
      </c>
      <c r="W289" s="83">
        <f>ROUNDUP(E289*0.015,2)</f>
        <v>0</v>
      </c>
      <c r="X289" s="82">
        <f>MAX(MIN(SUMIFS(Логистика!$C$2:$C$38,Логистика!$A$2:$A$38,"&lt;="&amp;K289,Логистика!$B$2:$B$38,"&gt;="&amp;K289)*E289,SUMIFS(Логистика!$E$2:$E$38,Логистика!$A$2:$A$38,"&lt;="&amp;K289,Логистика!$B$2:$B$38,"&gt;="&amp;K289)),SUMIFS(Логистика!$D$2:$D$38,Логистика!$A$2:$A$38,"&lt;="&amp;K289,Логистика!$B$2:$B$38,"&gt;="&amp;K289))</f>
        <v>79</v>
      </c>
      <c r="Y289" s="83">
        <f>IF(AND(E289*0.055&gt;20,E289*0.055&lt;250),ROUNDUP(E289*0.055,2),IF(E289*0.055&lt;=20,20,250))</f>
        <v>20</v>
      </c>
      <c r="Z289" s="83">
        <f>ROUND(M289*0.05,2)</f>
        <v>0</v>
      </c>
      <c r="AA289" s="83">
        <f>IF(N289=0,0,IF(ROUND(E289*N289,2)&gt;5,ROUND(E289*N289,2),5))</f>
        <v>0</v>
      </c>
      <c r="AB289" s="83">
        <f>IF(O289="Да",ROUND(E289*0.1111,2),0)</f>
        <v>0</v>
      </c>
      <c r="AC289" s="53">
        <f>V289+W289+T289+X289+Y289+Z289+AA289+AB289</f>
        <v>124</v>
      </c>
      <c r="AD289" s="8">
        <v>0</v>
      </c>
      <c r="AE289" s="36">
        <f>ROUND(E289*AD289,2)</f>
        <v>0</v>
      </c>
      <c r="AF289" s="6">
        <v>15</v>
      </c>
      <c r="AG289" s="6">
        <v>15</v>
      </c>
      <c r="AH289" s="59">
        <f>AH282*10</f>
        <v>350</v>
      </c>
      <c r="AI289" s="57">
        <f>E289-AC289-AE289-AH289</f>
        <v>-474</v>
      </c>
      <c r="AJ289" s="17">
        <f>E289-AC289</f>
        <v>-124</v>
      </c>
      <c r="AK289" s="20" t="e">
        <f>ROUND(AI289/E289,2)</f>
        <v>#DIV/0!</v>
      </c>
      <c r="AL289" s="21">
        <f t="shared" si="45"/>
        <v>-1.35</v>
      </c>
    </row>
    <row r="290" spans="1:38" x14ac:dyDescent="0.25">
      <c r="A290" s="27" t="s">
        <v>459</v>
      </c>
      <c r="B290" s="46" t="s">
        <v>449</v>
      </c>
      <c r="C290" s="31"/>
      <c r="D290" s="38">
        <v>0</v>
      </c>
      <c r="E290" s="50">
        <f t="shared" si="46"/>
        <v>0</v>
      </c>
      <c r="F290" s="24">
        <v>0.8</v>
      </c>
      <c r="G290" s="7">
        <v>38</v>
      </c>
      <c r="H290" s="7">
        <v>20</v>
      </c>
      <c r="I290" s="7">
        <v>20</v>
      </c>
      <c r="J290" s="78">
        <f t="shared" si="47"/>
        <v>15.2</v>
      </c>
      <c r="K290" s="2">
        <f t="shared" si="48"/>
        <v>3</v>
      </c>
      <c r="L290" s="8">
        <v>0</v>
      </c>
      <c r="M290" s="1">
        <f t="shared" si="44"/>
        <v>0</v>
      </c>
      <c r="N290" s="41">
        <v>0</v>
      </c>
      <c r="O290" s="84" t="s">
        <v>275</v>
      </c>
      <c r="P290" s="24" t="s">
        <v>562</v>
      </c>
      <c r="Q290" s="7" t="s">
        <v>557</v>
      </c>
      <c r="R290" s="7"/>
      <c r="S290" s="81">
        <v>0.09</v>
      </c>
      <c r="T290" s="7">
        <v>25</v>
      </c>
      <c r="U290" s="82"/>
      <c r="V290" s="83">
        <f>ROUNDUP(E290*S290,2)</f>
        <v>0</v>
      </c>
      <c r="W290" s="83">
        <f>ROUNDUP(E290*0.015,2)</f>
        <v>0</v>
      </c>
      <c r="X290" s="82">
        <f>MAX(MIN(SUMIFS(Логистика!$C$2:$C$38,Логистика!$A$2:$A$38,"&lt;="&amp;K290,Логистика!$B$2:$B$38,"&gt;="&amp;K290)*E290,SUMIFS(Логистика!$E$2:$E$38,Логистика!$A$2:$A$38,"&lt;="&amp;K290,Логистика!$B$2:$B$38,"&gt;="&amp;K290)),SUMIFS(Логистика!$D$2:$D$38,Логистика!$A$2:$A$38,"&lt;="&amp;K290,Логистика!$B$2:$B$38,"&gt;="&amp;K290))</f>
        <v>100</v>
      </c>
      <c r="Y290" s="83">
        <f>IF(AND(E290*0.055&gt;20,E290*0.055&lt;250),ROUNDUP(E290*0.055,2),IF(E290*0.055&lt;=20,20,250))</f>
        <v>20</v>
      </c>
      <c r="Z290" s="83">
        <f>ROUND(M290*0.05,2)</f>
        <v>0</v>
      </c>
      <c r="AA290" s="83">
        <f>IF(N290=0,0,IF(ROUND(E290*N290,2)&gt;5,ROUND(E290*N290,2),5))</f>
        <v>0</v>
      </c>
      <c r="AB290" s="83">
        <f>IF(O290="Да",ROUND(E290*0.1111,2),0)</f>
        <v>0</v>
      </c>
      <c r="AC290" s="53">
        <f>V290+W290+T290+X290+Y290+Z290+AA290+AB290</f>
        <v>145</v>
      </c>
      <c r="AD290" s="8">
        <v>0</v>
      </c>
      <c r="AE290" s="36">
        <f>ROUND(E290*AD290,2)</f>
        <v>0</v>
      </c>
      <c r="AF290" s="6">
        <v>15</v>
      </c>
      <c r="AG290" s="6">
        <v>15</v>
      </c>
      <c r="AH290" s="59">
        <f>AH282*16</f>
        <v>560</v>
      </c>
      <c r="AI290" s="57">
        <f>E290-AC290-AE290-AH290</f>
        <v>-705</v>
      </c>
      <c r="AJ290" s="17">
        <f>E290-AC290</f>
        <v>-145</v>
      </c>
      <c r="AK290" s="20" t="e">
        <f>ROUND(AI290/E290,2)</f>
        <v>#DIV/0!</v>
      </c>
      <c r="AL290" s="21">
        <f t="shared" si="45"/>
        <v>-1.26</v>
      </c>
    </row>
    <row r="291" spans="1:38" x14ac:dyDescent="0.25">
      <c r="A291" s="27" t="s">
        <v>460</v>
      </c>
      <c r="B291" s="46" t="s">
        <v>450</v>
      </c>
      <c r="C291" s="31"/>
      <c r="D291" s="38">
        <v>0</v>
      </c>
      <c r="E291" s="50">
        <f t="shared" si="46"/>
        <v>0</v>
      </c>
      <c r="F291" s="24">
        <v>1</v>
      </c>
      <c r="G291" s="7">
        <v>47</v>
      </c>
      <c r="H291" s="7">
        <v>20</v>
      </c>
      <c r="I291" s="7">
        <v>20</v>
      </c>
      <c r="J291" s="78">
        <f t="shared" si="47"/>
        <v>18.8</v>
      </c>
      <c r="K291" s="2">
        <f t="shared" si="48"/>
        <v>3.8</v>
      </c>
      <c r="L291" s="8">
        <v>0</v>
      </c>
      <c r="M291" s="1">
        <f t="shared" si="44"/>
        <v>0</v>
      </c>
      <c r="N291" s="41">
        <v>0</v>
      </c>
      <c r="O291" s="84" t="s">
        <v>275</v>
      </c>
      <c r="P291" s="24" t="s">
        <v>562</v>
      </c>
      <c r="Q291" s="7" t="s">
        <v>557</v>
      </c>
      <c r="R291" s="7"/>
      <c r="S291" s="81">
        <v>0.09</v>
      </c>
      <c r="T291" s="7">
        <v>25</v>
      </c>
      <c r="U291" s="82"/>
      <c r="V291" s="83">
        <f>ROUNDUP(E291*S291,2)</f>
        <v>0</v>
      </c>
      <c r="W291" s="83">
        <f>ROUNDUP(E291*0.015,2)</f>
        <v>0</v>
      </c>
      <c r="X291" s="82">
        <f>MAX(MIN(SUMIFS(Логистика!$C$2:$C$38,Логистика!$A$2:$A$38,"&lt;="&amp;K291,Логистика!$B$2:$B$38,"&gt;="&amp;K291)*E291,SUMIFS(Логистика!$E$2:$E$38,Логистика!$A$2:$A$38,"&lt;="&amp;K291,Логистика!$B$2:$B$38,"&gt;="&amp;K291)),SUMIFS(Логистика!$D$2:$D$38,Логистика!$A$2:$A$38,"&lt;="&amp;K291,Логистика!$B$2:$B$38,"&gt;="&amp;K291))</f>
        <v>100</v>
      </c>
      <c r="Y291" s="83">
        <f>IF(AND(E291*0.055&gt;20,E291*0.055&lt;250),ROUNDUP(E291*0.055,2),IF(E291*0.055&lt;=20,20,250))</f>
        <v>20</v>
      </c>
      <c r="Z291" s="83">
        <f>ROUND(M291*0.05,2)</f>
        <v>0</v>
      </c>
      <c r="AA291" s="83">
        <f>IF(N291=0,0,IF(ROUND(E291*N291,2)&gt;5,ROUND(E291*N291,2),5))</f>
        <v>0</v>
      </c>
      <c r="AB291" s="83">
        <f>IF(O291="Да",ROUND(E291*0.1111,2),0)</f>
        <v>0</v>
      </c>
      <c r="AC291" s="53">
        <f>V291+W291+T291+X291+Y291+Z291+AA291+AB291</f>
        <v>145</v>
      </c>
      <c r="AD291" s="8">
        <v>0</v>
      </c>
      <c r="AE291" s="36">
        <f>ROUND(E291*AD291,2)</f>
        <v>0</v>
      </c>
      <c r="AF291" s="6">
        <v>15</v>
      </c>
      <c r="AG291" s="6">
        <v>15</v>
      </c>
      <c r="AH291" s="59">
        <f>AH282*20</f>
        <v>700</v>
      </c>
      <c r="AI291" s="57">
        <f>E291-AC291-AE291-AH291</f>
        <v>-845</v>
      </c>
      <c r="AJ291" s="17">
        <f>E291-AC291</f>
        <v>-145</v>
      </c>
      <c r="AK291" s="20" t="e">
        <f>ROUND(AI291/E291,2)</f>
        <v>#DIV/0!</v>
      </c>
      <c r="AL291" s="21">
        <f t="shared" si="45"/>
        <v>-1.21</v>
      </c>
    </row>
    <row r="292" spans="1:38" x14ac:dyDescent="0.25">
      <c r="A292" s="27"/>
      <c r="B292" s="46"/>
      <c r="C292" s="31"/>
      <c r="D292" s="38">
        <v>0</v>
      </c>
      <c r="E292" s="50">
        <f t="shared" si="46"/>
        <v>0</v>
      </c>
      <c r="F292" s="24"/>
      <c r="G292" s="7">
        <v>0</v>
      </c>
      <c r="H292" s="7">
        <v>0</v>
      </c>
      <c r="I292" s="7">
        <v>0</v>
      </c>
      <c r="J292" s="78">
        <f t="shared" si="47"/>
        <v>0</v>
      </c>
      <c r="K292" s="2">
        <f t="shared" si="48"/>
        <v>0</v>
      </c>
      <c r="L292" s="8">
        <v>0</v>
      </c>
      <c r="M292" s="1">
        <f t="shared" si="44"/>
        <v>0</v>
      </c>
      <c r="N292" s="41">
        <v>0</v>
      </c>
      <c r="O292" s="84" t="s">
        <v>275</v>
      </c>
      <c r="P292" s="24" t="s">
        <v>562</v>
      </c>
      <c r="Q292" s="7" t="s">
        <v>557</v>
      </c>
      <c r="R292" s="7"/>
      <c r="S292" s="81">
        <v>0.09</v>
      </c>
      <c r="T292" s="7">
        <v>25</v>
      </c>
      <c r="U292" s="82"/>
      <c r="V292" s="83">
        <f>ROUNDUP(E292*S292,2)</f>
        <v>0</v>
      </c>
      <c r="W292" s="83">
        <f>ROUNDUP(E292*0.015,2)</f>
        <v>0</v>
      </c>
      <c r="X292" s="82">
        <f>MAX(MIN(SUMIFS(Логистика!$C$2:$C$38,Логистика!$A$2:$A$38,"&lt;="&amp;K292,Логистика!$B$2:$B$38,"&gt;="&amp;K292)*E292,SUMIFS(Логистика!$E$2:$E$38,Логистика!$A$2:$A$38,"&lt;="&amp;K292,Логистика!$B$2:$B$38,"&gt;="&amp;K292)),SUMIFS(Логистика!$D$2:$D$38,Логистика!$A$2:$A$38,"&lt;="&amp;K292,Логистика!$B$2:$B$38,"&gt;="&amp;K292))</f>
        <v>0</v>
      </c>
      <c r="Y292" s="83">
        <f>IF(AND(E292*0.055&gt;20,E292*0.055&lt;250),ROUNDUP(E292*0.055,2),IF(E292*0.055&lt;=20,20,250))</f>
        <v>20</v>
      </c>
      <c r="Z292" s="83">
        <f>ROUND(M292*0.05,2)</f>
        <v>0</v>
      </c>
      <c r="AA292" s="83">
        <f>IF(N292=0,0,IF(ROUND(E292*N292,2)&gt;5,ROUND(E292*N292,2),5))</f>
        <v>0</v>
      </c>
      <c r="AB292" s="83">
        <f>IF(O292="Да",ROUND(E292*0.1111,2),0)</f>
        <v>0</v>
      </c>
      <c r="AC292" s="53">
        <f>V292+W292+T292+X292+Y292+Z292+AA292+AB292</f>
        <v>45</v>
      </c>
      <c r="AD292" s="8">
        <v>0</v>
      </c>
      <c r="AE292" s="36">
        <f>ROUND(E292*AD292,2)</f>
        <v>0</v>
      </c>
      <c r="AF292" s="6">
        <v>15</v>
      </c>
      <c r="AG292" s="6">
        <v>15</v>
      </c>
      <c r="AH292" s="5"/>
      <c r="AI292" s="57">
        <f>E292-AC292-AE292-AH292</f>
        <v>-45</v>
      </c>
      <c r="AJ292" s="17">
        <f>E292-AC292</f>
        <v>-45</v>
      </c>
      <c r="AK292" s="20" t="e">
        <f>ROUND(AI292/E292,2)</f>
        <v>#DIV/0!</v>
      </c>
      <c r="AL292" s="21" t="e">
        <f t="shared" si="45"/>
        <v>#DIV/0!</v>
      </c>
    </row>
    <row r="293" spans="1:38" x14ac:dyDescent="0.25">
      <c r="A293" s="27" t="s">
        <v>480</v>
      </c>
      <c r="B293" s="46" t="s">
        <v>461</v>
      </c>
      <c r="C293" s="31"/>
      <c r="D293" s="38">
        <v>0</v>
      </c>
      <c r="E293" s="50">
        <f t="shared" si="46"/>
        <v>0</v>
      </c>
      <c r="F293" s="24"/>
      <c r="G293" s="7">
        <v>0</v>
      </c>
      <c r="H293" s="7">
        <v>0</v>
      </c>
      <c r="I293" s="7">
        <v>0</v>
      </c>
      <c r="J293" s="78">
        <f t="shared" si="47"/>
        <v>0</v>
      </c>
      <c r="K293" s="2">
        <f t="shared" si="48"/>
        <v>0</v>
      </c>
      <c r="L293" s="8">
        <v>0</v>
      </c>
      <c r="M293" s="1">
        <f t="shared" si="44"/>
        <v>0</v>
      </c>
      <c r="N293" s="41">
        <v>0</v>
      </c>
      <c r="O293" s="84" t="s">
        <v>275</v>
      </c>
      <c r="P293" s="24" t="s">
        <v>562</v>
      </c>
      <c r="Q293" s="7" t="s">
        <v>557</v>
      </c>
      <c r="R293" s="7"/>
      <c r="S293" s="81">
        <v>0.09</v>
      </c>
      <c r="T293" s="7">
        <v>25</v>
      </c>
      <c r="U293" s="82"/>
      <c r="V293" s="83">
        <f>ROUNDUP(E293*S293,2)</f>
        <v>0</v>
      </c>
      <c r="W293" s="83">
        <f>ROUNDUP(E293*0.015,2)</f>
        <v>0</v>
      </c>
      <c r="X293" s="82">
        <f>MAX(MIN(SUMIFS(Логистика!$C$2:$C$38,Логистика!$A$2:$A$38,"&lt;="&amp;K293,Логистика!$B$2:$B$38,"&gt;="&amp;K293)*E293,SUMIFS(Логистика!$E$2:$E$38,Логистика!$A$2:$A$38,"&lt;="&amp;K293,Логистика!$B$2:$B$38,"&gt;="&amp;K293)),SUMIFS(Логистика!$D$2:$D$38,Логистика!$A$2:$A$38,"&lt;="&amp;K293,Логистика!$B$2:$B$38,"&gt;="&amp;K293))</f>
        <v>0</v>
      </c>
      <c r="Y293" s="83">
        <f>IF(AND(E293*0.055&gt;20,E293*0.055&lt;250),ROUNDUP(E293*0.055,2),IF(E293*0.055&lt;=20,20,250))</f>
        <v>20</v>
      </c>
      <c r="Z293" s="83">
        <f>ROUND(M293*0.05,2)</f>
        <v>0</v>
      </c>
      <c r="AA293" s="83">
        <f>IF(N293=0,0,IF(ROUND(E293*N293,2)&gt;5,ROUND(E293*N293,2),5))</f>
        <v>0</v>
      </c>
      <c r="AB293" s="83">
        <f>IF(O293="Да",ROUND(E293*0.1111,2),0)</f>
        <v>0</v>
      </c>
      <c r="AC293" s="53">
        <f>V293+W293+T293+X293+Y293+Z293+AA293+AB293</f>
        <v>45</v>
      </c>
      <c r="AD293" s="8">
        <v>0</v>
      </c>
      <c r="AE293" s="36">
        <f>ROUND(E293*AD293,2)</f>
        <v>0</v>
      </c>
      <c r="AF293" s="6">
        <v>15</v>
      </c>
      <c r="AG293" s="6">
        <v>15</v>
      </c>
      <c r="AH293" s="5">
        <v>175</v>
      </c>
      <c r="AI293" s="57">
        <f>E293-AC293-AE293-AH293</f>
        <v>-220</v>
      </c>
      <c r="AJ293" s="17">
        <f>E293-AC293</f>
        <v>-45</v>
      </c>
      <c r="AK293" s="20" t="e">
        <f>ROUND(AI293/E293,2)</f>
        <v>#DIV/0!</v>
      </c>
      <c r="AL293" s="21">
        <f t="shared" si="45"/>
        <v>-1.26</v>
      </c>
    </row>
    <row r="294" spans="1:38" x14ac:dyDescent="0.25">
      <c r="A294" s="27" t="s">
        <v>471</v>
      </c>
      <c r="B294" s="46" t="s">
        <v>462</v>
      </c>
      <c r="C294" s="31"/>
      <c r="D294" s="38">
        <v>0</v>
      </c>
      <c r="E294" s="50">
        <f t="shared" si="46"/>
        <v>0</v>
      </c>
      <c r="F294" s="24"/>
      <c r="G294" s="7">
        <v>0</v>
      </c>
      <c r="H294" s="7">
        <v>0</v>
      </c>
      <c r="I294" s="7">
        <v>0</v>
      </c>
      <c r="J294" s="78">
        <f t="shared" si="47"/>
        <v>0</v>
      </c>
      <c r="K294" s="2">
        <f t="shared" si="48"/>
        <v>0</v>
      </c>
      <c r="L294" s="8">
        <v>0</v>
      </c>
      <c r="M294" s="1">
        <f t="shared" si="44"/>
        <v>0</v>
      </c>
      <c r="N294" s="41">
        <v>0</v>
      </c>
      <c r="O294" s="84" t="s">
        <v>275</v>
      </c>
      <c r="P294" s="24" t="s">
        <v>562</v>
      </c>
      <c r="Q294" s="7" t="s">
        <v>557</v>
      </c>
      <c r="R294" s="7"/>
      <c r="S294" s="81">
        <v>0.09</v>
      </c>
      <c r="T294" s="7">
        <v>25</v>
      </c>
      <c r="U294" s="82"/>
      <c r="V294" s="83">
        <f>ROUNDUP(E294*S294,2)</f>
        <v>0</v>
      </c>
      <c r="W294" s="83">
        <f>ROUNDUP(E294*0.015,2)</f>
        <v>0</v>
      </c>
      <c r="X294" s="82">
        <f>MAX(MIN(SUMIFS(Логистика!$C$2:$C$38,Логистика!$A$2:$A$38,"&lt;="&amp;K294,Логистика!$B$2:$B$38,"&gt;="&amp;K294)*E294,SUMIFS(Логистика!$E$2:$E$38,Логистика!$A$2:$A$38,"&lt;="&amp;K294,Логистика!$B$2:$B$38,"&gt;="&amp;K294)),SUMIFS(Логистика!$D$2:$D$38,Логистика!$A$2:$A$38,"&lt;="&amp;K294,Логистика!$B$2:$B$38,"&gt;="&amp;K294))</f>
        <v>0</v>
      </c>
      <c r="Y294" s="83">
        <f>IF(AND(E294*0.055&gt;20,E294*0.055&lt;250),ROUNDUP(E294*0.055,2),IF(E294*0.055&lt;=20,20,250))</f>
        <v>20</v>
      </c>
      <c r="Z294" s="83">
        <f>ROUND(M294*0.05,2)</f>
        <v>0</v>
      </c>
      <c r="AA294" s="83">
        <f>IF(N294=0,0,IF(ROUND(E294*N294,2)&gt;5,ROUND(E294*N294,2),5))</f>
        <v>0</v>
      </c>
      <c r="AB294" s="83">
        <f>IF(O294="Да",ROUND(E294*0.1111,2),0)</f>
        <v>0</v>
      </c>
      <c r="AC294" s="53">
        <f>V294+W294+T294+X294+Y294+Z294+AA294+AB294</f>
        <v>45</v>
      </c>
      <c r="AD294" s="8">
        <v>0</v>
      </c>
      <c r="AE294" s="36">
        <f>ROUND(E294*AD294,2)</f>
        <v>0</v>
      </c>
      <c r="AF294" s="6">
        <v>15</v>
      </c>
      <c r="AG294" s="6">
        <v>15</v>
      </c>
      <c r="AH294" s="59">
        <f>AH293*2</f>
        <v>350</v>
      </c>
      <c r="AI294" s="57">
        <f>E294-AC294-AE294-AH294</f>
        <v>-395</v>
      </c>
      <c r="AJ294" s="17">
        <f>E294-AC294</f>
        <v>-45</v>
      </c>
      <c r="AK294" s="20" t="e">
        <f>ROUND(AI294/E294,2)</f>
        <v>#DIV/0!</v>
      </c>
      <c r="AL294" s="21">
        <f t="shared" si="45"/>
        <v>-1.1299999999999999</v>
      </c>
    </row>
    <row r="295" spans="1:38" x14ac:dyDescent="0.25">
      <c r="A295" s="27" t="s">
        <v>472</v>
      </c>
      <c r="B295" s="46" t="s">
        <v>463</v>
      </c>
      <c r="C295" s="31"/>
      <c r="D295" s="38">
        <v>0</v>
      </c>
      <c r="E295" s="50">
        <f t="shared" si="46"/>
        <v>0</v>
      </c>
      <c r="F295" s="24"/>
      <c r="G295" s="7">
        <v>0</v>
      </c>
      <c r="H295" s="7">
        <v>0</v>
      </c>
      <c r="I295" s="7">
        <v>0</v>
      </c>
      <c r="J295" s="78">
        <f t="shared" si="47"/>
        <v>0</v>
      </c>
      <c r="K295" s="2">
        <f t="shared" si="48"/>
        <v>0</v>
      </c>
      <c r="L295" s="8">
        <v>0</v>
      </c>
      <c r="M295" s="1">
        <f t="shared" si="44"/>
        <v>0</v>
      </c>
      <c r="N295" s="41">
        <v>0</v>
      </c>
      <c r="O295" s="84" t="s">
        <v>275</v>
      </c>
      <c r="P295" s="24" t="s">
        <v>562</v>
      </c>
      <c r="Q295" s="7" t="s">
        <v>557</v>
      </c>
      <c r="R295" s="7"/>
      <c r="S295" s="81">
        <v>0.09</v>
      </c>
      <c r="T295" s="7">
        <v>25</v>
      </c>
      <c r="U295" s="82"/>
      <c r="V295" s="83">
        <f>ROUNDUP(E295*S295,2)</f>
        <v>0</v>
      </c>
      <c r="W295" s="83">
        <f>ROUNDUP(E295*0.015,2)</f>
        <v>0</v>
      </c>
      <c r="X295" s="82">
        <f>MAX(MIN(SUMIFS(Логистика!$C$2:$C$38,Логистика!$A$2:$A$38,"&lt;="&amp;K295,Логистика!$B$2:$B$38,"&gt;="&amp;K295)*E295,SUMIFS(Логистика!$E$2:$E$38,Логистика!$A$2:$A$38,"&lt;="&amp;K295,Логистика!$B$2:$B$38,"&gt;="&amp;K295)),SUMIFS(Логистика!$D$2:$D$38,Логистика!$A$2:$A$38,"&lt;="&amp;K295,Логистика!$B$2:$B$38,"&gt;="&amp;K295))</f>
        <v>0</v>
      </c>
      <c r="Y295" s="83">
        <f>IF(AND(E295*0.055&gt;20,E295*0.055&lt;250),ROUNDUP(E295*0.055,2),IF(E295*0.055&lt;=20,20,250))</f>
        <v>20</v>
      </c>
      <c r="Z295" s="83">
        <f>ROUND(M295*0.05,2)</f>
        <v>0</v>
      </c>
      <c r="AA295" s="83">
        <f>IF(N295=0,0,IF(ROUND(E295*N295,2)&gt;5,ROUND(E295*N295,2),5))</f>
        <v>0</v>
      </c>
      <c r="AB295" s="83">
        <f>IF(O295="Да",ROUND(E295*0.1111,2),0)</f>
        <v>0</v>
      </c>
      <c r="AC295" s="53">
        <f>V295+W295+T295+X295+Y295+Z295+AA295+AB295</f>
        <v>45</v>
      </c>
      <c r="AD295" s="8">
        <v>0</v>
      </c>
      <c r="AE295" s="36">
        <f>ROUND(E295*AD295,2)</f>
        <v>0</v>
      </c>
      <c r="AF295" s="6">
        <v>15</v>
      </c>
      <c r="AG295" s="6">
        <v>15</v>
      </c>
      <c r="AH295" s="59">
        <f>AH293*3</f>
        <v>525</v>
      </c>
      <c r="AI295" s="57">
        <f>E295-AC295-AE295-AH295</f>
        <v>-570</v>
      </c>
      <c r="AJ295" s="17">
        <f>E295-AC295</f>
        <v>-45</v>
      </c>
      <c r="AK295" s="20" t="e">
        <f>ROUND(AI295/E295,2)</f>
        <v>#DIV/0!</v>
      </c>
      <c r="AL295" s="21">
        <f t="shared" si="45"/>
        <v>-1.0900000000000001</v>
      </c>
    </row>
    <row r="296" spans="1:38" x14ac:dyDescent="0.25">
      <c r="A296" s="27" t="s">
        <v>473</v>
      </c>
      <c r="B296" s="46" t="s">
        <v>464</v>
      </c>
      <c r="C296" s="31"/>
      <c r="D296" s="38">
        <v>0</v>
      </c>
      <c r="E296" s="50">
        <f t="shared" si="46"/>
        <v>0</v>
      </c>
      <c r="F296" s="24"/>
      <c r="G296" s="7">
        <v>0</v>
      </c>
      <c r="H296" s="7">
        <v>0</v>
      </c>
      <c r="I296" s="7">
        <v>0</v>
      </c>
      <c r="J296" s="78">
        <f t="shared" si="47"/>
        <v>0</v>
      </c>
      <c r="K296" s="2">
        <f t="shared" si="48"/>
        <v>0</v>
      </c>
      <c r="L296" s="8">
        <v>0</v>
      </c>
      <c r="M296" s="1">
        <f t="shared" si="44"/>
        <v>0</v>
      </c>
      <c r="N296" s="41">
        <v>0</v>
      </c>
      <c r="O296" s="84" t="s">
        <v>275</v>
      </c>
      <c r="P296" s="24" t="s">
        <v>562</v>
      </c>
      <c r="Q296" s="7" t="s">
        <v>557</v>
      </c>
      <c r="R296" s="7"/>
      <c r="S296" s="81">
        <v>0.09</v>
      </c>
      <c r="T296" s="7">
        <v>25</v>
      </c>
      <c r="U296" s="82"/>
      <c r="V296" s="83">
        <f>ROUNDUP(E296*S296,2)</f>
        <v>0</v>
      </c>
      <c r="W296" s="83">
        <f>ROUNDUP(E296*0.015,2)</f>
        <v>0</v>
      </c>
      <c r="X296" s="82">
        <f>MAX(MIN(SUMIFS(Логистика!$C$2:$C$38,Логистика!$A$2:$A$38,"&lt;="&amp;K296,Логистика!$B$2:$B$38,"&gt;="&amp;K296)*E296,SUMIFS(Логистика!$E$2:$E$38,Логистика!$A$2:$A$38,"&lt;="&amp;K296,Логистика!$B$2:$B$38,"&gt;="&amp;K296)),SUMIFS(Логистика!$D$2:$D$38,Логистика!$A$2:$A$38,"&lt;="&amp;K296,Логистика!$B$2:$B$38,"&gt;="&amp;K296))</f>
        <v>0</v>
      </c>
      <c r="Y296" s="83">
        <f>IF(AND(E296*0.055&gt;20,E296*0.055&lt;250),ROUNDUP(E296*0.055,2),IF(E296*0.055&lt;=20,20,250))</f>
        <v>20</v>
      </c>
      <c r="Z296" s="83">
        <f>ROUND(M296*0.05,2)</f>
        <v>0</v>
      </c>
      <c r="AA296" s="83">
        <f>IF(N296=0,0,IF(ROUND(E296*N296,2)&gt;5,ROUND(E296*N296,2),5))</f>
        <v>0</v>
      </c>
      <c r="AB296" s="83">
        <f>IF(O296="Да",ROUND(E296*0.1111,2),0)</f>
        <v>0</v>
      </c>
      <c r="AC296" s="53">
        <f>V296+W296+T296+X296+Y296+Z296+AA296+AB296</f>
        <v>45</v>
      </c>
      <c r="AD296" s="8">
        <v>0</v>
      </c>
      <c r="AE296" s="36">
        <f>ROUND(E296*AD296,2)</f>
        <v>0</v>
      </c>
      <c r="AF296" s="6">
        <v>15</v>
      </c>
      <c r="AG296" s="6">
        <v>15</v>
      </c>
      <c r="AH296" s="59">
        <f>AH293*4</f>
        <v>700</v>
      </c>
      <c r="AI296" s="57">
        <f>E296-AC296-AE296-AH296</f>
        <v>-745</v>
      </c>
      <c r="AJ296" s="17">
        <f>E296-AC296</f>
        <v>-45</v>
      </c>
      <c r="AK296" s="20" t="e">
        <f>ROUND(AI296/E296,2)</f>
        <v>#DIV/0!</v>
      </c>
      <c r="AL296" s="21">
        <f t="shared" si="45"/>
        <v>-1.06</v>
      </c>
    </row>
    <row r="297" spans="1:38" x14ac:dyDescent="0.25">
      <c r="A297" s="27" t="s">
        <v>474</v>
      </c>
      <c r="B297" s="46" t="s">
        <v>465</v>
      </c>
      <c r="C297" s="31"/>
      <c r="D297" s="38">
        <v>0</v>
      </c>
      <c r="E297" s="50">
        <f t="shared" si="46"/>
        <v>0</v>
      </c>
      <c r="F297" s="24"/>
      <c r="G297" s="7">
        <v>0</v>
      </c>
      <c r="H297" s="7">
        <v>0</v>
      </c>
      <c r="I297" s="7">
        <v>0</v>
      </c>
      <c r="J297" s="78">
        <f t="shared" si="47"/>
        <v>0</v>
      </c>
      <c r="K297" s="2">
        <f t="shared" si="48"/>
        <v>0</v>
      </c>
      <c r="L297" s="8">
        <v>0</v>
      </c>
      <c r="M297" s="1">
        <f t="shared" si="44"/>
        <v>0</v>
      </c>
      <c r="N297" s="41">
        <v>0</v>
      </c>
      <c r="O297" s="84" t="s">
        <v>275</v>
      </c>
      <c r="P297" s="24" t="s">
        <v>562</v>
      </c>
      <c r="Q297" s="7" t="s">
        <v>557</v>
      </c>
      <c r="R297" s="7"/>
      <c r="S297" s="81">
        <v>0.09</v>
      </c>
      <c r="T297" s="7">
        <v>25</v>
      </c>
      <c r="U297" s="82"/>
      <c r="V297" s="83">
        <f>ROUNDUP(E297*S297,2)</f>
        <v>0</v>
      </c>
      <c r="W297" s="83">
        <f>ROUNDUP(E297*0.015,2)</f>
        <v>0</v>
      </c>
      <c r="X297" s="82">
        <f>MAX(MIN(SUMIFS(Логистика!$C$2:$C$38,Логистика!$A$2:$A$38,"&lt;="&amp;K297,Логистика!$B$2:$B$38,"&gt;="&amp;K297)*E297,SUMIFS(Логистика!$E$2:$E$38,Логистика!$A$2:$A$38,"&lt;="&amp;K297,Логистика!$B$2:$B$38,"&gt;="&amp;K297)),SUMIFS(Логистика!$D$2:$D$38,Логистика!$A$2:$A$38,"&lt;="&amp;K297,Логистика!$B$2:$B$38,"&gt;="&amp;K297))</f>
        <v>0</v>
      </c>
      <c r="Y297" s="83">
        <f>IF(AND(E297*0.055&gt;20,E297*0.055&lt;250),ROUNDUP(E297*0.055,2),IF(E297*0.055&lt;=20,20,250))</f>
        <v>20</v>
      </c>
      <c r="Z297" s="83">
        <f>ROUND(M297*0.05,2)</f>
        <v>0</v>
      </c>
      <c r="AA297" s="83">
        <f>IF(N297=0,0,IF(ROUND(E297*N297,2)&gt;5,ROUND(E297*N297,2),5))</f>
        <v>0</v>
      </c>
      <c r="AB297" s="83">
        <f>IF(O297="Да",ROUND(E297*0.1111,2),0)</f>
        <v>0</v>
      </c>
      <c r="AC297" s="53">
        <f>V297+W297+T297+X297+Y297+Z297+AA297+AB297</f>
        <v>45</v>
      </c>
      <c r="AD297" s="8">
        <v>0</v>
      </c>
      <c r="AE297" s="36">
        <f>ROUND(E297*AD297,2)</f>
        <v>0</v>
      </c>
      <c r="AF297" s="6">
        <v>15</v>
      </c>
      <c r="AG297" s="6">
        <v>15</v>
      </c>
      <c r="AH297" s="59">
        <f>AH293*5</f>
        <v>875</v>
      </c>
      <c r="AI297" s="57">
        <f>E297-AC297-AE297-AH297</f>
        <v>-920</v>
      </c>
      <c r="AJ297" s="17">
        <f>E297-AC297</f>
        <v>-45</v>
      </c>
      <c r="AK297" s="20" t="e">
        <f>ROUND(AI297/E297,2)</f>
        <v>#DIV/0!</v>
      </c>
      <c r="AL297" s="21">
        <f t="shared" si="45"/>
        <v>-1.05</v>
      </c>
    </row>
    <row r="298" spans="1:38" x14ac:dyDescent="0.25">
      <c r="A298" s="27" t="s">
        <v>475</v>
      </c>
      <c r="B298" s="46" t="s">
        <v>466</v>
      </c>
      <c r="C298" s="31"/>
      <c r="D298" s="38">
        <v>0</v>
      </c>
      <c r="E298" s="50">
        <f t="shared" si="46"/>
        <v>0</v>
      </c>
      <c r="F298" s="24"/>
      <c r="G298" s="7">
        <v>0</v>
      </c>
      <c r="H298" s="7">
        <v>0</v>
      </c>
      <c r="I298" s="7">
        <v>0</v>
      </c>
      <c r="J298" s="78">
        <f t="shared" si="47"/>
        <v>0</v>
      </c>
      <c r="K298" s="2">
        <f t="shared" si="48"/>
        <v>0</v>
      </c>
      <c r="L298" s="8">
        <v>0</v>
      </c>
      <c r="M298" s="1">
        <f t="shared" si="44"/>
        <v>0</v>
      </c>
      <c r="N298" s="41">
        <v>0</v>
      </c>
      <c r="O298" s="84" t="s">
        <v>275</v>
      </c>
      <c r="P298" s="24" t="s">
        <v>562</v>
      </c>
      <c r="Q298" s="7" t="s">
        <v>557</v>
      </c>
      <c r="R298" s="7"/>
      <c r="S298" s="81">
        <v>0.09</v>
      </c>
      <c r="T298" s="7">
        <v>25</v>
      </c>
      <c r="U298" s="82"/>
      <c r="V298" s="83">
        <f>ROUNDUP(E298*S298,2)</f>
        <v>0</v>
      </c>
      <c r="W298" s="83">
        <f>ROUNDUP(E298*0.015,2)</f>
        <v>0</v>
      </c>
      <c r="X298" s="82">
        <f>MAX(MIN(SUMIFS(Логистика!$C$2:$C$38,Логистика!$A$2:$A$38,"&lt;="&amp;K298,Логистика!$B$2:$B$38,"&gt;="&amp;K298)*E298,SUMIFS(Логистика!$E$2:$E$38,Логистика!$A$2:$A$38,"&lt;="&amp;K298,Логистика!$B$2:$B$38,"&gt;="&amp;K298)),SUMIFS(Логистика!$D$2:$D$38,Логистика!$A$2:$A$38,"&lt;="&amp;K298,Логистика!$B$2:$B$38,"&gt;="&amp;K298))</f>
        <v>0</v>
      </c>
      <c r="Y298" s="83">
        <f>IF(AND(E298*0.055&gt;20,E298*0.055&lt;250),ROUNDUP(E298*0.055,2),IF(E298*0.055&lt;=20,20,250))</f>
        <v>20</v>
      </c>
      <c r="Z298" s="83">
        <f>ROUND(M298*0.05,2)</f>
        <v>0</v>
      </c>
      <c r="AA298" s="83">
        <f>IF(N298=0,0,IF(ROUND(E298*N298,2)&gt;5,ROUND(E298*N298,2),5))</f>
        <v>0</v>
      </c>
      <c r="AB298" s="83">
        <f>IF(O298="Да",ROUND(E298*0.1111,2),0)</f>
        <v>0</v>
      </c>
      <c r="AC298" s="53">
        <f>V298+W298+T298+X298+Y298+Z298+AA298+AB298</f>
        <v>45</v>
      </c>
      <c r="AD298" s="8">
        <v>0</v>
      </c>
      <c r="AE298" s="36">
        <f>ROUND(E298*AD298,2)</f>
        <v>0</v>
      </c>
      <c r="AF298" s="6">
        <v>15</v>
      </c>
      <c r="AG298" s="6">
        <v>15</v>
      </c>
      <c r="AH298" s="59">
        <f>AH293*6</f>
        <v>1050</v>
      </c>
      <c r="AI298" s="57">
        <f>E298-AC298-AE298-AH298</f>
        <v>-1095</v>
      </c>
      <c r="AJ298" s="17">
        <f>E298-AC298</f>
        <v>-45</v>
      </c>
      <c r="AK298" s="20" t="e">
        <f>ROUND(AI298/E298,2)</f>
        <v>#DIV/0!</v>
      </c>
      <c r="AL298" s="21">
        <f t="shared" si="45"/>
        <v>-1.04</v>
      </c>
    </row>
    <row r="299" spans="1:38" x14ac:dyDescent="0.25">
      <c r="A299" s="27" t="s">
        <v>476</v>
      </c>
      <c r="B299" s="46" t="s">
        <v>467</v>
      </c>
      <c r="C299" s="31"/>
      <c r="D299" s="38">
        <v>0</v>
      </c>
      <c r="E299" s="50">
        <f t="shared" si="29"/>
        <v>0</v>
      </c>
      <c r="F299" s="24"/>
      <c r="G299" s="7">
        <v>0</v>
      </c>
      <c r="H299" s="7">
        <v>0</v>
      </c>
      <c r="I299" s="7">
        <v>0</v>
      </c>
      <c r="J299" s="78">
        <f t="shared" si="47"/>
        <v>0</v>
      </c>
      <c r="K299" s="2">
        <f t="shared" si="48"/>
        <v>0</v>
      </c>
      <c r="L299" s="8">
        <v>0</v>
      </c>
      <c r="M299" s="1">
        <f t="shared" si="28"/>
        <v>0</v>
      </c>
      <c r="N299" s="41">
        <v>0</v>
      </c>
      <c r="O299" s="84" t="s">
        <v>275</v>
      </c>
      <c r="P299" s="24" t="s">
        <v>562</v>
      </c>
      <c r="Q299" s="7" t="s">
        <v>557</v>
      </c>
      <c r="R299" s="7"/>
      <c r="S299" s="81">
        <v>0.09</v>
      </c>
      <c r="T299" s="7">
        <v>25</v>
      </c>
      <c r="U299" s="82"/>
      <c r="V299" s="83">
        <f>ROUNDUP(E299*S299,2)</f>
        <v>0</v>
      </c>
      <c r="W299" s="83">
        <f>ROUNDUP(E299*0.015,2)</f>
        <v>0</v>
      </c>
      <c r="X299" s="82">
        <f>MAX(MIN(SUMIFS(Логистика!$C$2:$C$38,Логистика!$A$2:$A$38,"&lt;="&amp;K299,Логистика!$B$2:$B$38,"&gt;="&amp;K299)*E299,SUMIFS(Логистика!$E$2:$E$38,Логистика!$A$2:$A$38,"&lt;="&amp;K299,Логистика!$B$2:$B$38,"&gt;="&amp;K299)),SUMIFS(Логистика!$D$2:$D$38,Логистика!$A$2:$A$38,"&lt;="&amp;K299,Логистика!$B$2:$B$38,"&gt;="&amp;K299))</f>
        <v>0</v>
      </c>
      <c r="Y299" s="83">
        <f>IF(AND(E299*0.055&gt;20,E299*0.055&lt;250),ROUNDUP(E299*0.055,2),IF(E299*0.055&lt;=20,20,250))</f>
        <v>20</v>
      </c>
      <c r="Z299" s="83">
        <f>ROUND(M299*0.05,2)</f>
        <v>0</v>
      </c>
      <c r="AA299" s="83">
        <f>IF(N299=0,0,IF(ROUND(E299*N299,2)&gt;5,ROUND(E299*N299,2),5))</f>
        <v>0</v>
      </c>
      <c r="AB299" s="83">
        <f>IF(O299="Да",ROUND(E299*0.1111,2),0)</f>
        <v>0</v>
      </c>
      <c r="AC299" s="53">
        <f>V299+W299+T299+X299+Y299+Z299+AA299+AB299</f>
        <v>45</v>
      </c>
      <c r="AD299" s="8">
        <v>0</v>
      </c>
      <c r="AE299" s="36">
        <f>ROUND(E299*AD299,2)</f>
        <v>0</v>
      </c>
      <c r="AF299" s="6">
        <v>15</v>
      </c>
      <c r="AG299" s="6">
        <v>15</v>
      </c>
      <c r="AH299" s="59">
        <f>AH293*8</f>
        <v>1400</v>
      </c>
      <c r="AI299" s="57">
        <f>E299-AC299-AE299-AH299</f>
        <v>-1445</v>
      </c>
      <c r="AJ299" s="17">
        <f>E299-AC299</f>
        <v>-45</v>
      </c>
      <c r="AK299" s="20" t="e">
        <f>ROUND(AI299/E299,2)</f>
        <v>#DIV/0!</v>
      </c>
      <c r="AL299" s="21">
        <f t="shared" si="43"/>
        <v>-1.03</v>
      </c>
    </row>
    <row r="300" spans="1:38" x14ac:dyDescent="0.25">
      <c r="A300" s="27" t="s">
        <v>477</v>
      </c>
      <c r="B300" s="46" t="s">
        <v>468</v>
      </c>
      <c r="C300" s="31"/>
      <c r="D300" s="38">
        <v>0</v>
      </c>
      <c r="E300" s="50">
        <f t="shared" si="29"/>
        <v>0</v>
      </c>
      <c r="F300" s="24"/>
      <c r="G300" s="7">
        <v>0</v>
      </c>
      <c r="H300" s="7">
        <v>0</v>
      </c>
      <c r="I300" s="7">
        <v>0</v>
      </c>
      <c r="J300" s="78">
        <f t="shared" si="47"/>
        <v>0</v>
      </c>
      <c r="K300" s="2">
        <f t="shared" si="48"/>
        <v>0</v>
      </c>
      <c r="L300" s="8">
        <v>0</v>
      </c>
      <c r="M300" s="1">
        <f t="shared" si="28"/>
        <v>0</v>
      </c>
      <c r="N300" s="41">
        <v>0</v>
      </c>
      <c r="O300" s="84" t="s">
        <v>275</v>
      </c>
      <c r="P300" s="24" t="s">
        <v>562</v>
      </c>
      <c r="Q300" s="7" t="s">
        <v>557</v>
      </c>
      <c r="R300" s="7"/>
      <c r="S300" s="81">
        <v>0.09</v>
      </c>
      <c r="T300" s="7">
        <v>25</v>
      </c>
      <c r="U300" s="82"/>
      <c r="V300" s="83">
        <f>ROUNDUP(E300*S300,2)</f>
        <v>0</v>
      </c>
      <c r="W300" s="83">
        <f>ROUNDUP(E300*0.015,2)</f>
        <v>0</v>
      </c>
      <c r="X300" s="82">
        <f>MAX(MIN(SUMIFS(Логистика!$C$2:$C$38,Логистика!$A$2:$A$38,"&lt;="&amp;K300,Логистика!$B$2:$B$38,"&gt;="&amp;K300)*E300,SUMIFS(Логистика!$E$2:$E$38,Логистика!$A$2:$A$38,"&lt;="&amp;K300,Логистика!$B$2:$B$38,"&gt;="&amp;K300)),SUMIFS(Логистика!$D$2:$D$38,Логистика!$A$2:$A$38,"&lt;="&amp;K300,Логистика!$B$2:$B$38,"&gt;="&amp;K300))</f>
        <v>0</v>
      </c>
      <c r="Y300" s="83">
        <f>IF(AND(E300*0.055&gt;20,E300*0.055&lt;250),ROUNDUP(E300*0.055,2),IF(E300*0.055&lt;=20,20,250))</f>
        <v>20</v>
      </c>
      <c r="Z300" s="83">
        <f>ROUND(M300*0.05,2)</f>
        <v>0</v>
      </c>
      <c r="AA300" s="83">
        <f>IF(N300=0,0,IF(ROUND(E300*N300,2)&gt;5,ROUND(E300*N300,2),5))</f>
        <v>0</v>
      </c>
      <c r="AB300" s="83">
        <f>IF(O300="Да",ROUND(E300*0.1111,2),0)</f>
        <v>0</v>
      </c>
      <c r="AC300" s="53">
        <f>V300+W300+T300+X300+Y300+Z300+AA300+AB300</f>
        <v>45</v>
      </c>
      <c r="AD300" s="8">
        <v>0</v>
      </c>
      <c r="AE300" s="36">
        <f>ROUND(E300*AD300,2)</f>
        <v>0</v>
      </c>
      <c r="AF300" s="6">
        <v>15</v>
      </c>
      <c r="AG300" s="6">
        <v>15</v>
      </c>
      <c r="AH300" s="59">
        <f>AH293*10</f>
        <v>1750</v>
      </c>
      <c r="AI300" s="57">
        <f>E300-AC300-AE300-AH300</f>
        <v>-1795</v>
      </c>
      <c r="AJ300" s="17">
        <f>E300-AC300</f>
        <v>-45</v>
      </c>
      <c r="AK300" s="20" t="e">
        <f>ROUND(AI300/E300,2)</f>
        <v>#DIV/0!</v>
      </c>
      <c r="AL300" s="21">
        <f t="shared" si="43"/>
        <v>-1.03</v>
      </c>
    </row>
    <row r="301" spans="1:38" x14ac:dyDescent="0.25">
      <c r="A301" s="27" t="s">
        <v>478</v>
      </c>
      <c r="B301" s="46" t="s">
        <v>469</v>
      </c>
      <c r="C301" s="31"/>
      <c r="D301" s="38">
        <v>0</v>
      </c>
      <c r="E301" s="50">
        <f t="shared" si="29"/>
        <v>0</v>
      </c>
      <c r="F301" s="24"/>
      <c r="G301" s="7">
        <v>0</v>
      </c>
      <c r="H301" s="7">
        <v>0</v>
      </c>
      <c r="I301" s="7">
        <v>0</v>
      </c>
      <c r="J301" s="78">
        <f t="shared" si="47"/>
        <v>0</v>
      </c>
      <c r="K301" s="2">
        <f t="shared" si="48"/>
        <v>0</v>
      </c>
      <c r="L301" s="8">
        <v>0</v>
      </c>
      <c r="M301" s="1">
        <f t="shared" si="28"/>
        <v>0</v>
      </c>
      <c r="N301" s="41">
        <v>0</v>
      </c>
      <c r="O301" s="84" t="s">
        <v>275</v>
      </c>
      <c r="P301" s="24" t="s">
        <v>562</v>
      </c>
      <c r="Q301" s="7" t="s">
        <v>557</v>
      </c>
      <c r="R301" s="7"/>
      <c r="S301" s="81">
        <v>0.09</v>
      </c>
      <c r="T301" s="7">
        <v>25</v>
      </c>
      <c r="U301" s="82"/>
      <c r="V301" s="83">
        <f>ROUNDUP(E301*S301,2)</f>
        <v>0</v>
      </c>
      <c r="W301" s="83">
        <f>ROUNDUP(E301*0.015,2)</f>
        <v>0</v>
      </c>
      <c r="X301" s="82">
        <f>MAX(MIN(SUMIFS(Логистика!$C$2:$C$38,Логистика!$A$2:$A$38,"&lt;="&amp;K301,Логистика!$B$2:$B$38,"&gt;="&amp;K301)*E301,SUMIFS(Логистика!$E$2:$E$38,Логистика!$A$2:$A$38,"&lt;="&amp;K301,Логистика!$B$2:$B$38,"&gt;="&amp;K301)),SUMIFS(Логистика!$D$2:$D$38,Логистика!$A$2:$A$38,"&lt;="&amp;K301,Логистика!$B$2:$B$38,"&gt;="&amp;K301))</f>
        <v>0</v>
      </c>
      <c r="Y301" s="83">
        <f>IF(AND(E301*0.055&gt;20,E301*0.055&lt;250),ROUNDUP(E301*0.055,2),IF(E301*0.055&lt;=20,20,250))</f>
        <v>20</v>
      </c>
      <c r="Z301" s="83">
        <f>ROUND(M301*0.05,2)</f>
        <v>0</v>
      </c>
      <c r="AA301" s="83">
        <f>IF(N301=0,0,IF(ROUND(E301*N301,2)&gt;5,ROUND(E301*N301,2),5))</f>
        <v>0</v>
      </c>
      <c r="AB301" s="83">
        <f>IF(O301="Да",ROUND(E301*0.1111,2),0)</f>
        <v>0</v>
      </c>
      <c r="AC301" s="53">
        <f>V301+W301+T301+X301+Y301+Z301+AA301+AB301</f>
        <v>45</v>
      </c>
      <c r="AD301" s="8">
        <v>0</v>
      </c>
      <c r="AE301" s="36">
        <f>ROUND(E301*AD301,2)</f>
        <v>0</v>
      </c>
      <c r="AF301" s="6">
        <v>15</v>
      </c>
      <c r="AG301" s="6">
        <v>15</v>
      </c>
      <c r="AH301" s="59">
        <f>AH293*16</f>
        <v>2800</v>
      </c>
      <c r="AI301" s="57">
        <f>E301-AC301-AE301-AH301</f>
        <v>-2845</v>
      </c>
      <c r="AJ301" s="17">
        <f>E301-AC301</f>
        <v>-45</v>
      </c>
      <c r="AK301" s="20" t="e">
        <f>ROUND(AI301/E301,2)</f>
        <v>#DIV/0!</v>
      </c>
      <c r="AL301" s="21">
        <f t="shared" si="42"/>
        <v>-1.02</v>
      </c>
    </row>
    <row r="302" spans="1:38" x14ac:dyDescent="0.25">
      <c r="A302" s="27" t="s">
        <v>479</v>
      </c>
      <c r="B302" s="46" t="s">
        <v>470</v>
      </c>
      <c r="C302" s="31"/>
      <c r="D302" s="38">
        <v>0</v>
      </c>
      <c r="E302" s="50">
        <f t="shared" si="29"/>
        <v>0</v>
      </c>
      <c r="F302" s="24"/>
      <c r="G302" s="7">
        <v>0</v>
      </c>
      <c r="H302" s="7">
        <v>0</v>
      </c>
      <c r="I302" s="7">
        <v>0</v>
      </c>
      <c r="J302" s="78">
        <f t="shared" si="47"/>
        <v>0</v>
      </c>
      <c r="K302" s="2">
        <f t="shared" si="48"/>
        <v>0</v>
      </c>
      <c r="L302" s="8">
        <v>0</v>
      </c>
      <c r="M302" s="1">
        <f t="shared" si="28"/>
        <v>0</v>
      </c>
      <c r="N302" s="41">
        <v>0</v>
      </c>
      <c r="O302" s="84" t="s">
        <v>275</v>
      </c>
      <c r="P302" s="24" t="s">
        <v>562</v>
      </c>
      <c r="Q302" s="7" t="s">
        <v>557</v>
      </c>
      <c r="R302" s="7"/>
      <c r="S302" s="81">
        <v>0.09</v>
      </c>
      <c r="T302" s="7">
        <v>25</v>
      </c>
      <c r="U302" s="82"/>
      <c r="V302" s="83">
        <f>ROUNDUP(E302*S302,2)</f>
        <v>0</v>
      </c>
      <c r="W302" s="83">
        <f>ROUNDUP(E302*0.015,2)</f>
        <v>0</v>
      </c>
      <c r="X302" s="82">
        <f>MAX(MIN(SUMIFS(Логистика!$C$2:$C$38,Логистика!$A$2:$A$38,"&lt;="&amp;K302,Логистика!$B$2:$B$38,"&gt;="&amp;K302)*E302,SUMIFS(Логистика!$E$2:$E$38,Логистика!$A$2:$A$38,"&lt;="&amp;K302,Логистика!$B$2:$B$38,"&gt;="&amp;K302)),SUMIFS(Логистика!$D$2:$D$38,Логистика!$A$2:$A$38,"&lt;="&amp;K302,Логистика!$B$2:$B$38,"&gt;="&amp;K302))</f>
        <v>0</v>
      </c>
      <c r="Y302" s="83">
        <f>IF(AND(E302*0.055&gt;20,E302*0.055&lt;250),ROUNDUP(E302*0.055,2),IF(E302*0.055&lt;=20,20,250))</f>
        <v>20</v>
      </c>
      <c r="Z302" s="83">
        <f>ROUND(M302*0.05,2)</f>
        <v>0</v>
      </c>
      <c r="AA302" s="83">
        <f>IF(N302=0,0,IF(ROUND(E302*N302,2)&gt;5,ROUND(E302*N302,2),5))</f>
        <v>0</v>
      </c>
      <c r="AB302" s="83">
        <f>IF(O302="Да",ROUND(E302*0.1111,2),0)</f>
        <v>0</v>
      </c>
      <c r="AC302" s="53">
        <f>V302+W302+T302+X302+Y302+Z302+AA302+AB302</f>
        <v>45</v>
      </c>
      <c r="AD302" s="8">
        <v>0</v>
      </c>
      <c r="AE302" s="36">
        <f>ROUND(E302*AD302,2)</f>
        <v>0</v>
      </c>
      <c r="AF302" s="6">
        <v>15</v>
      </c>
      <c r="AG302" s="6">
        <v>15</v>
      </c>
      <c r="AH302" s="59">
        <f>AH293*20</f>
        <v>3500</v>
      </c>
      <c r="AI302" s="57">
        <f>E302-AC302-AE302-AH302</f>
        <v>-3545</v>
      </c>
      <c r="AJ302" s="17">
        <f>E302-AC302</f>
        <v>-45</v>
      </c>
      <c r="AK302" s="20" t="e">
        <f>ROUND(AI302/E302,2)</f>
        <v>#DIV/0!</v>
      </c>
      <c r="AL302" s="21">
        <f t="shared" si="39"/>
        <v>-1.01</v>
      </c>
    </row>
    <row r="303" spans="1:38" x14ac:dyDescent="0.25">
      <c r="A303" s="27"/>
      <c r="B303" s="46"/>
      <c r="C303" s="31"/>
      <c r="D303" s="38">
        <v>0</v>
      </c>
      <c r="E303" s="50">
        <f t="shared" si="29"/>
        <v>0</v>
      </c>
      <c r="F303" s="24"/>
      <c r="G303" s="7">
        <v>0</v>
      </c>
      <c r="H303" s="7">
        <v>0</v>
      </c>
      <c r="I303" s="7">
        <v>0</v>
      </c>
      <c r="J303" s="78">
        <f t="shared" si="47"/>
        <v>0</v>
      </c>
      <c r="K303" s="2">
        <f t="shared" si="48"/>
        <v>0</v>
      </c>
      <c r="L303" s="8">
        <v>0</v>
      </c>
      <c r="M303" s="1">
        <f t="shared" si="28"/>
        <v>0</v>
      </c>
      <c r="N303" s="41">
        <v>0</v>
      </c>
      <c r="O303" s="84" t="s">
        <v>275</v>
      </c>
      <c r="P303" s="24" t="s">
        <v>562</v>
      </c>
      <c r="Q303" s="7" t="s">
        <v>557</v>
      </c>
      <c r="R303" s="7"/>
      <c r="S303" s="81">
        <v>0.09</v>
      </c>
      <c r="T303" s="7">
        <v>25</v>
      </c>
      <c r="U303" s="82"/>
      <c r="V303" s="83">
        <f>ROUNDUP(E303*S303,2)</f>
        <v>0</v>
      </c>
      <c r="W303" s="83">
        <f>ROUNDUP(E303*0.015,2)</f>
        <v>0</v>
      </c>
      <c r="X303" s="82">
        <f>MAX(MIN(SUMIFS(Логистика!$C$2:$C$38,Логистика!$A$2:$A$38,"&lt;="&amp;K303,Логистика!$B$2:$B$38,"&gt;="&amp;K303)*E303,SUMIFS(Логистика!$E$2:$E$38,Логистика!$A$2:$A$38,"&lt;="&amp;K303,Логистика!$B$2:$B$38,"&gt;="&amp;K303)),SUMIFS(Логистика!$D$2:$D$38,Логистика!$A$2:$A$38,"&lt;="&amp;K303,Логистика!$B$2:$B$38,"&gt;="&amp;K303))</f>
        <v>0</v>
      </c>
      <c r="Y303" s="83">
        <f>IF(AND(E303*0.055&gt;20,E303*0.055&lt;250),ROUNDUP(E303*0.055,2),IF(E303*0.055&lt;=20,20,250))</f>
        <v>20</v>
      </c>
      <c r="Z303" s="83">
        <f>ROUND(M303*0.05,2)</f>
        <v>0</v>
      </c>
      <c r="AA303" s="83">
        <f>IF(N303=0,0,IF(ROUND(E303*N303,2)&gt;5,ROUND(E303*N303,2),5))</f>
        <v>0</v>
      </c>
      <c r="AB303" s="83">
        <f>IF(O303="Да",ROUND(E303*0.1111,2),0)</f>
        <v>0</v>
      </c>
      <c r="AC303" s="53">
        <f>V303+W303+T303+X303+Y303+Z303+AA303+AB303</f>
        <v>45</v>
      </c>
      <c r="AD303" s="8">
        <v>0</v>
      </c>
      <c r="AE303" s="36">
        <f>ROUND(E303*AD303,2)</f>
        <v>0</v>
      </c>
      <c r="AF303" s="6">
        <v>15</v>
      </c>
      <c r="AG303" s="6">
        <v>15</v>
      </c>
      <c r="AH303" s="5"/>
      <c r="AI303" s="57">
        <f>E303-AC303-AE303-AH303</f>
        <v>-45</v>
      </c>
      <c r="AJ303" s="17">
        <f>E303-AC303</f>
        <v>-45</v>
      </c>
      <c r="AK303" s="20" t="e">
        <f>ROUND(AI303/E303,2)</f>
        <v>#DIV/0!</v>
      </c>
      <c r="AL303" s="21" t="e">
        <f t="shared" si="39"/>
        <v>#DIV/0!</v>
      </c>
    </row>
    <row r="304" spans="1:38" x14ac:dyDescent="0.25">
      <c r="A304" s="3" t="s">
        <v>29</v>
      </c>
      <c r="B304" s="46" t="s">
        <v>30</v>
      </c>
      <c r="C304" s="31">
        <v>540</v>
      </c>
      <c r="D304" s="38">
        <v>0</v>
      </c>
      <c r="E304" s="50">
        <f t="shared" si="29"/>
        <v>540</v>
      </c>
      <c r="F304" s="24">
        <v>0.1</v>
      </c>
      <c r="G304" s="7">
        <v>6</v>
      </c>
      <c r="H304" s="7">
        <v>4</v>
      </c>
      <c r="I304" s="7">
        <v>4</v>
      </c>
      <c r="J304" s="78">
        <f t="shared" si="47"/>
        <v>9.6000000000000002E-2</v>
      </c>
      <c r="K304" s="2">
        <f t="shared" si="48"/>
        <v>0.1</v>
      </c>
      <c r="L304" s="8">
        <v>0</v>
      </c>
      <c r="M304" s="1">
        <f t="shared" si="28"/>
        <v>0</v>
      </c>
      <c r="N304" s="41">
        <v>0</v>
      </c>
      <c r="O304" s="84" t="s">
        <v>275</v>
      </c>
      <c r="P304" s="24" t="s">
        <v>562</v>
      </c>
      <c r="Q304" s="7" t="s">
        <v>557</v>
      </c>
      <c r="R304" s="7"/>
      <c r="S304" s="81">
        <v>0.09</v>
      </c>
      <c r="T304" s="7">
        <v>25</v>
      </c>
      <c r="U304" s="82"/>
      <c r="V304" s="83">
        <f>ROUNDUP(E304*S304,2)</f>
        <v>48.6</v>
      </c>
      <c r="W304" s="83">
        <f>ROUNDUP(E304*0.015,2)</f>
        <v>8.1</v>
      </c>
      <c r="X304" s="82">
        <f>MAX(MIN(SUMIFS(Логистика!$C$2:$C$38,Логистика!$A$2:$A$38,"&lt;="&amp;K304,Логистика!$B$2:$B$38,"&gt;="&amp;K304)*E304,SUMIFS(Логистика!$E$2:$E$38,Логистика!$A$2:$A$38,"&lt;="&amp;K304,Логистика!$B$2:$B$38,"&gt;="&amp;K304)),SUMIFS(Логистика!$D$2:$D$38,Логистика!$A$2:$A$38,"&lt;="&amp;K304,Логистика!$B$2:$B$38,"&gt;="&amp;K304))</f>
        <v>40</v>
      </c>
      <c r="Y304" s="83">
        <f>IF(AND(E304*0.055&gt;20,E304*0.055&lt;250),ROUNDUP(E304*0.055,2),IF(E304*0.055&lt;=20,20,250))</f>
        <v>29.7</v>
      </c>
      <c r="Z304" s="83">
        <f>ROUND(M304*0.05,2)</f>
        <v>0</v>
      </c>
      <c r="AA304" s="83">
        <f>IF(N304=0,0,IF(ROUND(E304*N304,2)&gt;5,ROUND(E304*N304,2),5))</f>
        <v>0</v>
      </c>
      <c r="AB304" s="83">
        <f>IF(O304="Да",ROUND(E304*0.1111,2),0)</f>
        <v>0</v>
      </c>
      <c r="AC304" s="53">
        <f>V304+W304+T304+X304+Y304+Z304+AA304+AB304</f>
        <v>151.4</v>
      </c>
      <c r="AD304" s="8">
        <v>0</v>
      </c>
      <c r="AE304" s="36">
        <f>ROUND(E304*AD304,2)</f>
        <v>0</v>
      </c>
      <c r="AF304" s="6">
        <v>15</v>
      </c>
      <c r="AG304" s="6">
        <v>15</v>
      </c>
      <c r="AH304" s="5">
        <v>251</v>
      </c>
      <c r="AI304" s="57">
        <f>E304-AC304-AE304-AH304</f>
        <v>137.60000000000002</v>
      </c>
      <c r="AJ304" s="17">
        <f>E304-AC304</f>
        <v>388.6</v>
      </c>
      <c r="AK304" s="20">
        <f>ROUND(AI304/E304,2)</f>
        <v>0.25</v>
      </c>
      <c r="AL304" s="21">
        <f t="shared" si="39"/>
        <v>0.55000000000000004</v>
      </c>
    </row>
    <row r="305" spans="1:38" x14ac:dyDescent="0.25">
      <c r="A305" s="3" t="s">
        <v>29</v>
      </c>
      <c r="B305" s="46" t="s">
        <v>38</v>
      </c>
      <c r="C305" s="31">
        <v>990</v>
      </c>
      <c r="D305" s="38">
        <v>0</v>
      </c>
      <c r="E305" s="50">
        <f t="shared" si="29"/>
        <v>990</v>
      </c>
      <c r="F305" s="24">
        <v>0.17</v>
      </c>
      <c r="G305" s="7">
        <v>6</v>
      </c>
      <c r="H305" s="7">
        <v>4</v>
      </c>
      <c r="I305" s="7">
        <v>8</v>
      </c>
      <c r="J305" s="78">
        <f t="shared" si="47"/>
        <v>0.192</v>
      </c>
      <c r="K305" s="2">
        <f t="shared" si="48"/>
        <v>0.2</v>
      </c>
      <c r="L305" s="8">
        <v>0</v>
      </c>
      <c r="M305" s="1">
        <f t="shared" ref="M305:M368" si="49">IF(L305=0,0,IF(ROUND(E305*L305,0)&gt;20,ROUND(E305*L305,0),20))</f>
        <v>0</v>
      </c>
      <c r="N305" s="41">
        <v>0</v>
      </c>
      <c r="O305" s="84" t="s">
        <v>275</v>
      </c>
      <c r="P305" s="24" t="s">
        <v>562</v>
      </c>
      <c r="Q305" s="7" t="s">
        <v>557</v>
      </c>
      <c r="R305" s="7"/>
      <c r="S305" s="81">
        <v>0.09</v>
      </c>
      <c r="T305" s="7">
        <v>25</v>
      </c>
      <c r="U305" s="82"/>
      <c r="V305" s="83">
        <f>ROUNDUP(E305*S305,2)</f>
        <v>89.1</v>
      </c>
      <c r="W305" s="83">
        <f>ROUNDUP(E305*0.015,2)</f>
        <v>14.85</v>
      </c>
      <c r="X305" s="82">
        <f>MAX(MIN(SUMIFS(Логистика!$C$2:$C$38,Логистика!$A$2:$A$38,"&lt;="&amp;K305,Логистика!$B$2:$B$38,"&gt;="&amp;K305)*E305,SUMIFS(Логистика!$E$2:$E$38,Логистика!$A$2:$A$38,"&lt;="&amp;K305,Логистика!$B$2:$B$38,"&gt;="&amp;K305)),SUMIFS(Логистика!$D$2:$D$38,Логистика!$A$2:$A$38,"&lt;="&amp;K305,Логистика!$B$2:$B$38,"&gt;="&amp;K305))</f>
        <v>49.5</v>
      </c>
      <c r="Y305" s="83">
        <f>IF(AND(E305*0.055&gt;20,E305*0.055&lt;250),ROUNDUP(E305*0.055,2),IF(E305*0.055&lt;=20,20,250))</f>
        <v>54.45</v>
      </c>
      <c r="Z305" s="83">
        <f>ROUND(M305*0.05,2)</f>
        <v>0</v>
      </c>
      <c r="AA305" s="83">
        <f>IF(N305=0,0,IF(ROUND(E305*N305,2)&gt;5,ROUND(E305*N305,2),5))</f>
        <v>0</v>
      </c>
      <c r="AB305" s="83">
        <f>IF(O305="Да",ROUND(E305*0.1111,2),0)</f>
        <v>0</v>
      </c>
      <c r="AC305" s="53">
        <f>V305+W305+T305+X305+Y305+Z305+AA305+AB305</f>
        <v>232.89999999999998</v>
      </c>
      <c r="AD305" s="8">
        <v>0</v>
      </c>
      <c r="AE305" s="36">
        <f>ROUND(E305*AD305,2)</f>
        <v>0</v>
      </c>
      <c r="AF305" s="6">
        <v>15</v>
      </c>
      <c r="AG305" s="6">
        <v>15</v>
      </c>
      <c r="AH305" s="58">
        <f>AH304*2</f>
        <v>502</v>
      </c>
      <c r="AI305" s="57">
        <f>E305-AC305-AE305-AH305</f>
        <v>255.10000000000002</v>
      </c>
      <c r="AJ305" s="17">
        <f>E305-AC305</f>
        <v>757.1</v>
      </c>
      <c r="AK305" s="20">
        <f>ROUND(AI305/E305,2)</f>
        <v>0.26</v>
      </c>
      <c r="AL305" s="21">
        <f t="shared" ref="AL305:AL307" si="50">ROUND(AI305/AH305,2)</f>
        <v>0.51</v>
      </c>
    </row>
    <row r="306" spans="1:38" x14ac:dyDescent="0.25">
      <c r="A306" s="3" t="s">
        <v>29</v>
      </c>
      <c r="B306" s="46" t="s">
        <v>39</v>
      </c>
      <c r="C306" s="31">
        <v>1450</v>
      </c>
      <c r="D306" s="38">
        <v>0</v>
      </c>
      <c r="E306" s="50">
        <f t="shared" si="29"/>
        <v>1450</v>
      </c>
      <c r="F306" s="24">
        <v>0.25</v>
      </c>
      <c r="G306" s="7">
        <v>6</v>
      </c>
      <c r="H306" s="7">
        <v>4</v>
      </c>
      <c r="I306" s="7">
        <v>12</v>
      </c>
      <c r="J306" s="78">
        <f t="shared" si="47"/>
        <v>0.28799999999999998</v>
      </c>
      <c r="K306" s="2">
        <f t="shared" si="48"/>
        <v>0.3</v>
      </c>
      <c r="L306" s="8">
        <v>0</v>
      </c>
      <c r="M306" s="1">
        <f t="shared" si="49"/>
        <v>0</v>
      </c>
      <c r="N306" s="41">
        <v>0</v>
      </c>
      <c r="O306" s="84" t="s">
        <v>275</v>
      </c>
      <c r="P306" s="24" t="s">
        <v>562</v>
      </c>
      <c r="Q306" s="7" t="s">
        <v>557</v>
      </c>
      <c r="R306" s="7"/>
      <c r="S306" s="81">
        <v>0.09</v>
      </c>
      <c r="T306" s="7">
        <v>25</v>
      </c>
      <c r="U306" s="82"/>
      <c r="V306" s="83">
        <f>ROUNDUP(E306*S306,2)</f>
        <v>130.5</v>
      </c>
      <c r="W306" s="83">
        <f>ROUNDUP(E306*0.015,2)</f>
        <v>21.75</v>
      </c>
      <c r="X306" s="82">
        <f>MAX(MIN(SUMIFS(Логистика!$C$2:$C$38,Логистика!$A$2:$A$38,"&lt;="&amp;K306,Логистика!$B$2:$B$38,"&gt;="&amp;K306)*E306,SUMIFS(Логистика!$E$2:$E$38,Логистика!$A$2:$A$38,"&lt;="&amp;K306,Логистика!$B$2:$B$38,"&gt;="&amp;K306)),SUMIFS(Логистика!$D$2:$D$38,Логистика!$A$2:$A$38,"&lt;="&amp;K306,Логистика!$B$2:$B$38,"&gt;="&amp;K306))</f>
        <v>72.5</v>
      </c>
      <c r="Y306" s="83">
        <f>IF(AND(E306*0.055&gt;20,E306*0.055&lt;250),ROUNDUP(E306*0.055,2),IF(E306*0.055&lt;=20,20,250))</f>
        <v>79.75</v>
      </c>
      <c r="Z306" s="83">
        <f>ROUND(M306*0.05,2)</f>
        <v>0</v>
      </c>
      <c r="AA306" s="83">
        <f>IF(N306=0,0,IF(ROUND(E306*N306,2)&gt;5,ROUND(E306*N306,2),5))</f>
        <v>0</v>
      </c>
      <c r="AB306" s="83">
        <f>IF(O306="Да",ROUND(E306*0.1111,2),0)</f>
        <v>0</v>
      </c>
      <c r="AC306" s="53">
        <f>V306+W306+T306+X306+Y306+Z306+AA306+AB306</f>
        <v>329.5</v>
      </c>
      <c r="AD306" s="8">
        <v>0</v>
      </c>
      <c r="AE306" s="36">
        <f>ROUND(E306*AD306,2)</f>
        <v>0</v>
      </c>
      <c r="AF306" s="6">
        <v>15</v>
      </c>
      <c r="AG306" s="6">
        <v>15</v>
      </c>
      <c r="AH306" s="58">
        <f>AH304*3</f>
        <v>753</v>
      </c>
      <c r="AI306" s="57">
        <f>E306-AC306-AE306-AH306</f>
        <v>367.5</v>
      </c>
      <c r="AJ306" s="17">
        <f>E306-AC306</f>
        <v>1120.5</v>
      </c>
      <c r="AK306" s="20">
        <f>ROUND(AI306/E306,2)</f>
        <v>0.25</v>
      </c>
      <c r="AL306" s="21">
        <f t="shared" si="50"/>
        <v>0.49</v>
      </c>
    </row>
    <row r="307" spans="1:38" x14ac:dyDescent="0.25">
      <c r="A307" s="3" t="s">
        <v>29</v>
      </c>
      <c r="B307" s="46" t="s">
        <v>40</v>
      </c>
      <c r="C307" s="31">
        <v>1890</v>
      </c>
      <c r="D307" s="38">
        <v>0</v>
      </c>
      <c r="E307" s="50">
        <f t="shared" si="29"/>
        <v>1890</v>
      </c>
      <c r="F307" s="24">
        <v>0.32</v>
      </c>
      <c r="G307" s="7">
        <v>6</v>
      </c>
      <c r="H307" s="7">
        <v>4</v>
      </c>
      <c r="I307" s="7">
        <v>16</v>
      </c>
      <c r="J307" s="78">
        <f t="shared" si="47"/>
        <v>0.38400000000000001</v>
      </c>
      <c r="K307" s="2">
        <f t="shared" si="48"/>
        <v>0.3</v>
      </c>
      <c r="L307" s="8">
        <v>0</v>
      </c>
      <c r="M307" s="1">
        <f t="shared" si="49"/>
        <v>0</v>
      </c>
      <c r="N307" s="41">
        <v>0</v>
      </c>
      <c r="O307" s="84" t="s">
        <v>275</v>
      </c>
      <c r="P307" s="24" t="s">
        <v>562</v>
      </c>
      <c r="Q307" s="7" t="s">
        <v>557</v>
      </c>
      <c r="R307" s="7"/>
      <c r="S307" s="81">
        <v>0.09</v>
      </c>
      <c r="T307" s="7">
        <v>25</v>
      </c>
      <c r="U307" s="82"/>
      <c r="V307" s="83">
        <f>ROUNDUP(E307*S307,2)</f>
        <v>170.1</v>
      </c>
      <c r="W307" s="83">
        <f>ROUNDUP(E307*0.015,2)</f>
        <v>28.35</v>
      </c>
      <c r="X307" s="82">
        <f>MAX(MIN(SUMIFS(Логистика!$C$2:$C$38,Логистика!$A$2:$A$38,"&lt;="&amp;K307,Логистика!$B$2:$B$38,"&gt;="&amp;K307)*E307,SUMIFS(Логистика!$E$2:$E$38,Логистика!$A$2:$A$38,"&lt;="&amp;K307,Логистика!$B$2:$B$38,"&gt;="&amp;K307)),SUMIFS(Логистика!$D$2:$D$38,Логистика!$A$2:$A$38,"&lt;="&amp;K307,Логистика!$B$2:$B$38,"&gt;="&amp;K307))</f>
        <v>94.5</v>
      </c>
      <c r="Y307" s="83">
        <f>IF(AND(E307*0.055&gt;20,E307*0.055&lt;250),ROUNDUP(E307*0.055,2),IF(E307*0.055&lt;=20,20,250))</f>
        <v>103.95</v>
      </c>
      <c r="Z307" s="83">
        <f>ROUND(M307*0.05,2)</f>
        <v>0</v>
      </c>
      <c r="AA307" s="83">
        <f>IF(N307=0,0,IF(ROUND(E307*N307,2)&gt;5,ROUND(E307*N307,2),5))</f>
        <v>0</v>
      </c>
      <c r="AB307" s="83">
        <f>IF(O307="Да",ROUND(E307*0.1111,2),0)</f>
        <v>0</v>
      </c>
      <c r="AC307" s="53">
        <f>V307+W307+T307+X307+Y307+Z307+AA307+AB307</f>
        <v>421.9</v>
      </c>
      <c r="AD307" s="8">
        <v>0</v>
      </c>
      <c r="AE307" s="36">
        <f>ROUND(E307*AD307,2)</f>
        <v>0</v>
      </c>
      <c r="AF307" s="6">
        <v>15</v>
      </c>
      <c r="AG307" s="6">
        <v>15</v>
      </c>
      <c r="AH307" s="58">
        <f>AH304*4</f>
        <v>1004</v>
      </c>
      <c r="AI307" s="57">
        <f>E307-AC307-AE307-AH307</f>
        <v>464.09999999999991</v>
      </c>
      <c r="AJ307" s="17">
        <f>E307-AC307</f>
        <v>1468.1</v>
      </c>
      <c r="AK307" s="20">
        <f>ROUND(AI307/E307,2)</f>
        <v>0.25</v>
      </c>
      <c r="AL307" s="21">
        <f t="shared" si="50"/>
        <v>0.46</v>
      </c>
    </row>
    <row r="308" spans="1:38" x14ac:dyDescent="0.25">
      <c r="A308" s="3" t="s">
        <v>29</v>
      </c>
      <c r="B308" s="46" t="s">
        <v>41</v>
      </c>
      <c r="C308" s="31">
        <v>2350</v>
      </c>
      <c r="D308" s="38">
        <v>0</v>
      </c>
      <c r="E308" s="50">
        <f t="shared" si="29"/>
        <v>2350</v>
      </c>
      <c r="F308" s="24">
        <v>0.4</v>
      </c>
      <c r="G308" s="7">
        <v>6</v>
      </c>
      <c r="H308" s="7">
        <v>4</v>
      </c>
      <c r="I308" s="7">
        <v>20</v>
      </c>
      <c r="J308" s="78">
        <f t="shared" si="47"/>
        <v>0.48</v>
      </c>
      <c r="K308" s="2">
        <f t="shared" si="48"/>
        <v>0.4</v>
      </c>
      <c r="L308" s="8">
        <v>0</v>
      </c>
      <c r="M308" s="1">
        <f t="shared" si="49"/>
        <v>0</v>
      </c>
      <c r="N308" s="41">
        <v>0</v>
      </c>
      <c r="O308" s="84" t="s">
        <v>275</v>
      </c>
      <c r="P308" s="24" t="s">
        <v>562</v>
      </c>
      <c r="Q308" s="7" t="s">
        <v>557</v>
      </c>
      <c r="R308" s="7"/>
      <c r="S308" s="81">
        <v>0.09</v>
      </c>
      <c r="T308" s="7">
        <v>25</v>
      </c>
      <c r="U308" s="82"/>
      <c r="V308" s="83">
        <f>ROUNDUP(E308*S308,2)</f>
        <v>211.5</v>
      </c>
      <c r="W308" s="83">
        <f>ROUNDUP(E308*0.015,2)</f>
        <v>35.25</v>
      </c>
      <c r="X308" s="82">
        <f>MAX(MIN(SUMIFS(Логистика!$C$2:$C$38,Логистика!$A$2:$A$38,"&lt;="&amp;K308,Логистика!$B$2:$B$38,"&gt;="&amp;K308)*E308,SUMIFS(Логистика!$E$2:$E$38,Логистика!$A$2:$A$38,"&lt;="&amp;K308,Логистика!$B$2:$B$38,"&gt;="&amp;K308)),SUMIFS(Логистика!$D$2:$D$38,Логистика!$A$2:$A$38,"&lt;="&amp;K308,Логистика!$B$2:$B$38,"&gt;="&amp;K308))</f>
        <v>117.5</v>
      </c>
      <c r="Y308" s="83">
        <f>IF(AND(E308*0.055&gt;20,E308*0.055&lt;250),ROUNDUP(E308*0.055,2),IF(E308*0.055&lt;=20,20,250))</f>
        <v>129.25</v>
      </c>
      <c r="Z308" s="83">
        <f>ROUND(M308*0.05,2)</f>
        <v>0</v>
      </c>
      <c r="AA308" s="83">
        <f>IF(N308=0,0,IF(ROUND(E308*N308,2)&gt;5,ROUND(E308*N308,2),5))</f>
        <v>0</v>
      </c>
      <c r="AB308" s="83">
        <f>IF(O308="Да",ROUND(E308*0.1111,2),0)</f>
        <v>0</v>
      </c>
      <c r="AC308" s="53">
        <f>V308+W308+T308+X308+Y308+Z308+AA308+AB308</f>
        <v>518.5</v>
      </c>
      <c r="AD308" s="8">
        <v>0</v>
      </c>
      <c r="AE308" s="36">
        <f>ROUND(E308*AD308,2)</f>
        <v>0</v>
      </c>
      <c r="AF308" s="6">
        <v>15</v>
      </c>
      <c r="AG308" s="6">
        <v>15</v>
      </c>
      <c r="AH308" s="58">
        <f>AH304*5</f>
        <v>1255</v>
      </c>
      <c r="AI308" s="57">
        <f>E308-AC308-AE308-AH308</f>
        <v>576.5</v>
      </c>
      <c r="AJ308" s="17">
        <f>E308-AC308</f>
        <v>1831.5</v>
      </c>
      <c r="AK308" s="20">
        <f>ROUND(AI308/E308,2)</f>
        <v>0.25</v>
      </c>
      <c r="AL308" s="21">
        <f t="shared" ref="AL308:AL312" si="51">ROUND(AI308/AH308,2)</f>
        <v>0.46</v>
      </c>
    </row>
    <row r="309" spans="1:38" x14ac:dyDescent="0.25">
      <c r="A309" s="3" t="s">
        <v>35</v>
      </c>
      <c r="B309" s="46" t="s">
        <v>33</v>
      </c>
      <c r="C309" s="31">
        <v>1390</v>
      </c>
      <c r="D309" s="38">
        <v>0</v>
      </c>
      <c r="E309" s="50">
        <f t="shared" ref="E309:E372" si="52">ROUND(C309*(1-D309),0)</f>
        <v>1390</v>
      </c>
      <c r="F309" s="24">
        <v>0.2</v>
      </c>
      <c r="G309" s="7">
        <v>16</v>
      </c>
      <c r="H309" s="7">
        <v>16</v>
      </c>
      <c r="I309" s="7">
        <v>2.5</v>
      </c>
      <c r="J309" s="78">
        <f t="shared" si="47"/>
        <v>0.64</v>
      </c>
      <c r="K309" s="2">
        <f t="shared" si="48"/>
        <v>0.2</v>
      </c>
      <c r="L309" s="8">
        <v>0</v>
      </c>
      <c r="M309" s="1">
        <f t="shared" si="49"/>
        <v>0</v>
      </c>
      <c r="N309" s="41">
        <v>0</v>
      </c>
      <c r="O309" s="84" t="s">
        <v>275</v>
      </c>
      <c r="P309" s="24" t="s">
        <v>562</v>
      </c>
      <c r="Q309" s="7" t="s">
        <v>557</v>
      </c>
      <c r="R309" s="7"/>
      <c r="S309" s="81">
        <v>0.09</v>
      </c>
      <c r="T309" s="7">
        <v>25</v>
      </c>
      <c r="U309" s="82"/>
      <c r="V309" s="83">
        <f>ROUNDUP(E309*S309,2)</f>
        <v>125.1</v>
      </c>
      <c r="W309" s="83">
        <f>ROUNDUP(E309*0.015,2)</f>
        <v>20.85</v>
      </c>
      <c r="X309" s="82">
        <f>MAX(MIN(SUMIFS(Логистика!$C$2:$C$38,Логистика!$A$2:$A$38,"&lt;="&amp;K309,Логистика!$B$2:$B$38,"&gt;="&amp;K309)*E309,SUMIFS(Логистика!$E$2:$E$38,Логистика!$A$2:$A$38,"&lt;="&amp;K309,Логистика!$B$2:$B$38,"&gt;="&amp;K309)),SUMIFS(Логистика!$D$2:$D$38,Логистика!$A$2:$A$38,"&lt;="&amp;K309,Логистика!$B$2:$B$38,"&gt;="&amp;K309))</f>
        <v>69.5</v>
      </c>
      <c r="Y309" s="83">
        <f>IF(AND(E309*0.055&gt;20,E309*0.055&lt;250),ROUNDUP(E309*0.055,2),IF(E309*0.055&lt;=20,20,250))</f>
        <v>76.45</v>
      </c>
      <c r="Z309" s="83">
        <f>ROUND(M309*0.05,2)</f>
        <v>0</v>
      </c>
      <c r="AA309" s="83">
        <f>IF(N309=0,0,IF(ROUND(E309*N309,2)&gt;5,ROUND(E309*N309,2),5))</f>
        <v>0</v>
      </c>
      <c r="AB309" s="83">
        <f>IF(O309="Да",ROUND(E309*0.1111,2),0)</f>
        <v>0</v>
      </c>
      <c r="AC309" s="53">
        <f>V309+W309+T309+X309+Y309+Z309+AA309+AB309</f>
        <v>316.89999999999998</v>
      </c>
      <c r="AD309" s="8">
        <v>0</v>
      </c>
      <c r="AE309" s="36">
        <f>ROUND(E309*AD309,2)</f>
        <v>0</v>
      </c>
      <c r="AF309" s="6">
        <v>15</v>
      </c>
      <c r="AG309" s="6">
        <v>15</v>
      </c>
      <c r="AH309" s="5">
        <v>704.1</v>
      </c>
      <c r="AI309" s="57">
        <f>E309-AC309-AE309-AH309</f>
        <v>368.99999999999989</v>
      </c>
      <c r="AJ309" s="17">
        <f>E309-AC309</f>
        <v>1073.0999999999999</v>
      </c>
      <c r="AK309" s="20">
        <f>ROUND(AI309/E309,2)</f>
        <v>0.27</v>
      </c>
      <c r="AL309" s="21">
        <f t="shared" si="39"/>
        <v>0.52</v>
      </c>
    </row>
    <row r="310" spans="1:38" x14ac:dyDescent="0.25">
      <c r="A310" s="3" t="s">
        <v>96</v>
      </c>
      <c r="B310" s="46" t="s">
        <v>100</v>
      </c>
      <c r="C310" s="31">
        <v>2690</v>
      </c>
      <c r="D310" s="38">
        <v>0</v>
      </c>
      <c r="E310" s="50">
        <f t="shared" si="52"/>
        <v>2690</v>
      </c>
      <c r="F310" s="24">
        <v>0.3</v>
      </c>
      <c r="G310" s="7">
        <v>16</v>
      </c>
      <c r="H310" s="7">
        <v>16</v>
      </c>
      <c r="I310" s="7">
        <v>3.5000000000000004</v>
      </c>
      <c r="J310" s="78">
        <f t="shared" si="47"/>
        <v>0.89600000000000013</v>
      </c>
      <c r="K310" s="2">
        <f t="shared" si="48"/>
        <v>0.3</v>
      </c>
      <c r="L310" s="8">
        <v>0</v>
      </c>
      <c r="M310" s="1">
        <f t="shared" si="49"/>
        <v>0</v>
      </c>
      <c r="N310" s="41">
        <v>0</v>
      </c>
      <c r="O310" s="84" t="s">
        <v>275</v>
      </c>
      <c r="P310" s="24" t="s">
        <v>562</v>
      </c>
      <c r="Q310" s="7" t="s">
        <v>557</v>
      </c>
      <c r="R310" s="7"/>
      <c r="S310" s="81">
        <v>0.09</v>
      </c>
      <c r="T310" s="7">
        <v>25</v>
      </c>
      <c r="U310" s="82"/>
      <c r="V310" s="83">
        <f>ROUNDUP(E310*S310,2)</f>
        <v>242.1</v>
      </c>
      <c r="W310" s="83">
        <f>ROUNDUP(E310*0.015,2)</f>
        <v>40.35</v>
      </c>
      <c r="X310" s="82">
        <f>MAX(MIN(SUMIFS(Логистика!$C$2:$C$38,Логистика!$A$2:$A$38,"&lt;="&amp;K310,Логистика!$B$2:$B$38,"&gt;="&amp;K310)*E310,SUMIFS(Логистика!$E$2:$E$38,Логистика!$A$2:$A$38,"&lt;="&amp;K310,Логистика!$B$2:$B$38,"&gt;="&amp;K310)),SUMIFS(Логистика!$D$2:$D$38,Логистика!$A$2:$A$38,"&lt;="&amp;K310,Логистика!$B$2:$B$38,"&gt;="&amp;K310))</f>
        <v>115</v>
      </c>
      <c r="Y310" s="83">
        <f>IF(AND(E310*0.055&gt;20,E310*0.055&lt;250),ROUNDUP(E310*0.055,2),IF(E310*0.055&lt;=20,20,250))</f>
        <v>147.94999999999999</v>
      </c>
      <c r="Z310" s="83">
        <f>ROUND(M310*0.05,2)</f>
        <v>0</v>
      </c>
      <c r="AA310" s="83">
        <f>IF(N310=0,0,IF(ROUND(E310*N310,2)&gt;5,ROUND(E310*N310,2),5))</f>
        <v>0</v>
      </c>
      <c r="AB310" s="83">
        <f>IF(O310="Да",ROUND(E310*0.1111,2),0)</f>
        <v>0</v>
      </c>
      <c r="AC310" s="53">
        <f>V310+W310+T310+X310+Y310+Z310+AA310+AB310</f>
        <v>570.4</v>
      </c>
      <c r="AD310" s="8">
        <v>0</v>
      </c>
      <c r="AE310" s="36">
        <f>ROUND(E310*AD310,2)</f>
        <v>0</v>
      </c>
      <c r="AF310" s="6">
        <v>15</v>
      </c>
      <c r="AG310" s="6">
        <v>15</v>
      </c>
      <c r="AH310" s="58">
        <f>AH309*2</f>
        <v>1408.2</v>
      </c>
      <c r="AI310" s="57">
        <f>E310-AC310-AE310-AH310</f>
        <v>711.39999999999986</v>
      </c>
      <c r="AJ310" s="17">
        <f>E310-AC310</f>
        <v>2119.6</v>
      </c>
      <c r="AK310" s="20">
        <f>ROUND(AI310/E310,2)</f>
        <v>0.26</v>
      </c>
      <c r="AL310" s="21">
        <f t="shared" si="51"/>
        <v>0.51</v>
      </c>
    </row>
    <row r="311" spans="1:38" x14ac:dyDescent="0.25">
      <c r="A311" s="3" t="s">
        <v>97</v>
      </c>
      <c r="B311" s="46" t="s">
        <v>101</v>
      </c>
      <c r="C311" s="31">
        <v>3990</v>
      </c>
      <c r="D311" s="38">
        <v>0</v>
      </c>
      <c r="E311" s="50">
        <f t="shared" si="52"/>
        <v>3990</v>
      </c>
      <c r="F311" s="24">
        <v>0.45</v>
      </c>
      <c r="G311" s="7">
        <v>16</v>
      </c>
      <c r="H311" s="7">
        <v>16</v>
      </c>
      <c r="I311" s="7">
        <v>4.5</v>
      </c>
      <c r="J311" s="78">
        <f t="shared" si="47"/>
        <v>1.1519999999999999</v>
      </c>
      <c r="K311" s="2">
        <f t="shared" si="48"/>
        <v>0.5</v>
      </c>
      <c r="L311" s="8">
        <v>0</v>
      </c>
      <c r="M311" s="1">
        <f t="shared" si="49"/>
        <v>0</v>
      </c>
      <c r="N311" s="41">
        <v>0</v>
      </c>
      <c r="O311" s="84" t="s">
        <v>275</v>
      </c>
      <c r="P311" s="24" t="s">
        <v>562</v>
      </c>
      <c r="Q311" s="7" t="s">
        <v>557</v>
      </c>
      <c r="R311" s="7"/>
      <c r="S311" s="81">
        <v>0.09</v>
      </c>
      <c r="T311" s="7">
        <v>25</v>
      </c>
      <c r="U311" s="82"/>
      <c r="V311" s="83">
        <f>ROUNDUP(E311*S311,2)</f>
        <v>359.1</v>
      </c>
      <c r="W311" s="83">
        <f>ROUNDUP(E311*0.015,2)</f>
        <v>59.85</v>
      </c>
      <c r="X311" s="82">
        <f>MAX(MIN(SUMIFS(Логистика!$C$2:$C$38,Логистика!$A$2:$A$38,"&lt;="&amp;K311,Логистика!$B$2:$B$38,"&gt;="&amp;K311)*E311,SUMIFS(Логистика!$E$2:$E$38,Логистика!$A$2:$A$38,"&lt;="&amp;K311,Логистика!$B$2:$B$38,"&gt;="&amp;K311)),SUMIFS(Логистика!$D$2:$D$38,Логистика!$A$2:$A$38,"&lt;="&amp;K311,Логистика!$B$2:$B$38,"&gt;="&amp;K311))</f>
        <v>125</v>
      </c>
      <c r="Y311" s="83">
        <f>IF(AND(E311*0.055&gt;20,E311*0.055&lt;250),ROUNDUP(E311*0.055,2),IF(E311*0.055&lt;=20,20,250))</f>
        <v>219.45</v>
      </c>
      <c r="Z311" s="83">
        <f>ROUND(M311*0.05,2)</f>
        <v>0</v>
      </c>
      <c r="AA311" s="83">
        <f>IF(N311=0,0,IF(ROUND(E311*N311,2)&gt;5,ROUND(E311*N311,2),5))</f>
        <v>0</v>
      </c>
      <c r="AB311" s="83">
        <f>IF(O311="Да",ROUND(E311*0.1111,2),0)</f>
        <v>0</v>
      </c>
      <c r="AC311" s="53">
        <f>V311+W311+T311+X311+Y311+Z311+AA311+AB311</f>
        <v>788.40000000000009</v>
      </c>
      <c r="AD311" s="8">
        <v>0</v>
      </c>
      <c r="AE311" s="36">
        <f>ROUND(E311*AD311,2)</f>
        <v>0</v>
      </c>
      <c r="AF311" s="6">
        <v>15</v>
      </c>
      <c r="AG311" s="6">
        <v>15</v>
      </c>
      <c r="AH311" s="58">
        <f>AH309*3</f>
        <v>2112.3000000000002</v>
      </c>
      <c r="AI311" s="57">
        <f>E311-AC311-AE311-AH311</f>
        <v>1089.2999999999997</v>
      </c>
      <c r="AJ311" s="17">
        <f>E311-AC311</f>
        <v>3201.6</v>
      </c>
      <c r="AK311" s="20">
        <f>ROUND(AI311/E311,2)</f>
        <v>0.27</v>
      </c>
      <c r="AL311" s="21">
        <f t="shared" si="39"/>
        <v>0.52</v>
      </c>
    </row>
    <row r="312" spans="1:38" x14ac:dyDescent="0.25">
      <c r="A312" s="3" t="s">
        <v>98</v>
      </c>
      <c r="B312" s="46" t="s">
        <v>102</v>
      </c>
      <c r="C312" s="31">
        <v>5190</v>
      </c>
      <c r="D312" s="38">
        <v>0</v>
      </c>
      <c r="E312" s="50">
        <f t="shared" si="52"/>
        <v>5190</v>
      </c>
      <c r="F312" s="24">
        <v>0.6</v>
      </c>
      <c r="G312" s="7">
        <v>16</v>
      </c>
      <c r="H312" s="7">
        <v>16</v>
      </c>
      <c r="I312" s="7">
        <v>5.5</v>
      </c>
      <c r="J312" s="78">
        <f t="shared" si="47"/>
        <v>1.4079999999999999</v>
      </c>
      <c r="K312" s="2">
        <f t="shared" si="48"/>
        <v>0.6</v>
      </c>
      <c r="L312" s="8">
        <v>0</v>
      </c>
      <c r="M312" s="1">
        <f t="shared" si="49"/>
        <v>0</v>
      </c>
      <c r="N312" s="41">
        <v>0</v>
      </c>
      <c r="O312" s="84" t="s">
        <v>275</v>
      </c>
      <c r="P312" s="24" t="s">
        <v>562</v>
      </c>
      <c r="Q312" s="7" t="s">
        <v>557</v>
      </c>
      <c r="R312" s="7"/>
      <c r="S312" s="81">
        <v>0.09</v>
      </c>
      <c r="T312" s="7">
        <v>25</v>
      </c>
      <c r="U312" s="82"/>
      <c r="V312" s="83">
        <f>ROUNDUP(E312*S312,2)</f>
        <v>467.1</v>
      </c>
      <c r="W312" s="83">
        <f>ROUNDUP(E312*0.015,2)</f>
        <v>77.849999999999994</v>
      </c>
      <c r="X312" s="82">
        <f>MAX(MIN(SUMIFS(Логистика!$C$2:$C$38,Логистика!$A$2:$A$38,"&lt;="&amp;K312,Логистика!$B$2:$B$38,"&gt;="&amp;K312)*E312,SUMIFS(Логистика!$E$2:$E$38,Логистика!$A$2:$A$38,"&lt;="&amp;K312,Логистика!$B$2:$B$38,"&gt;="&amp;K312)),SUMIFS(Логистика!$D$2:$D$38,Логистика!$A$2:$A$38,"&lt;="&amp;K312,Логистика!$B$2:$B$38,"&gt;="&amp;K312))</f>
        <v>130</v>
      </c>
      <c r="Y312" s="83">
        <f>IF(AND(E312*0.055&gt;20,E312*0.055&lt;250),ROUNDUP(E312*0.055,2),IF(E312*0.055&lt;=20,20,250))</f>
        <v>250</v>
      </c>
      <c r="Z312" s="83">
        <f>ROUND(M312*0.05,2)</f>
        <v>0</v>
      </c>
      <c r="AA312" s="83">
        <f>IF(N312=0,0,IF(ROUND(E312*N312,2)&gt;5,ROUND(E312*N312,2),5))</f>
        <v>0</v>
      </c>
      <c r="AB312" s="83">
        <f>IF(O312="Да",ROUND(E312*0.1111,2),0)</f>
        <v>0</v>
      </c>
      <c r="AC312" s="53">
        <f>V312+W312+T312+X312+Y312+Z312+AA312+AB312</f>
        <v>949.95</v>
      </c>
      <c r="AD312" s="8">
        <v>0</v>
      </c>
      <c r="AE312" s="36">
        <f>ROUND(E312*AD312,2)</f>
        <v>0</v>
      </c>
      <c r="AF312" s="6">
        <v>15</v>
      </c>
      <c r="AG312" s="6">
        <v>15</v>
      </c>
      <c r="AH312" s="58">
        <f>AH309*4</f>
        <v>2816.4</v>
      </c>
      <c r="AI312" s="57">
        <f>E312-AC312-AE312-AH312</f>
        <v>1423.65</v>
      </c>
      <c r="AJ312" s="17">
        <f>E312-AC312</f>
        <v>4240.05</v>
      </c>
      <c r="AK312" s="20">
        <f>ROUND(AI312/E312,2)</f>
        <v>0.27</v>
      </c>
      <c r="AL312" s="21">
        <f t="shared" si="51"/>
        <v>0.51</v>
      </c>
    </row>
    <row r="313" spans="1:38" x14ac:dyDescent="0.25">
      <c r="A313" s="3" t="s">
        <v>99</v>
      </c>
      <c r="B313" s="46" t="s">
        <v>103</v>
      </c>
      <c r="C313" s="31">
        <v>6290</v>
      </c>
      <c r="D313" s="38">
        <v>0</v>
      </c>
      <c r="E313" s="50">
        <f t="shared" si="52"/>
        <v>6290</v>
      </c>
      <c r="F313" s="24">
        <v>0.75</v>
      </c>
      <c r="G313" s="7">
        <v>16</v>
      </c>
      <c r="H313" s="7">
        <v>16</v>
      </c>
      <c r="I313" s="7">
        <v>6.5</v>
      </c>
      <c r="J313" s="78">
        <f t="shared" si="47"/>
        <v>1.6639999999999999</v>
      </c>
      <c r="K313" s="2">
        <f t="shared" si="48"/>
        <v>0.8</v>
      </c>
      <c r="L313" s="8">
        <v>0</v>
      </c>
      <c r="M313" s="1">
        <f t="shared" si="49"/>
        <v>0</v>
      </c>
      <c r="N313" s="41">
        <v>0</v>
      </c>
      <c r="O313" s="84" t="s">
        <v>275</v>
      </c>
      <c r="P313" s="24" t="s">
        <v>562</v>
      </c>
      <c r="Q313" s="7" t="s">
        <v>557</v>
      </c>
      <c r="R313" s="7"/>
      <c r="S313" s="81">
        <v>0.09</v>
      </c>
      <c r="T313" s="7">
        <v>25</v>
      </c>
      <c r="U313" s="82"/>
      <c r="V313" s="83">
        <f>ROUNDUP(E313*S313,2)</f>
        <v>566.1</v>
      </c>
      <c r="W313" s="83">
        <f>ROUNDUP(E313*0.015,2)</f>
        <v>94.35</v>
      </c>
      <c r="X313" s="82">
        <f>MAX(MIN(SUMIFS(Логистика!$C$2:$C$38,Логистика!$A$2:$A$38,"&lt;="&amp;K313,Логистика!$B$2:$B$38,"&gt;="&amp;K313)*E313,SUMIFS(Логистика!$E$2:$E$38,Логистика!$A$2:$A$38,"&lt;="&amp;K313,Логистика!$B$2:$B$38,"&gt;="&amp;K313)),SUMIFS(Логистика!$D$2:$D$38,Логистика!$A$2:$A$38,"&lt;="&amp;K313,Логистика!$B$2:$B$38,"&gt;="&amp;K313))</f>
        <v>140</v>
      </c>
      <c r="Y313" s="83">
        <f>IF(AND(E313*0.055&gt;20,E313*0.055&lt;250),ROUNDUP(E313*0.055,2),IF(E313*0.055&lt;=20,20,250))</f>
        <v>250</v>
      </c>
      <c r="Z313" s="83">
        <f>ROUND(M313*0.05,2)</f>
        <v>0</v>
      </c>
      <c r="AA313" s="83">
        <f>IF(N313=0,0,IF(ROUND(E313*N313,2)&gt;5,ROUND(E313*N313,2),5))</f>
        <v>0</v>
      </c>
      <c r="AB313" s="83">
        <f>IF(O313="Да",ROUND(E313*0.1111,2),0)</f>
        <v>0</v>
      </c>
      <c r="AC313" s="53">
        <f>V313+W313+T313+X313+Y313+Z313+AA313+AB313</f>
        <v>1075.45</v>
      </c>
      <c r="AD313" s="8">
        <v>0</v>
      </c>
      <c r="AE313" s="36">
        <f>ROUND(E313*AD313,2)</f>
        <v>0</v>
      </c>
      <c r="AF313" s="6">
        <v>15</v>
      </c>
      <c r="AG313" s="6">
        <v>15</v>
      </c>
      <c r="AH313" s="58">
        <f>AH309*5</f>
        <v>3520.5</v>
      </c>
      <c r="AI313" s="57">
        <f>E313-AC313-AE313-AH313</f>
        <v>1694.0500000000002</v>
      </c>
      <c r="AJ313" s="17">
        <f>E313-AC313</f>
        <v>5214.55</v>
      </c>
      <c r="AK313" s="20">
        <f>ROUND(AI313/E313,2)</f>
        <v>0.27</v>
      </c>
      <c r="AL313" s="21">
        <f t="shared" si="39"/>
        <v>0.48</v>
      </c>
    </row>
    <row r="314" spans="1:38" x14ac:dyDescent="0.25">
      <c r="A314" s="3" t="s">
        <v>36</v>
      </c>
      <c r="B314" s="46" t="s">
        <v>34</v>
      </c>
      <c r="C314" s="31">
        <v>710</v>
      </c>
      <c r="D314" s="38">
        <v>0</v>
      </c>
      <c r="E314" s="50">
        <f t="shared" si="52"/>
        <v>710</v>
      </c>
      <c r="F314" s="24">
        <v>0.125</v>
      </c>
      <c r="G314" s="7">
        <v>16</v>
      </c>
      <c r="H314" s="7">
        <v>16</v>
      </c>
      <c r="I314" s="7">
        <v>2</v>
      </c>
      <c r="J314" s="78">
        <f t="shared" si="47"/>
        <v>0.51200000000000001</v>
      </c>
      <c r="K314" s="2">
        <f t="shared" si="48"/>
        <v>0.1</v>
      </c>
      <c r="L314" s="8">
        <v>0</v>
      </c>
      <c r="M314" s="1">
        <f t="shared" si="49"/>
        <v>0</v>
      </c>
      <c r="N314" s="41">
        <v>0</v>
      </c>
      <c r="O314" s="84" t="s">
        <v>275</v>
      </c>
      <c r="P314" s="24" t="s">
        <v>562</v>
      </c>
      <c r="Q314" s="7" t="s">
        <v>557</v>
      </c>
      <c r="R314" s="7"/>
      <c r="S314" s="81">
        <v>0.09</v>
      </c>
      <c r="T314" s="7">
        <v>25</v>
      </c>
      <c r="U314" s="82"/>
      <c r="V314" s="83">
        <f>ROUNDUP(E314*S314,2)</f>
        <v>63.9</v>
      </c>
      <c r="W314" s="83">
        <f>ROUNDUP(E314*0.015,2)</f>
        <v>10.65</v>
      </c>
      <c r="X314" s="82">
        <f>MAX(MIN(SUMIFS(Логистика!$C$2:$C$38,Логистика!$A$2:$A$38,"&lt;="&amp;K314,Логистика!$B$2:$B$38,"&gt;="&amp;K314)*E314,SUMIFS(Логистика!$E$2:$E$38,Логистика!$A$2:$A$38,"&lt;="&amp;K314,Логистика!$B$2:$B$38,"&gt;="&amp;K314)),SUMIFS(Логистика!$D$2:$D$38,Логистика!$A$2:$A$38,"&lt;="&amp;K314,Логистика!$B$2:$B$38,"&gt;="&amp;K314))</f>
        <v>40</v>
      </c>
      <c r="Y314" s="83">
        <f>IF(AND(E314*0.055&gt;20,E314*0.055&lt;250),ROUNDUP(E314*0.055,2),IF(E314*0.055&lt;=20,20,250))</f>
        <v>39.049999999999997</v>
      </c>
      <c r="Z314" s="83">
        <f>ROUND(M314*0.05,2)</f>
        <v>0</v>
      </c>
      <c r="AA314" s="83">
        <f>IF(N314=0,0,IF(ROUND(E314*N314,2)&gt;5,ROUND(E314*N314,2),5))</f>
        <v>0</v>
      </c>
      <c r="AB314" s="83">
        <f>IF(O314="Да",ROUND(E314*0.1111,2),0)</f>
        <v>0</v>
      </c>
      <c r="AC314" s="53">
        <f>V314+W314+T314+X314+Y314+Z314+AA314+AB314</f>
        <v>178.60000000000002</v>
      </c>
      <c r="AD314" s="8">
        <v>0</v>
      </c>
      <c r="AE314" s="36">
        <f>ROUND(E314*AD314,2)</f>
        <v>0</v>
      </c>
      <c r="AF314" s="6">
        <v>15</v>
      </c>
      <c r="AG314" s="6">
        <v>15</v>
      </c>
      <c r="AH314" s="5">
        <v>345.4</v>
      </c>
      <c r="AI314" s="57">
        <f>E314-AC314-AE314-AH314</f>
        <v>186</v>
      </c>
      <c r="AJ314" s="17">
        <f>E314-AC314</f>
        <v>531.4</v>
      </c>
      <c r="AK314" s="20">
        <f>ROUND(AI314/E314,2)</f>
        <v>0.26</v>
      </c>
      <c r="AL314" s="21">
        <f t="shared" si="39"/>
        <v>0.54</v>
      </c>
    </row>
    <row r="315" spans="1:38" x14ac:dyDescent="0.25">
      <c r="A315" s="3" t="s">
        <v>88</v>
      </c>
      <c r="B315" s="46" t="s">
        <v>92</v>
      </c>
      <c r="C315" s="31">
        <v>1350</v>
      </c>
      <c r="D315" s="38">
        <v>0</v>
      </c>
      <c r="E315" s="50">
        <f t="shared" si="52"/>
        <v>1350</v>
      </c>
      <c r="F315" s="24">
        <v>0.25</v>
      </c>
      <c r="G315" s="7">
        <v>16</v>
      </c>
      <c r="H315" s="7">
        <v>16</v>
      </c>
      <c r="I315" s="7">
        <v>3</v>
      </c>
      <c r="J315" s="78">
        <f t="shared" si="47"/>
        <v>0.76800000000000002</v>
      </c>
      <c r="K315" s="2">
        <f t="shared" si="48"/>
        <v>0.3</v>
      </c>
      <c r="L315" s="8">
        <v>0</v>
      </c>
      <c r="M315" s="1">
        <f t="shared" si="49"/>
        <v>0</v>
      </c>
      <c r="N315" s="41">
        <v>0</v>
      </c>
      <c r="O315" s="84" t="s">
        <v>275</v>
      </c>
      <c r="P315" s="24" t="s">
        <v>562</v>
      </c>
      <c r="Q315" s="7" t="s">
        <v>557</v>
      </c>
      <c r="R315" s="7"/>
      <c r="S315" s="81">
        <v>0.09</v>
      </c>
      <c r="T315" s="7">
        <v>25</v>
      </c>
      <c r="U315" s="82"/>
      <c r="V315" s="83">
        <f>ROUNDUP(E315*S315,2)</f>
        <v>121.5</v>
      </c>
      <c r="W315" s="83">
        <f>ROUNDUP(E315*0.015,2)</f>
        <v>20.25</v>
      </c>
      <c r="X315" s="82">
        <f>MAX(MIN(SUMIFS(Логистика!$C$2:$C$38,Логистика!$A$2:$A$38,"&lt;="&amp;K315,Логистика!$B$2:$B$38,"&gt;="&amp;K315)*E315,SUMIFS(Логистика!$E$2:$E$38,Логистика!$A$2:$A$38,"&lt;="&amp;K315,Логистика!$B$2:$B$38,"&gt;="&amp;K315)),SUMIFS(Логистика!$D$2:$D$38,Логистика!$A$2:$A$38,"&lt;="&amp;K315,Логистика!$B$2:$B$38,"&gt;="&amp;K315))</f>
        <v>67.5</v>
      </c>
      <c r="Y315" s="83">
        <f>IF(AND(E315*0.055&gt;20,E315*0.055&lt;250),ROUNDUP(E315*0.055,2),IF(E315*0.055&lt;=20,20,250))</f>
        <v>74.25</v>
      </c>
      <c r="Z315" s="83">
        <f>ROUND(M315*0.05,2)</f>
        <v>0</v>
      </c>
      <c r="AA315" s="83">
        <f>IF(N315=0,0,IF(ROUND(E315*N315,2)&gt;5,ROUND(E315*N315,2),5))</f>
        <v>0</v>
      </c>
      <c r="AB315" s="83">
        <f>IF(O315="Да",ROUND(E315*0.1111,2),0)</f>
        <v>0</v>
      </c>
      <c r="AC315" s="53">
        <f>V315+W315+T315+X315+Y315+Z315+AA315+AB315</f>
        <v>308.5</v>
      </c>
      <c r="AD315" s="8">
        <v>0</v>
      </c>
      <c r="AE315" s="36">
        <f>ROUND(E315*AD315,2)</f>
        <v>0</v>
      </c>
      <c r="AF315" s="6">
        <v>15</v>
      </c>
      <c r="AG315" s="6">
        <v>15</v>
      </c>
      <c r="AH315" s="58">
        <f>AH314*2</f>
        <v>690.8</v>
      </c>
      <c r="AI315" s="57">
        <f>E315-AC315-AE315-AH315</f>
        <v>350.70000000000005</v>
      </c>
      <c r="AJ315" s="17">
        <f>E315-AC315</f>
        <v>1041.5</v>
      </c>
      <c r="AK315" s="20">
        <f>ROUND(AI315/E315,2)</f>
        <v>0.26</v>
      </c>
      <c r="AL315" s="21">
        <f t="shared" si="39"/>
        <v>0.51</v>
      </c>
    </row>
    <row r="316" spans="1:38" x14ac:dyDescent="0.25">
      <c r="A316" s="3" t="s">
        <v>89</v>
      </c>
      <c r="B316" s="46" t="s">
        <v>93</v>
      </c>
      <c r="C316" s="31">
        <v>1990</v>
      </c>
      <c r="D316" s="38">
        <v>0</v>
      </c>
      <c r="E316" s="50">
        <f t="shared" si="52"/>
        <v>1990</v>
      </c>
      <c r="F316" s="24">
        <v>0.375</v>
      </c>
      <c r="G316" s="7">
        <v>16</v>
      </c>
      <c r="H316" s="7">
        <v>16</v>
      </c>
      <c r="I316" s="7">
        <v>4</v>
      </c>
      <c r="J316" s="78">
        <f t="shared" si="47"/>
        <v>1.024</v>
      </c>
      <c r="K316" s="2">
        <f t="shared" si="48"/>
        <v>0.4</v>
      </c>
      <c r="L316" s="8">
        <v>0</v>
      </c>
      <c r="M316" s="1">
        <f t="shared" si="49"/>
        <v>0</v>
      </c>
      <c r="N316" s="41">
        <v>0</v>
      </c>
      <c r="O316" s="84" t="s">
        <v>275</v>
      </c>
      <c r="P316" s="24" t="s">
        <v>562</v>
      </c>
      <c r="Q316" s="7" t="s">
        <v>557</v>
      </c>
      <c r="R316" s="7"/>
      <c r="S316" s="81">
        <v>0.09</v>
      </c>
      <c r="T316" s="7">
        <v>25</v>
      </c>
      <c r="U316" s="82"/>
      <c r="V316" s="83">
        <f>ROUNDUP(E316*S316,2)</f>
        <v>179.1</v>
      </c>
      <c r="W316" s="83">
        <f>ROUNDUP(E316*0.015,2)</f>
        <v>29.85</v>
      </c>
      <c r="X316" s="82">
        <f>MAX(MIN(SUMIFS(Логистика!$C$2:$C$38,Логистика!$A$2:$A$38,"&lt;="&amp;K316,Логистика!$B$2:$B$38,"&gt;="&amp;K316)*E316,SUMIFS(Логистика!$E$2:$E$38,Логистика!$A$2:$A$38,"&lt;="&amp;K316,Логистика!$B$2:$B$38,"&gt;="&amp;K316)),SUMIFS(Логистика!$D$2:$D$38,Логистика!$A$2:$A$38,"&lt;="&amp;K316,Логистика!$B$2:$B$38,"&gt;="&amp;K316))</f>
        <v>99.5</v>
      </c>
      <c r="Y316" s="83">
        <f>IF(AND(E316*0.055&gt;20,E316*0.055&lt;250),ROUNDUP(E316*0.055,2),IF(E316*0.055&lt;=20,20,250))</f>
        <v>109.45</v>
      </c>
      <c r="Z316" s="83">
        <f>ROUND(M316*0.05,2)</f>
        <v>0</v>
      </c>
      <c r="AA316" s="83">
        <f>IF(N316=0,0,IF(ROUND(E316*N316,2)&gt;5,ROUND(E316*N316,2),5))</f>
        <v>0</v>
      </c>
      <c r="AB316" s="83">
        <f>IF(O316="Да",ROUND(E316*0.1111,2),0)</f>
        <v>0</v>
      </c>
      <c r="AC316" s="53">
        <f>V316+W316+T316+X316+Y316+Z316+AA316+AB316</f>
        <v>442.9</v>
      </c>
      <c r="AD316" s="8">
        <v>0</v>
      </c>
      <c r="AE316" s="36">
        <f>ROUND(E316*AD316,2)</f>
        <v>0</v>
      </c>
      <c r="AF316" s="6">
        <v>15</v>
      </c>
      <c r="AG316" s="6">
        <v>15</v>
      </c>
      <c r="AH316" s="58">
        <f>AH314*3</f>
        <v>1036.1999999999998</v>
      </c>
      <c r="AI316" s="57">
        <f>E316-AC316-AE316-AH316</f>
        <v>510.90000000000009</v>
      </c>
      <c r="AJ316" s="17">
        <f>E316-AC316</f>
        <v>1547.1</v>
      </c>
      <c r="AK316" s="20">
        <f>ROUND(AI316/E316,2)</f>
        <v>0.26</v>
      </c>
      <c r="AL316" s="21">
        <f t="shared" si="39"/>
        <v>0.49</v>
      </c>
    </row>
    <row r="317" spans="1:38" x14ac:dyDescent="0.25">
      <c r="A317" s="3" t="s">
        <v>90</v>
      </c>
      <c r="B317" s="46" t="s">
        <v>94</v>
      </c>
      <c r="C317" s="31">
        <v>2550</v>
      </c>
      <c r="D317" s="38">
        <v>0</v>
      </c>
      <c r="E317" s="50">
        <f t="shared" si="52"/>
        <v>2550</v>
      </c>
      <c r="F317" s="24">
        <v>0.5</v>
      </c>
      <c r="G317" s="7">
        <v>16</v>
      </c>
      <c r="H317" s="7">
        <v>16</v>
      </c>
      <c r="I317" s="7">
        <v>5</v>
      </c>
      <c r="J317" s="78">
        <f t="shared" si="47"/>
        <v>1.28</v>
      </c>
      <c r="K317" s="2">
        <f t="shared" si="48"/>
        <v>0.5</v>
      </c>
      <c r="L317" s="8">
        <v>0</v>
      </c>
      <c r="M317" s="1">
        <f t="shared" si="49"/>
        <v>0</v>
      </c>
      <c r="N317" s="41">
        <v>0</v>
      </c>
      <c r="O317" s="84" t="s">
        <v>275</v>
      </c>
      <c r="P317" s="24" t="s">
        <v>562</v>
      </c>
      <c r="Q317" s="7" t="s">
        <v>557</v>
      </c>
      <c r="R317" s="7"/>
      <c r="S317" s="81">
        <v>0.09</v>
      </c>
      <c r="T317" s="7">
        <v>25</v>
      </c>
      <c r="U317" s="82"/>
      <c r="V317" s="83">
        <f>ROUNDUP(E317*S317,2)</f>
        <v>229.5</v>
      </c>
      <c r="W317" s="83">
        <f>ROUNDUP(E317*0.015,2)</f>
        <v>38.25</v>
      </c>
      <c r="X317" s="82">
        <f>MAX(MIN(SUMIFS(Логистика!$C$2:$C$38,Логистика!$A$2:$A$38,"&lt;="&amp;K317,Логистика!$B$2:$B$38,"&gt;="&amp;K317)*E317,SUMIFS(Логистика!$E$2:$E$38,Логистика!$A$2:$A$38,"&lt;="&amp;K317,Логистика!$B$2:$B$38,"&gt;="&amp;K317)),SUMIFS(Логистика!$D$2:$D$38,Логистика!$A$2:$A$38,"&lt;="&amp;K317,Логистика!$B$2:$B$38,"&gt;="&amp;K317))</f>
        <v>125</v>
      </c>
      <c r="Y317" s="83">
        <f>IF(AND(E317*0.055&gt;20,E317*0.055&lt;250),ROUNDUP(E317*0.055,2),IF(E317*0.055&lt;=20,20,250))</f>
        <v>140.25</v>
      </c>
      <c r="Z317" s="83">
        <f>ROUND(M317*0.05,2)</f>
        <v>0</v>
      </c>
      <c r="AA317" s="83">
        <f>IF(N317=0,0,IF(ROUND(E317*N317,2)&gt;5,ROUND(E317*N317,2),5))</f>
        <v>0</v>
      </c>
      <c r="AB317" s="83">
        <f>IF(O317="Да",ROUND(E317*0.1111,2),0)</f>
        <v>0</v>
      </c>
      <c r="AC317" s="53">
        <f>V317+W317+T317+X317+Y317+Z317+AA317+AB317</f>
        <v>558</v>
      </c>
      <c r="AD317" s="8">
        <v>0</v>
      </c>
      <c r="AE317" s="36">
        <f>ROUND(E317*AD317,2)</f>
        <v>0</v>
      </c>
      <c r="AF317" s="6">
        <v>15</v>
      </c>
      <c r="AG317" s="6">
        <v>15</v>
      </c>
      <c r="AH317" s="58">
        <f>AH314*4</f>
        <v>1381.6</v>
      </c>
      <c r="AI317" s="57">
        <f>E317-AC317-AE317-AH317</f>
        <v>610.40000000000009</v>
      </c>
      <c r="AJ317" s="17">
        <f>E317-AC317</f>
        <v>1992</v>
      </c>
      <c r="AK317" s="20">
        <f>ROUND(AI317/E317,2)</f>
        <v>0.24</v>
      </c>
      <c r="AL317" s="21">
        <f t="shared" si="39"/>
        <v>0.44</v>
      </c>
    </row>
    <row r="318" spans="1:38" x14ac:dyDescent="0.25">
      <c r="A318" s="3" t="s">
        <v>91</v>
      </c>
      <c r="B318" s="46" t="s">
        <v>95</v>
      </c>
      <c r="C318" s="31">
        <v>3150</v>
      </c>
      <c r="D318" s="38">
        <v>0</v>
      </c>
      <c r="E318" s="50">
        <f t="shared" si="52"/>
        <v>3150</v>
      </c>
      <c r="F318" s="24">
        <v>0.625</v>
      </c>
      <c r="G318" s="7">
        <v>16</v>
      </c>
      <c r="H318" s="7">
        <v>16</v>
      </c>
      <c r="I318" s="7">
        <v>6</v>
      </c>
      <c r="J318" s="78">
        <f t="shared" si="47"/>
        <v>1.536</v>
      </c>
      <c r="K318" s="2">
        <f t="shared" si="48"/>
        <v>0.6</v>
      </c>
      <c r="L318" s="8">
        <v>0</v>
      </c>
      <c r="M318" s="1">
        <f t="shared" si="49"/>
        <v>0</v>
      </c>
      <c r="N318" s="41">
        <v>0</v>
      </c>
      <c r="O318" s="84" t="s">
        <v>275</v>
      </c>
      <c r="P318" s="24" t="s">
        <v>562</v>
      </c>
      <c r="Q318" s="7" t="s">
        <v>557</v>
      </c>
      <c r="R318" s="7"/>
      <c r="S318" s="81">
        <v>0.09</v>
      </c>
      <c r="T318" s="7">
        <v>25</v>
      </c>
      <c r="U318" s="82"/>
      <c r="V318" s="83">
        <f>ROUNDUP(E318*S318,2)</f>
        <v>283.5</v>
      </c>
      <c r="W318" s="83">
        <f>ROUNDUP(E318*0.015,2)</f>
        <v>47.25</v>
      </c>
      <c r="X318" s="82">
        <f>MAX(MIN(SUMIFS(Логистика!$C$2:$C$38,Логистика!$A$2:$A$38,"&lt;="&amp;K318,Логистика!$B$2:$B$38,"&gt;="&amp;K318)*E318,SUMIFS(Логистика!$E$2:$E$38,Логистика!$A$2:$A$38,"&lt;="&amp;K318,Логистика!$B$2:$B$38,"&gt;="&amp;K318)),SUMIFS(Логистика!$D$2:$D$38,Логистика!$A$2:$A$38,"&lt;="&amp;K318,Логистика!$B$2:$B$38,"&gt;="&amp;K318))</f>
        <v>130</v>
      </c>
      <c r="Y318" s="83">
        <f>IF(AND(E318*0.055&gt;20,E318*0.055&lt;250),ROUNDUP(E318*0.055,2),IF(E318*0.055&lt;=20,20,250))</f>
        <v>173.25</v>
      </c>
      <c r="Z318" s="83">
        <f>ROUND(M318*0.05,2)</f>
        <v>0</v>
      </c>
      <c r="AA318" s="83">
        <f>IF(N318=0,0,IF(ROUND(E318*N318,2)&gt;5,ROUND(E318*N318,2),5))</f>
        <v>0</v>
      </c>
      <c r="AB318" s="83">
        <f>IF(O318="Да",ROUND(E318*0.1111,2),0)</f>
        <v>0</v>
      </c>
      <c r="AC318" s="53">
        <f>V318+W318+T318+X318+Y318+Z318+AA318+AB318</f>
        <v>659</v>
      </c>
      <c r="AD318" s="8">
        <v>0</v>
      </c>
      <c r="AE318" s="36">
        <f>ROUND(E318*AD318,2)</f>
        <v>0</v>
      </c>
      <c r="AF318" s="6">
        <v>15</v>
      </c>
      <c r="AG318" s="6">
        <v>15</v>
      </c>
      <c r="AH318" s="58">
        <f>AH314*5</f>
        <v>1727</v>
      </c>
      <c r="AI318" s="57">
        <f>E318-AC318-AE318-AH318</f>
        <v>764</v>
      </c>
      <c r="AJ318" s="17">
        <f>E318-AC318</f>
        <v>2491</v>
      </c>
      <c r="AK318" s="20">
        <f>ROUND(AI318/E318,2)</f>
        <v>0.24</v>
      </c>
      <c r="AL318" s="21">
        <f t="shared" si="2"/>
        <v>0.44</v>
      </c>
    </row>
    <row r="319" spans="1:38" x14ac:dyDescent="0.25">
      <c r="A319" s="27"/>
      <c r="B319" s="46" t="s">
        <v>42</v>
      </c>
      <c r="C319" s="31">
        <v>420</v>
      </c>
      <c r="D319" s="38">
        <v>0</v>
      </c>
      <c r="E319" s="50">
        <f t="shared" si="52"/>
        <v>420</v>
      </c>
      <c r="F319" s="24">
        <v>0.05</v>
      </c>
      <c r="G319" s="7">
        <v>12</v>
      </c>
      <c r="H319" s="7">
        <v>12</v>
      </c>
      <c r="I319" s="7">
        <v>3</v>
      </c>
      <c r="J319" s="78">
        <f t="shared" si="47"/>
        <v>0.432</v>
      </c>
      <c r="K319" s="2">
        <f t="shared" si="48"/>
        <v>0.1</v>
      </c>
      <c r="L319" s="8">
        <v>0</v>
      </c>
      <c r="M319" s="1">
        <f t="shared" si="49"/>
        <v>0</v>
      </c>
      <c r="N319" s="41">
        <v>0</v>
      </c>
      <c r="O319" s="84" t="s">
        <v>275</v>
      </c>
      <c r="P319" s="24" t="s">
        <v>562</v>
      </c>
      <c r="Q319" s="7" t="s">
        <v>557</v>
      </c>
      <c r="R319" s="7"/>
      <c r="S319" s="81">
        <v>0.09</v>
      </c>
      <c r="T319" s="7">
        <v>25</v>
      </c>
      <c r="U319" s="82"/>
      <c r="V319" s="83">
        <f>ROUNDUP(E319*S319,2)</f>
        <v>37.799999999999997</v>
      </c>
      <c r="W319" s="83">
        <f>ROUNDUP(E319*0.015,2)</f>
        <v>6.3</v>
      </c>
      <c r="X319" s="82">
        <f>MAX(MIN(SUMIFS(Логистика!$C$2:$C$38,Логистика!$A$2:$A$38,"&lt;="&amp;K319,Логистика!$B$2:$B$38,"&gt;="&amp;K319)*E319,SUMIFS(Логистика!$E$2:$E$38,Логистика!$A$2:$A$38,"&lt;="&amp;K319,Логистика!$B$2:$B$38,"&gt;="&amp;K319)),SUMIFS(Логистика!$D$2:$D$38,Логистика!$A$2:$A$38,"&lt;="&amp;K319,Логистика!$B$2:$B$38,"&gt;="&amp;K319))</f>
        <v>40</v>
      </c>
      <c r="Y319" s="83">
        <f>IF(AND(E319*0.055&gt;20,E319*0.055&lt;250),ROUNDUP(E319*0.055,2),IF(E319*0.055&lt;=20,20,250))</f>
        <v>23.1</v>
      </c>
      <c r="Z319" s="83">
        <f>ROUND(M319*0.05,2)</f>
        <v>0</v>
      </c>
      <c r="AA319" s="83">
        <f>IF(N319=0,0,IF(ROUND(E319*N319,2)&gt;5,ROUND(E319*N319,2),5))</f>
        <v>0</v>
      </c>
      <c r="AB319" s="83">
        <f>IF(O319="Да",ROUND(E319*0.1111,2),0)</f>
        <v>0</v>
      </c>
      <c r="AC319" s="53">
        <f>V319+W319+T319+X319+Y319+Z319+AA319+AB319</f>
        <v>132.19999999999999</v>
      </c>
      <c r="AD319" s="8">
        <v>0</v>
      </c>
      <c r="AE319" s="36">
        <f>ROUND(E319*AD319,2)</f>
        <v>0</v>
      </c>
      <c r="AF319" s="6">
        <v>15</v>
      </c>
      <c r="AG319" s="6">
        <v>15</v>
      </c>
      <c r="AH319" s="5">
        <v>199.3</v>
      </c>
      <c r="AI319" s="57">
        <f>E319-AC319-AE319-AH319</f>
        <v>88.5</v>
      </c>
      <c r="AJ319" s="17">
        <f>E319-AC319</f>
        <v>287.8</v>
      </c>
      <c r="AK319" s="20">
        <f>ROUND(AI319/E319,2)</f>
        <v>0.21</v>
      </c>
      <c r="AL319" s="21">
        <f t="shared" si="2"/>
        <v>0.44</v>
      </c>
    </row>
    <row r="320" spans="1:38" x14ac:dyDescent="0.25">
      <c r="A320" s="27"/>
      <c r="B320" s="46" t="s">
        <v>43</v>
      </c>
      <c r="C320" s="31">
        <v>730</v>
      </c>
      <c r="D320" s="38">
        <v>0</v>
      </c>
      <c r="E320" s="50">
        <f t="shared" si="52"/>
        <v>730</v>
      </c>
      <c r="F320" s="24">
        <v>0.1</v>
      </c>
      <c r="G320" s="7">
        <v>12</v>
      </c>
      <c r="H320" s="7">
        <v>12</v>
      </c>
      <c r="I320" s="7">
        <v>6</v>
      </c>
      <c r="J320" s="78">
        <f t="shared" si="47"/>
        <v>0.86399999999999999</v>
      </c>
      <c r="K320" s="2">
        <f t="shared" si="48"/>
        <v>0.2</v>
      </c>
      <c r="L320" s="8">
        <v>0</v>
      </c>
      <c r="M320" s="1">
        <f t="shared" si="49"/>
        <v>0</v>
      </c>
      <c r="N320" s="41">
        <v>0</v>
      </c>
      <c r="O320" s="84" t="s">
        <v>275</v>
      </c>
      <c r="P320" s="24" t="s">
        <v>562</v>
      </c>
      <c r="Q320" s="7" t="s">
        <v>557</v>
      </c>
      <c r="R320" s="7"/>
      <c r="S320" s="81">
        <v>0.09</v>
      </c>
      <c r="T320" s="7">
        <v>25</v>
      </c>
      <c r="U320" s="82"/>
      <c r="V320" s="83">
        <f>ROUNDUP(E320*S320,2)</f>
        <v>65.7</v>
      </c>
      <c r="W320" s="83">
        <f>ROUNDUP(E320*0.015,2)</f>
        <v>10.95</v>
      </c>
      <c r="X320" s="82">
        <f>MAX(MIN(SUMIFS(Логистика!$C$2:$C$38,Логистика!$A$2:$A$38,"&lt;="&amp;K320,Логистика!$B$2:$B$38,"&gt;="&amp;K320)*E320,SUMIFS(Логистика!$E$2:$E$38,Логистика!$A$2:$A$38,"&lt;="&amp;K320,Логистика!$B$2:$B$38,"&gt;="&amp;K320)),SUMIFS(Логистика!$D$2:$D$38,Логистика!$A$2:$A$38,"&lt;="&amp;K320,Логистика!$B$2:$B$38,"&gt;="&amp;K320))</f>
        <v>41</v>
      </c>
      <c r="Y320" s="83">
        <f>IF(AND(E320*0.055&gt;20,E320*0.055&lt;250),ROUNDUP(E320*0.055,2),IF(E320*0.055&lt;=20,20,250))</f>
        <v>40.15</v>
      </c>
      <c r="Z320" s="83">
        <f>ROUND(M320*0.05,2)</f>
        <v>0</v>
      </c>
      <c r="AA320" s="83">
        <f>IF(N320=0,0,IF(ROUND(E320*N320,2)&gt;5,ROUND(E320*N320,2),5))</f>
        <v>0</v>
      </c>
      <c r="AB320" s="83">
        <f>IF(O320="Да",ROUND(E320*0.1111,2),0)</f>
        <v>0</v>
      </c>
      <c r="AC320" s="53">
        <f>V320+W320+T320+X320+Y320+Z320+AA320+AB320</f>
        <v>182.8</v>
      </c>
      <c r="AD320" s="8">
        <v>0</v>
      </c>
      <c r="AE320" s="36">
        <f>ROUND(E320*AD320,2)</f>
        <v>0</v>
      </c>
      <c r="AF320" s="6">
        <v>15</v>
      </c>
      <c r="AG320" s="6">
        <v>15</v>
      </c>
      <c r="AH320" s="58">
        <f>AH319*2</f>
        <v>398.6</v>
      </c>
      <c r="AI320" s="57">
        <f>E320-AC320-AE320-AH320</f>
        <v>148.60000000000002</v>
      </c>
      <c r="AJ320" s="17">
        <f>E320-AC320</f>
        <v>547.20000000000005</v>
      </c>
      <c r="AK320" s="20">
        <f>ROUND(AI320/E320,2)</f>
        <v>0.2</v>
      </c>
      <c r="AL320" s="21">
        <f t="shared" si="2"/>
        <v>0.37</v>
      </c>
    </row>
    <row r="321" spans="1:38" x14ac:dyDescent="0.25">
      <c r="A321" s="28"/>
      <c r="B321" s="46" t="s">
        <v>44</v>
      </c>
      <c r="C321" s="31">
        <v>1050</v>
      </c>
      <c r="D321" s="38">
        <v>0</v>
      </c>
      <c r="E321" s="50">
        <f t="shared" si="52"/>
        <v>1050</v>
      </c>
      <c r="F321" s="24">
        <v>0.15</v>
      </c>
      <c r="G321" s="7">
        <v>12</v>
      </c>
      <c r="H321" s="7">
        <v>12</v>
      </c>
      <c r="I321" s="7">
        <v>9</v>
      </c>
      <c r="J321" s="78">
        <f t="shared" si="47"/>
        <v>1.296</v>
      </c>
      <c r="K321" s="2">
        <f t="shared" si="48"/>
        <v>0.3</v>
      </c>
      <c r="L321" s="8">
        <v>0</v>
      </c>
      <c r="M321" s="1">
        <f t="shared" si="49"/>
        <v>0</v>
      </c>
      <c r="N321" s="41">
        <v>0</v>
      </c>
      <c r="O321" s="84" t="s">
        <v>275</v>
      </c>
      <c r="P321" s="24" t="s">
        <v>562</v>
      </c>
      <c r="Q321" s="7" t="s">
        <v>557</v>
      </c>
      <c r="R321" s="7"/>
      <c r="S321" s="81">
        <v>0.09</v>
      </c>
      <c r="T321" s="7">
        <v>25</v>
      </c>
      <c r="U321" s="82"/>
      <c r="V321" s="83">
        <f>ROUNDUP(E321*S321,2)</f>
        <v>94.5</v>
      </c>
      <c r="W321" s="83">
        <f>ROUNDUP(E321*0.015,2)</f>
        <v>15.75</v>
      </c>
      <c r="X321" s="82">
        <f>MAX(MIN(SUMIFS(Логистика!$C$2:$C$38,Логистика!$A$2:$A$38,"&lt;="&amp;K321,Логистика!$B$2:$B$38,"&gt;="&amp;K321)*E321,SUMIFS(Логистика!$E$2:$E$38,Логистика!$A$2:$A$38,"&lt;="&amp;K321,Логистика!$B$2:$B$38,"&gt;="&amp;K321)),SUMIFS(Логистика!$D$2:$D$38,Логистика!$A$2:$A$38,"&lt;="&amp;K321,Логистика!$B$2:$B$38,"&gt;="&amp;K321))</f>
        <v>52.5</v>
      </c>
      <c r="Y321" s="83">
        <f>IF(AND(E321*0.055&gt;20,E321*0.055&lt;250),ROUNDUP(E321*0.055,2),IF(E321*0.055&lt;=20,20,250))</f>
        <v>57.75</v>
      </c>
      <c r="Z321" s="83">
        <f>ROUND(M321*0.05,2)</f>
        <v>0</v>
      </c>
      <c r="AA321" s="83">
        <f>IF(N321=0,0,IF(ROUND(E321*N321,2)&gt;5,ROUND(E321*N321,2),5))</f>
        <v>0</v>
      </c>
      <c r="AB321" s="83">
        <f>IF(O321="Да",ROUND(E321*0.1111,2),0)</f>
        <v>0</v>
      </c>
      <c r="AC321" s="53">
        <f>V321+W321+T321+X321+Y321+Z321+AA321+AB321</f>
        <v>245.5</v>
      </c>
      <c r="AD321" s="8">
        <v>0</v>
      </c>
      <c r="AE321" s="36">
        <f>ROUND(E321*AD321,2)</f>
        <v>0</v>
      </c>
      <c r="AF321" s="6">
        <v>15</v>
      </c>
      <c r="AG321" s="6">
        <v>15</v>
      </c>
      <c r="AH321" s="58">
        <f>AH319*3</f>
        <v>597.90000000000009</v>
      </c>
      <c r="AI321" s="57">
        <f>E321-AC321-AE321-AH321</f>
        <v>206.59999999999991</v>
      </c>
      <c r="AJ321" s="17">
        <f>E321-AC321</f>
        <v>804.5</v>
      </c>
      <c r="AK321" s="20">
        <f>ROUND(AI321/E321,2)</f>
        <v>0.2</v>
      </c>
      <c r="AL321" s="21">
        <f t="shared" ref="AL321:AL337" si="53">ROUND(AI321/AH321,2)</f>
        <v>0.35</v>
      </c>
    </row>
    <row r="322" spans="1:38" x14ac:dyDescent="0.25">
      <c r="A322" s="28"/>
      <c r="B322" s="46" t="s">
        <v>45</v>
      </c>
      <c r="C322" s="31">
        <v>1350</v>
      </c>
      <c r="D322" s="38">
        <v>0</v>
      </c>
      <c r="E322" s="50">
        <f t="shared" si="52"/>
        <v>1350</v>
      </c>
      <c r="F322" s="24">
        <v>0.2</v>
      </c>
      <c r="G322" s="7">
        <v>12</v>
      </c>
      <c r="H322" s="7">
        <v>12</v>
      </c>
      <c r="I322" s="7">
        <v>12</v>
      </c>
      <c r="J322" s="78">
        <f t="shared" si="47"/>
        <v>1.728</v>
      </c>
      <c r="K322" s="2">
        <f t="shared" si="48"/>
        <v>0.3</v>
      </c>
      <c r="L322" s="8">
        <v>0</v>
      </c>
      <c r="M322" s="1">
        <f t="shared" si="49"/>
        <v>0</v>
      </c>
      <c r="N322" s="41">
        <v>0</v>
      </c>
      <c r="O322" s="84" t="s">
        <v>275</v>
      </c>
      <c r="P322" s="24" t="s">
        <v>562</v>
      </c>
      <c r="Q322" s="7" t="s">
        <v>557</v>
      </c>
      <c r="R322" s="7"/>
      <c r="S322" s="81">
        <v>0.09</v>
      </c>
      <c r="T322" s="7">
        <v>25</v>
      </c>
      <c r="U322" s="82"/>
      <c r="V322" s="83">
        <f>ROUNDUP(E322*S322,2)</f>
        <v>121.5</v>
      </c>
      <c r="W322" s="83">
        <f>ROUNDUP(E322*0.015,2)</f>
        <v>20.25</v>
      </c>
      <c r="X322" s="82">
        <f>MAX(MIN(SUMIFS(Логистика!$C$2:$C$38,Логистика!$A$2:$A$38,"&lt;="&amp;K322,Логистика!$B$2:$B$38,"&gt;="&amp;K322)*E322,SUMIFS(Логистика!$E$2:$E$38,Логистика!$A$2:$A$38,"&lt;="&amp;K322,Логистика!$B$2:$B$38,"&gt;="&amp;K322)),SUMIFS(Логистика!$D$2:$D$38,Логистика!$A$2:$A$38,"&lt;="&amp;K322,Логистика!$B$2:$B$38,"&gt;="&amp;K322))</f>
        <v>67.5</v>
      </c>
      <c r="Y322" s="83">
        <f>IF(AND(E322*0.055&gt;20,E322*0.055&lt;250),ROUNDUP(E322*0.055,2),IF(E322*0.055&lt;=20,20,250))</f>
        <v>74.25</v>
      </c>
      <c r="Z322" s="83">
        <f>ROUND(M322*0.05,2)</f>
        <v>0</v>
      </c>
      <c r="AA322" s="83">
        <f>IF(N322=0,0,IF(ROUND(E322*N322,2)&gt;5,ROUND(E322*N322,2),5))</f>
        <v>0</v>
      </c>
      <c r="AB322" s="83">
        <f>IF(O322="Да",ROUND(E322*0.1111,2),0)</f>
        <v>0</v>
      </c>
      <c r="AC322" s="53">
        <f>V322+W322+T322+X322+Y322+Z322+AA322+AB322</f>
        <v>308.5</v>
      </c>
      <c r="AD322" s="8">
        <v>0</v>
      </c>
      <c r="AE322" s="36">
        <f>ROUND(E322*AD322,2)</f>
        <v>0</v>
      </c>
      <c r="AF322" s="6">
        <v>15</v>
      </c>
      <c r="AG322" s="6">
        <v>15</v>
      </c>
      <c r="AH322" s="58">
        <f>AH319*4</f>
        <v>797.2</v>
      </c>
      <c r="AI322" s="57">
        <f>E322-AC322-AE322-AH322</f>
        <v>244.29999999999995</v>
      </c>
      <c r="AJ322" s="17">
        <f>E322-AC322</f>
        <v>1041.5</v>
      </c>
      <c r="AK322" s="20">
        <f>ROUND(AI322/E322,2)</f>
        <v>0.18</v>
      </c>
      <c r="AL322" s="21">
        <f t="shared" si="53"/>
        <v>0.31</v>
      </c>
    </row>
    <row r="323" spans="1:38" x14ac:dyDescent="0.25">
      <c r="A323" s="28"/>
      <c r="B323" s="46" t="s">
        <v>46</v>
      </c>
      <c r="C323" s="31">
        <v>1650</v>
      </c>
      <c r="D323" s="38">
        <v>0</v>
      </c>
      <c r="E323" s="50">
        <f t="shared" si="52"/>
        <v>1650</v>
      </c>
      <c r="F323" s="24">
        <v>0.25</v>
      </c>
      <c r="G323" s="7">
        <v>12</v>
      </c>
      <c r="H323" s="7">
        <v>12</v>
      </c>
      <c r="I323" s="7">
        <v>15</v>
      </c>
      <c r="J323" s="78">
        <f t="shared" si="47"/>
        <v>2.16</v>
      </c>
      <c r="K323" s="2">
        <f t="shared" si="48"/>
        <v>0.4</v>
      </c>
      <c r="L323" s="8">
        <v>0</v>
      </c>
      <c r="M323" s="1">
        <f t="shared" si="49"/>
        <v>0</v>
      </c>
      <c r="N323" s="41">
        <v>0</v>
      </c>
      <c r="O323" s="84" t="s">
        <v>275</v>
      </c>
      <c r="P323" s="24" t="s">
        <v>562</v>
      </c>
      <c r="Q323" s="7" t="s">
        <v>557</v>
      </c>
      <c r="R323" s="7"/>
      <c r="S323" s="81">
        <v>0.09</v>
      </c>
      <c r="T323" s="7">
        <v>25</v>
      </c>
      <c r="U323" s="82"/>
      <c r="V323" s="83">
        <f>ROUNDUP(E323*S323,2)</f>
        <v>148.5</v>
      </c>
      <c r="W323" s="83">
        <f>ROUNDUP(E323*0.015,2)</f>
        <v>24.75</v>
      </c>
      <c r="X323" s="82">
        <f>MAX(MIN(SUMIFS(Логистика!$C$2:$C$38,Логистика!$A$2:$A$38,"&lt;="&amp;K323,Логистика!$B$2:$B$38,"&gt;="&amp;K323)*E323,SUMIFS(Логистика!$E$2:$E$38,Логистика!$A$2:$A$38,"&lt;="&amp;K323,Логистика!$B$2:$B$38,"&gt;="&amp;K323)),SUMIFS(Логистика!$D$2:$D$38,Логистика!$A$2:$A$38,"&lt;="&amp;K323,Логистика!$B$2:$B$38,"&gt;="&amp;K323))</f>
        <v>82.5</v>
      </c>
      <c r="Y323" s="83">
        <f>IF(AND(E323*0.055&gt;20,E323*0.055&lt;250),ROUNDUP(E323*0.055,2),IF(E323*0.055&lt;=20,20,250))</f>
        <v>90.75</v>
      </c>
      <c r="Z323" s="83">
        <f>ROUND(M323*0.05,2)</f>
        <v>0</v>
      </c>
      <c r="AA323" s="83">
        <f>IF(N323=0,0,IF(ROUND(E323*N323,2)&gt;5,ROUND(E323*N323,2),5))</f>
        <v>0</v>
      </c>
      <c r="AB323" s="83">
        <f>IF(O323="Да",ROUND(E323*0.1111,2),0)</f>
        <v>0</v>
      </c>
      <c r="AC323" s="53">
        <f>V323+W323+T323+X323+Y323+Z323+AA323+AB323</f>
        <v>371.5</v>
      </c>
      <c r="AD323" s="8">
        <v>0</v>
      </c>
      <c r="AE323" s="36">
        <f>ROUND(E323*AD323,2)</f>
        <v>0</v>
      </c>
      <c r="AF323" s="6">
        <v>15</v>
      </c>
      <c r="AG323" s="6">
        <v>15</v>
      </c>
      <c r="AH323" s="58">
        <f>AH319*5</f>
        <v>996.5</v>
      </c>
      <c r="AI323" s="57">
        <f>E323-AC323-AE323-AH323</f>
        <v>282</v>
      </c>
      <c r="AJ323" s="17">
        <f>E323-AC323</f>
        <v>1278.5</v>
      </c>
      <c r="AK323" s="20">
        <f>ROUND(AI323/E323,2)</f>
        <v>0.17</v>
      </c>
      <c r="AL323" s="21">
        <f t="shared" si="53"/>
        <v>0.28000000000000003</v>
      </c>
    </row>
    <row r="324" spans="1:38" x14ac:dyDescent="0.25">
      <c r="A324" s="28"/>
      <c r="B324" s="46"/>
      <c r="C324" s="31"/>
      <c r="D324" s="38">
        <v>0</v>
      </c>
      <c r="E324" s="50">
        <f t="shared" si="52"/>
        <v>0</v>
      </c>
      <c r="F324" s="24"/>
      <c r="G324" s="7">
        <v>0</v>
      </c>
      <c r="H324" s="7">
        <v>0</v>
      </c>
      <c r="I324" s="7">
        <v>0</v>
      </c>
      <c r="J324" s="78">
        <f t="shared" ref="J324:J387" si="54">G324*H324*I324/1000</f>
        <v>0</v>
      </c>
      <c r="K324" s="2">
        <f t="shared" si="48"/>
        <v>0</v>
      </c>
      <c r="L324" s="8">
        <v>0</v>
      </c>
      <c r="M324" s="1">
        <f t="shared" si="49"/>
        <v>0</v>
      </c>
      <c r="N324" s="41">
        <v>0</v>
      </c>
      <c r="O324" s="84" t="s">
        <v>275</v>
      </c>
      <c r="P324" s="24" t="s">
        <v>562</v>
      </c>
      <c r="Q324" s="7" t="s">
        <v>557</v>
      </c>
      <c r="R324" s="7"/>
      <c r="S324" s="81"/>
      <c r="T324" s="7"/>
      <c r="U324" s="82"/>
      <c r="V324" s="83">
        <f>ROUNDUP(E324*S324,2)</f>
        <v>0</v>
      </c>
      <c r="W324" s="83">
        <f>ROUNDUP(E324*0.015,2)</f>
        <v>0</v>
      </c>
      <c r="X324" s="82">
        <f>MAX(MIN(SUMIFS(Логистика!$C$2:$C$38,Логистика!$A$2:$A$38,"&lt;="&amp;K324,Логистика!$B$2:$B$38,"&gt;="&amp;K324)*E324,SUMIFS(Логистика!$E$2:$E$38,Логистика!$A$2:$A$38,"&lt;="&amp;K324,Логистика!$B$2:$B$38,"&gt;="&amp;K324)),SUMIFS(Логистика!$D$2:$D$38,Логистика!$A$2:$A$38,"&lt;="&amp;K324,Логистика!$B$2:$B$38,"&gt;="&amp;K324))</f>
        <v>0</v>
      </c>
      <c r="Y324" s="83">
        <f>IF(AND(E324*0.055&gt;20,E324*0.055&lt;250),ROUNDUP(E324*0.055,2),IF(E324*0.055&lt;=20,20,250))</f>
        <v>20</v>
      </c>
      <c r="Z324" s="83">
        <f>ROUND(M324*0.05,2)</f>
        <v>0</v>
      </c>
      <c r="AA324" s="83">
        <f>IF(N324=0,0,IF(ROUND(E324*N324,2)&gt;5,ROUND(E324*N324,2),5))</f>
        <v>0</v>
      </c>
      <c r="AB324" s="83">
        <f>IF(O324="Да",ROUND(E324*0.1111,2),0)</f>
        <v>0</v>
      </c>
      <c r="AC324" s="53">
        <f>V324+W324+T324+X324+Y324+Z324+AA324+AB324</f>
        <v>20</v>
      </c>
      <c r="AD324" s="8">
        <v>0</v>
      </c>
      <c r="AE324" s="36">
        <f>ROUND(E324*AD324,2)</f>
        <v>0</v>
      </c>
      <c r="AF324" s="6">
        <v>15</v>
      </c>
      <c r="AG324" s="6">
        <v>15</v>
      </c>
      <c r="AH324" s="5"/>
      <c r="AI324" s="57">
        <f>E324-AC324-AE324-AH324</f>
        <v>-20</v>
      </c>
      <c r="AJ324" s="17">
        <f>E324-AC324</f>
        <v>-20</v>
      </c>
      <c r="AK324" s="20" t="e">
        <f>ROUND(AI324/E324,2)</f>
        <v>#DIV/0!</v>
      </c>
      <c r="AL324" s="21" t="e">
        <f t="shared" si="53"/>
        <v>#DIV/0!</v>
      </c>
    </row>
    <row r="325" spans="1:38" x14ac:dyDescent="0.25">
      <c r="A325" s="28"/>
      <c r="B325" s="46" t="s">
        <v>47</v>
      </c>
      <c r="C325" s="31">
        <v>370</v>
      </c>
      <c r="D325" s="38">
        <v>0</v>
      </c>
      <c r="E325" s="50">
        <f t="shared" si="52"/>
        <v>370</v>
      </c>
      <c r="F325" s="24">
        <v>0.05</v>
      </c>
      <c r="G325" s="7">
        <v>12</v>
      </c>
      <c r="H325" s="7">
        <v>12</v>
      </c>
      <c r="I325" s="7">
        <v>3</v>
      </c>
      <c r="J325" s="78">
        <f t="shared" si="54"/>
        <v>0.432</v>
      </c>
      <c r="K325" s="2">
        <f t="shared" ref="K325:K388" si="55">ROUND(IF(J325/5&gt;F325,J325/5,F325),1)</f>
        <v>0.1</v>
      </c>
      <c r="L325" s="8">
        <v>0</v>
      </c>
      <c r="M325" s="1">
        <f t="shared" si="49"/>
        <v>0</v>
      </c>
      <c r="N325" s="41">
        <v>0</v>
      </c>
      <c r="O325" s="84" t="s">
        <v>275</v>
      </c>
      <c r="P325" s="24" t="s">
        <v>562</v>
      </c>
      <c r="Q325" s="7" t="s">
        <v>557</v>
      </c>
      <c r="R325" s="7"/>
      <c r="S325" s="81">
        <v>0.09</v>
      </c>
      <c r="T325" s="7">
        <v>25</v>
      </c>
      <c r="U325" s="82"/>
      <c r="V325" s="83">
        <f>ROUNDUP(E325*S325,2)</f>
        <v>33.299999999999997</v>
      </c>
      <c r="W325" s="83">
        <f>ROUNDUP(E325*0.015,2)</f>
        <v>5.55</v>
      </c>
      <c r="X325" s="82">
        <f>MAX(MIN(SUMIFS(Логистика!$C$2:$C$38,Логистика!$A$2:$A$38,"&lt;="&amp;K325,Логистика!$B$2:$B$38,"&gt;="&amp;K325)*E325,SUMIFS(Логистика!$E$2:$E$38,Логистика!$A$2:$A$38,"&lt;="&amp;K325,Логистика!$B$2:$B$38,"&gt;="&amp;K325)),SUMIFS(Логистика!$D$2:$D$38,Логистика!$A$2:$A$38,"&lt;="&amp;K325,Логистика!$B$2:$B$38,"&gt;="&amp;K325))</f>
        <v>40</v>
      </c>
      <c r="Y325" s="83">
        <f>IF(AND(E325*0.055&gt;20,E325*0.055&lt;250),ROUNDUP(E325*0.055,2),IF(E325*0.055&lt;=20,20,250))</f>
        <v>20.350000000000001</v>
      </c>
      <c r="Z325" s="83">
        <f>ROUND(M325*0.05,2)</f>
        <v>0</v>
      </c>
      <c r="AA325" s="83">
        <f>IF(N325=0,0,IF(ROUND(E325*N325,2)&gt;5,ROUND(E325*N325,2),5))</f>
        <v>0</v>
      </c>
      <c r="AB325" s="83">
        <f>IF(O325="Да",ROUND(E325*0.1111,2),0)</f>
        <v>0</v>
      </c>
      <c r="AC325" s="53">
        <f>V325+W325+T325+X325+Y325+Z325+AA325+AB325</f>
        <v>124.19999999999999</v>
      </c>
      <c r="AD325" s="8">
        <v>0</v>
      </c>
      <c r="AE325" s="36">
        <f>ROUND(E325*AD325,2)</f>
        <v>0</v>
      </c>
      <c r="AF325" s="6">
        <v>15</v>
      </c>
      <c r="AG325" s="6">
        <v>15</v>
      </c>
      <c r="AH325" s="5">
        <v>158.9</v>
      </c>
      <c r="AI325" s="57">
        <f>E325-AC325-AE325-AH325</f>
        <v>86.9</v>
      </c>
      <c r="AJ325" s="17">
        <f>E325-AC325</f>
        <v>245.8</v>
      </c>
      <c r="AK325" s="20">
        <f>ROUND(AI325/E325,2)</f>
        <v>0.23</v>
      </c>
      <c r="AL325" s="21">
        <f t="shared" si="53"/>
        <v>0.55000000000000004</v>
      </c>
    </row>
    <row r="326" spans="1:38" x14ac:dyDescent="0.25">
      <c r="A326" s="28"/>
      <c r="B326" s="46" t="s">
        <v>48</v>
      </c>
      <c r="C326" s="31">
        <v>650</v>
      </c>
      <c r="D326" s="38">
        <v>0</v>
      </c>
      <c r="E326" s="50">
        <f t="shared" si="52"/>
        <v>650</v>
      </c>
      <c r="F326" s="24">
        <v>0.1</v>
      </c>
      <c r="G326" s="7">
        <v>12</v>
      </c>
      <c r="H326" s="7">
        <v>12</v>
      </c>
      <c r="I326" s="7">
        <v>6</v>
      </c>
      <c r="J326" s="78">
        <f t="shared" si="54"/>
        <v>0.86399999999999999</v>
      </c>
      <c r="K326" s="2">
        <f t="shared" si="55"/>
        <v>0.2</v>
      </c>
      <c r="L326" s="8">
        <v>0</v>
      </c>
      <c r="M326" s="1">
        <f t="shared" si="49"/>
        <v>0</v>
      </c>
      <c r="N326" s="41">
        <v>0</v>
      </c>
      <c r="O326" s="84" t="s">
        <v>275</v>
      </c>
      <c r="P326" s="24" t="s">
        <v>562</v>
      </c>
      <c r="Q326" s="7" t="s">
        <v>557</v>
      </c>
      <c r="R326" s="7"/>
      <c r="S326" s="81">
        <v>0.09</v>
      </c>
      <c r="T326" s="7">
        <v>25</v>
      </c>
      <c r="U326" s="82"/>
      <c r="V326" s="83">
        <f>ROUNDUP(E326*S326,2)</f>
        <v>58.5</v>
      </c>
      <c r="W326" s="83">
        <f>ROUNDUP(E326*0.015,2)</f>
        <v>9.75</v>
      </c>
      <c r="X326" s="82">
        <f>MAX(MIN(SUMIFS(Логистика!$C$2:$C$38,Логистика!$A$2:$A$38,"&lt;="&amp;K326,Логистика!$B$2:$B$38,"&gt;="&amp;K326)*E326,SUMIFS(Логистика!$E$2:$E$38,Логистика!$A$2:$A$38,"&lt;="&amp;K326,Логистика!$B$2:$B$38,"&gt;="&amp;K326)),SUMIFS(Логистика!$D$2:$D$38,Логистика!$A$2:$A$38,"&lt;="&amp;K326,Логистика!$B$2:$B$38,"&gt;="&amp;K326))</f>
        <v>41</v>
      </c>
      <c r="Y326" s="83">
        <f>IF(AND(E326*0.055&gt;20,E326*0.055&lt;250),ROUNDUP(E326*0.055,2),IF(E326*0.055&lt;=20,20,250))</f>
        <v>35.75</v>
      </c>
      <c r="Z326" s="83">
        <f>ROUND(M326*0.05,2)</f>
        <v>0</v>
      </c>
      <c r="AA326" s="83">
        <f>IF(N326=0,0,IF(ROUND(E326*N326,2)&gt;5,ROUND(E326*N326,2),5))</f>
        <v>0</v>
      </c>
      <c r="AB326" s="83">
        <f>IF(O326="Да",ROUND(E326*0.1111,2),0)</f>
        <v>0</v>
      </c>
      <c r="AC326" s="53">
        <f>V326+W326+T326+X326+Y326+Z326+AA326+AB326</f>
        <v>170</v>
      </c>
      <c r="AD326" s="8">
        <v>0</v>
      </c>
      <c r="AE326" s="36">
        <f>ROUND(E326*AD326,2)</f>
        <v>0</v>
      </c>
      <c r="AF326" s="6">
        <v>15</v>
      </c>
      <c r="AG326" s="6">
        <v>15</v>
      </c>
      <c r="AH326" s="58">
        <f>AH325*2</f>
        <v>317.8</v>
      </c>
      <c r="AI326" s="57">
        <f>E326-AC326-AE326-AH326</f>
        <v>162.19999999999999</v>
      </c>
      <c r="AJ326" s="17">
        <f>E326-AC326</f>
        <v>480</v>
      </c>
      <c r="AK326" s="20">
        <f>ROUND(AI326/E326,2)</f>
        <v>0.25</v>
      </c>
      <c r="AL326" s="21">
        <f t="shared" si="53"/>
        <v>0.51</v>
      </c>
    </row>
    <row r="327" spans="1:38" x14ac:dyDescent="0.25">
      <c r="A327" s="28"/>
      <c r="B327" s="46" t="s">
        <v>49</v>
      </c>
      <c r="C327" s="31">
        <v>890</v>
      </c>
      <c r="D327" s="38">
        <v>0</v>
      </c>
      <c r="E327" s="50">
        <f t="shared" si="52"/>
        <v>890</v>
      </c>
      <c r="F327" s="24">
        <v>0.15</v>
      </c>
      <c r="G327" s="7">
        <v>12</v>
      </c>
      <c r="H327" s="7">
        <v>12</v>
      </c>
      <c r="I327" s="7">
        <v>9</v>
      </c>
      <c r="J327" s="78">
        <f t="shared" si="54"/>
        <v>1.296</v>
      </c>
      <c r="K327" s="2">
        <f t="shared" si="55"/>
        <v>0.3</v>
      </c>
      <c r="L327" s="8">
        <v>0</v>
      </c>
      <c r="M327" s="1">
        <f t="shared" si="49"/>
        <v>0</v>
      </c>
      <c r="N327" s="41">
        <v>0</v>
      </c>
      <c r="O327" s="84" t="s">
        <v>275</v>
      </c>
      <c r="P327" s="24" t="s">
        <v>562</v>
      </c>
      <c r="Q327" s="7" t="s">
        <v>557</v>
      </c>
      <c r="R327" s="7"/>
      <c r="S327" s="81">
        <v>0.09</v>
      </c>
      <c r="T327" s="7">
        <v>25</v>
      </c>
      <c r="U327" s="82"/>
      <c r="V327" s="83">
        <f>ROUNDUP(E327*S327,2)</f>
        <v>80.099999999999994</v>
      </c>
      <c r="W327" s="83">
        <f>ROUNDUP(E327*0.015,2)</f>
        <v>13.35</v>
      </c>
      <c r="X327" s="82">
        <f>MAX(MIN(SUMIFS(Логистика!$C$2:$C$38,Логистика!$A$2:$A$38,"&lt;="&amp;K327,Логистика!$B$2:$B$38,"&gt;="&amp;K327)*E327,SUMIFS(Логистика!$E$2:$E$38,Логистика!$A$2:$A$38,"&lt;="&amp;K327,Логистика!$B$2:$B$38,"&gt;="&amp;K327)),SUMIFS(Логистика!$D$2:$D$38,Логистика!$A$2:$A$38,"&lt;="&amp;K327,Логистика!$B$2:$B$38,"&gt;="&amp;K327))</f>
        <v>44.5</v>
      </c>
      <c r="Y327" s="83">
        <f>IF(AND(E327*0.055&gt;20,E327*0.055&lt;250),ROUNDUP(E327*0.055,2),IF(E327*0.055&lt;=20,20,250))</f>
        <v>48.95</v>
      </c>
      <c r="Z327" s="83">
        <f>ROUND(M327*0.05,2)</f>
        <v>0</v>
      </c>
      <c r="AA327" s="83">
        <f>IF(N327=0,0,IF(ROUND(E327*N327,2)&gt;5,ROUND(E327*N327,2),5))</f>
        <v>0</v>
      </c>
      <c r="AB327" s="83">
        <f>IF(O327="Да",ROUND(E327*0.1111,2),0)</f>
        <v>0</v>
      </c>
      <c r="AC327" s="53">
        <f>V327+W327+T327+X327+Y327+Z327+AA327+AB327</f>
        <v>211.89999999999998</v>
      </c>
      <c r="AD327" s="8">
        <v>0</v>
      </c>
      <c r="AE327" s="36">
        <f>ROUND(E327*AD327,2)</f>
        <v>0</v>
      </c>
      <c r="AF327" s="6">
        <v>15</v>
      </c>
      <c r="AG327" s="6">
        <v>15</v>
      </c>
      <c r="AH327" s="58">
        <f>AH325*3</f>
        <v>476.70000000000005</v>
      </c>
      <c r="AI327" s="57">
        <f>E327-AC327-AE327-AH327</f>
        <v>201.39999999999998</v>
      </c>
      <c r="AJ327" s="17">
        <f>E327-AC327</f>
        <v>678.1</v>
      </c>
      <c r="AK327" s="20">
        <f>ROUND(AI327/E327,2)</f>
        <v>0.23</v>
      </c>
      <c r="AL327" s="21">
        <f t="shared" si="53"/>
        <v>0.42</v>
      </c>
    </row>
    <row r="328" spans="1:38" x14ac:dyDescent="0.25">
      <c r="A328" s="28"/>
      <c r="B328" s="46" t="s">
        <v>50</v>
      </c>
      <c r="C328" s="31">
        <v>1150</v>
      </c>
      <c r="D328" s="38">
        <v>0</v>
      </c>
      <c r="E328" s="50">
        <f t="shared" si="52"/>
        <v>1150</v>
      </c>
      <c r="F328" s="24">
        <v>0.2</v>
      </c>
      <c r="G328" s="7">
        <v>12</v>
      </c>
      <c r="H328" s="7">
        <v>12</v>
      </c>
      <c r="I328" s="7">
        <v>12</v>
      </c>
      <c r="J328" s="78">
        <f t="shared" si="54"/>
        <v>1.728</v>
      </c>
      <c r="K328" s="2">
        <f t="shared" si="55"/>
        <v>0.3</v>
      </c>
      <c r="L328" s="8">
        <v>0</v>
      </c>
      <c r="M328" s="1">
        <f t="shared" si="49"/>
        <v>0</v>
      </c>
      <c r="N328" s="41">
        <v>0</v>
      </c>
      <c r="O328" s="84" t="s">
        <v>275</v>
      </c>
      <c r="P328" s="24" t="s">
        <v>562</v>
      </c>
      <c r="Q328" s="7" t="s">
        <v>557</v>
      </c>
      <c r="R328" s="7"/>
      <c r="S328" s="81">
        <v>0.09</v>
      </c>
      <c r="T328" s="7">
        <v>25</v>
      </c>
      <c r="U328" s="82"/>
      <c r="V328" s="83">
        <f>ROUNDUP(E328*S328,2)</f>
        <v>103.5</v>
      </c>
      <c r="W328" s="83">
        <f>ROUNDUP(E328*0.015,2)</f>
        <v>17.25</v>
      </c>
      <c r="X328" s="82">
        <f>MAX(MIN(SUMIFS(Логистика!$C$2:$C$38,Логистика!$A$2:$A$38,"&lt;="&amp;K328,Логистика!$B$2:$B$38,"&gt;="&amp;K328)*E328,SUMIFS(Логистика!$E$2:$E$38,Логистика!$A$2:$A$38,"&lt;="&amp;K328,Логистика!$B$2:$B$38,"&gt;="&amp;K328)),SUMIFS(Логистика!$D$2:$D$38,Логистика!$A$2:$A$38,"&lt;="&amp;K328,Логистика!$B$2:$B$38,"&gt;="&amp;K328))</f>
        <v>57.5</v>
      </c>
      <c r="Y328" s="83">
        <f>IF(AND(E328*0.055&gt;20,E328*0.055&lt;250),ROUNDUP(E328*0.055,2),IF(E328*0.055&lt;=20,20,250))</f>
        <v>63.25</v>
      </c>
      <c r="Z328" s="83">
        <f>ROUND(M328*0.05,2)</f>
        <v>0</v>
      </c>
      <c r="AA328" s="83">
        <f>IF(N328=0,0,IF(ROUND(E328*N328,2)&gt;5,ROUND(E328*N328,2),5))</f>
        <v>0</v>
      </c>
      <c r="AB328" s="83">
        <f>IF(O328="Да",ROUND(E328*0.1111,2),0)</f>
        <v>0</v>
      </c>
      <c r="AC328" s="53">
        <f>V328+W328+T328+X328+Y328+Z328+AA328+AB328</f>
        <v>266.5</v>
      </c>
      <c r="AD328" s="8">
        <v>0</v>
      </c>
      <c r="AE328" s="36">
        <f>ROUND(E328*AD328,2)</f>
        <v>0</v>
      </c>
      <c r="AF328" s="6">
        <v>15</v>
      </c>
      <c r="AG328" s="6">
        <v>15</v>
      </c>
      <c r="AH328" s="58">
        <f>AH325*4</f>
        <v>635.6</v>
      </c>
      <c r="AI328" s="57">
        <f>E328-AC328-AE328-AH328</f>
        <v>247.89999999999998</v>
      </c>
      <c r="AJ328" s="17">
        <f>E328-AC328</f>
        <v>883.5</v>
      </c>
      <c r="AK328" s="20">
        <f>ROUND(AI328/E328,2)</f>
        <v>0.22</v>
      </c>
      <c r="AL328" s="21">
        <f t="shared" si="53"/>
        <v>0.39</v>
      </c>
    </row>
    <row r="329" spans="1:38" x14ac:dyDescent="0.25">
      <c r="A329" s="28"/>
      <c r="B329" s="46" t="s">
        <v>51</v>
      </c>
      <c r="C329" s="31">
        <v>1420</v>
      </c>
      <c r="D329" s="38">
        <v>0</v>
      </c>
      <c r="E329" s="50">
        <f t="shared" si="52"/>
        <v>1420</v>
      </c>
      <c r="F329" s="24">
        <v>0.25</v>
      </c>
      <c r="G329" s="7">
        <v>12</v>
      </c>
      <c r="H329" s="7">
        <v>12</v>
      </c>
      <c r="I329" s="7">
        <v>15</v>
      </c>
      <c r="J329" s="78">
        <f t="shared" si="54"/>
        <v>2.16</v>
      </c>
      <c r="K329" s="2">
        <f t="shared" si="55"/>
        <v>0.4</v>
      </c>
      <c r="L329" s="8">
        <v>0</v>
      </c>
      <c r="M329" s="1">
        <f t="shared" si="49"/>
        <v>0</v>
      </c>
      <c r="N329" s="41">
        <v>0</v>
      </c>
      <c r="O329" s="84" t="s">
        <v>275</v>
      </c>
      <c r="P329" s="24" t="s">
        <v>562</v>
      </c>
      <c r="Q329" s="7" t="s">
        <v>557</v>
      </c>
      <c r="R329" s="7"/>
      <c r="S329" s="81">
        <v>0.09</v>
      </c>
      <c r="T329" s="7">
        <v>25</v>
      </c>
      <c r="U329" s="82"/>
      <c r="V329" s="83">
        <f>ROUNDUP(E329*S329,2)</f>
        <v>127.8</v>
      </c>
      <c r="W329" s="83">
        <f>ROUNDUP(E329*0.015,2)</f>
        <v>21.3</v>
      </c>
      <c r="X329" s="82">
        <f>MAX(MIN(SUMIFS(Логистика!$C$2:$C$38,Логистика!$A$2:$A$38,"&lt;="&amp;K329,Логистика!$B$2:$B$38,"&gt;="&amp;K329)*E329,SUMIFS(Логистика!$E$2:$E$38,Логистика!$A$2:$A$38,"&lt;="&amp;K329,Логистика!$B$2:$B$38,"&gt;="&amp;K329)),SUMIFS(Логистика!$D$2:$D$38,Логистика!$A$2:$A$38,"&lt;="&amp;K329,Логистика!$B$2:$B$38,"&gt;="&amp;K329))</f>
        <v>71</v>
      </c>
      <c r="Y329" s="83">
        <f>IF(AND(E329*0.055&gt;20,E329*0.055&lt;250),ROUNDUP(E329*0.055,2),IF(E329*0.055&lt;=20,20,250))</f>
        <v>78.099999999999994</v>
      </c>
      <c r="Z329" s="83">
        <f>ROUND(M329*0.05,2)</f>
        <v>0</v>
      </c>
      <c r="AA329" s="83">
        <f>IF(N329=0,0,IF(ROUND(E329*N329,2)&gt;5,ROUND(E329*N329,2),5))</f>
        <v>0</v>
      </c>
      <c r="AB329" s="83">
        <f>IF(O329="Да",ROUND(E329*0.1111,2),0)</f>
        <v>0</v>
      </c>
      <c r="AC329" s="53">
        <f>V329+W329+T329+X329+Y329+Z329+AA329+AB329</f>
        <v>323.2</v>
      </c>
      <c r="AD329" s="8">
        <v>0</v>
      </c>
      <c r="AE329" s="36">
        <f>ROUND(E329*AD329,2)</f>
        <v>0</v>
      </c>
      <c r="AF329" s="6">
        <v>15</v>
      </c>
      <c r="AG329" s="6">
        <v>15</v>
      </c>
      <c r="AH329" s="58">
        <f>AH325*5</f>
        <v>794.5</v>
      </c>
      <c r="AI329" s="57">
        <f>E329-AC329-AE329-AH329</f>
        <v>302.29999999999995</v>
      </c>
      <c r="AJ329" s="17">
        <f>E329-AC329</f>
        <v>1096.8</v>
      </c>
      <c r="AK329" s="20">
        <f>ROUND(AI329/E329,2)</f>
        <v>0.21</v>
      </c>
      <c r="AL329" s="21">
        <f t="shared" si="53"/>
        <v>0.38</v>
      </c>
    </row>
    <row r="330" spans="1:38" x14ac:dyDescent="0.25">
      <c r="A330" s="28"/>
      <c r="B330" s="46"/>
      <c r="C330" s="31"/>
      <c r="D330" s="38">
        <v>0</v>
      </c>
      <c r="E330" s="50">
        <f t="shared" si="52"/>
        <v>0</v>
      </c>
      <c r="F330" s="24"/>
      <c r="G330" s="7">
        <v>0</v>
      </c>
      <c r="H330" s="7">
        <v>0</v>
      </c>
      <c r="I330" s="7">
        <v>0</v>
      </c>
      <c r="J330" s="78">
        <f t="shared" si="54"/>
        <v>0</v>
      </c>
      <c r="K330" s="2">
        <f t="shared" si="55"/>
        <v>0</v>
      </c>
      <c r="L330" s="8">
        <v>0</v>
      </c>
      <c r="M330" s="1">
        <f t="shared" si="49"/>
        <v>0</v>
      </c>
      <c r="N330" s="41">
        <v>0</v>
      </c>
      <c r="O330" s="84" t="s">
        <v>275</v>
      </c>
      <c r="P330" s="24" t="s">
        <v>562</v>
      </c>
      <c r="Q330" s="7" t="s">
        <v>557</v>
      </c>
      <c r="R330" s="7"/>
      <c r="S330" s="81"/>
      <c r="T330" s="7"/>
      <c r="U330" s="82"/>
      <c r="V330" s="83">
        <f>ROUNDUP(E330*S330,2)</f>
        <v>0</v>
      </c>
      <c r="W330" s="83">
        <f>ROUNDUP(E330*0.015,2)</f>
        <v>0</v>
      </c>
      <c r="X330" s="82">
        <f>MAX(MIN(SUMIFS(Логистика!$C$2:$C$38,Логистика!$A$2:$A$38,"&lt;="&amp;K330,Логистика!$B$2:$B$38,"&gt;="&amp;K330)*E330,SUMIFS(Логистика!$E$2:$E$38,Логистика!$A$2:$A$38,"&lt;="&amp;K330,Логистика!$B$2:$B$38,"&gt;="&amp;K330)),SUMIFS(Логистика!$D$2:$D$38,Логистика!$A$2:$A$38,"&lt;="&amp;K330,Логистика!$B$2:$B$38,"&gt;="&amp;K330))</f>
        <v>0</v>
      </c>
      <c r="Y330" s="83">
        <f>IF(AND(E330*0.055&gt;20,E330*0.055&lt;250),ROUNDUP(E330*0.055,2),IF(E330*0.055&lt;=20,20,250))</f>
        <v>20</v>
      </c>
      <c r="Z330" s="83">
        <f>ROUND(M330*0.05,2)</f>
        <v>0</v>
      </c>
      <c r="AA330" s="83">
        <f>IF(N330=0,0,IF(ROUND(E330*N330,2)&gt;5,ROUND(E330*N330,2),5))</f>
        <v>0</v>
      </c>
      <c r="AB330" s="83">
        <f>IF(O330="Да",ROUND(E330*0.1111,2),0)</f>
        <v>0</v>
      </c>
      <c r="AC330" s="53">
        <f>V330+W330+T330+X330+Y330+Z330+AA330+AB330</f>
        <v>20</v>
      </c>
      <c r="AD330" s="8">
        <v>0</v>
      </c>
      <c r="AE330" s="36">
        <f>ROUND(E330*AD330,2)</f>
        <v>0</v>
      </c>
      <c r="AF330" s="6">
        <v>15</v>
      </c>
      <c r="AG330" s="6">
        <v>15</v>
      </c>
      <c r="AH330" s="5"/>
      <c r="AI330" s="57">
        <f>E330-AC330-AE330-AH330</f>
        <v>-20</v>
      </c>
      <c r="AJ330" s="17">
        <f>E330-AC330</f>
        <v>-20</v>
      </c>
      <c r="AK330" s="20" t="e">
        <f>ROUND(AI330/E330,2)</f>
        <v>#DIV/0!</v>
      </c>
      <c r="AL330" s="21" t="e">
        <f t="shared" si="53"/>
        <v>#DIV/0!</v>
      </c>
    </row>
    <row r="331" spans="1:38" x14ac:dyDescent="0.25">
      <c r="A331" s="28" t="s">
        <v>193</v>
      </c>
      <c r="B331" s="46" t="s">
        <v>52</v>
      </c>
      <c r="C331" s="31">
        <v>350</v>
      </c>
      <c r="D331" s="38">
        <v>0</v>
      </c>
      <c r="E331" s="50">
        <f t="shared" si="52"/>
        <v>350</v>
      </c>
      <c r="F331" s="24">
        <v>0.05</v>
      </c>
      <c r="G331" s="7">
        <v>12</v>
      </c>
      <c r="H331" s="7">
        <v>12</v>
      </c>
      <c r="I331" s="7">
        <v>3</v>
      </c>
      <c r="J331" s="78">
        <f t="shared" si="54"/>
        <v>0.432</v>
      </c>
      <c r="K331" s="2">
        <f t="shared" si="55"/>
        <v>0.1</v>
      </c>
      <c r="L331" s="8">
        <v>0</v>
      </c>
      <c r="M331" s="1">
        <f t="shared" si="49"/>
        <v>0</v>
      </c>
      <c r="N331" s="41">
        <v>0</v>
      </c>
      <c r="O331" s="84" t="s">
        <v>275</v>
      </c>
      <c r="P331" s="24" t="s">
        <v>562</v>
      </c>
      <c r="Q331" s="7" t="s">
        <v>557</v>
      </c>
      <c r="R331" s="7"/>
      <c r="S331" s="81">
        <v>0.09</v>
      </c>
      <c r="T331" s="7">
        <v>25</v>
      </c>
      <c r="U331" s="82"/>
      <c r="V331" s="83">
        <f>ROUNDUP(E331*S331,2)</f>
        <v>31.5</v>
      </c>
      <c r="W331" s="83">
        <f>ROUNDUP(E331*0.015,2)</f>
        <v>5.25</v>
      </c>
      <c r="X331" s="82">
        <f>MAX(MIN(SUMIFS(Логистика!$C$2:$C$38,Логистика!$A$2:$A$38,"&lt;="&amp;K331,Логистика!$B$2:$B$38,"&gt;="&amp;K331)*E331,SUMIFS(Логистика!$E$2:$E$38,Логистика!$A$2:$A$38,"&lt;="&amp;K331,Логистика!$B$2:$B$38,"&gt;="&amp;K331)),SUMIFS(Логистика!$D$2:$D$38,Логистика!$A$2:$A$38,"&lt;="&amp;K331,Логистика!$B$2:$B$38,"&gt;="&amp;K331))</f>
        <v>40</v>
      </c>
      <c r="Y331" s="83">
        <f>IF(AND(E331*0.055&gt;20,E331*0.055&lt;250),ROUNDUP(E331*0.055,2),IF(E331*0.055&lt;=20,20,250))</f>
        <v>20</v>
      </c>
      <c r="Z331" s="83">
        <f>ROUND(M331*0.05,2)</f>
        <v>0</v>
      </c>
      <c r="AA331" s="83">
        <f>IF(N331=0,0,IF(ROUND(E331*N331,2)&gt;5,ROUND(E331*N331,2),5))</f>
        <v>0</v>
      </c>
      <c r="AB331" s="83">
        <f>IF(O331="Да",ROUND(E331*0.1111,2),0)</f>
        <v>0</v>
      </c>
      <c r="AC331" s="53">
        <f>V331+W331+T331+X331+Y331+Z331+AA331+AB331</f>
        <v>121.75</v>
      </c>
      <c r="AD331" s="8">
        <v>0</v>
      </c>
      <c r="AE331" s="36">
        <f>ROUND(E331*AD331,2)</f>
        <v>0</v>
      </c>
      <c r="AF331" s="6">
        <v>15</v>
      </c>
      <c r="AG331" s="6">
        <v>15</v>
      </c>
      <c r="AH331" s="5">
        <v>130</v>
      </c>
      <c r="AI331" s="57">
        <f>E331-AC331-AE331-AH331</f>
        <v>98.25</v>
      </c>
      <c r="AJ331" s="17">
        <f>E331-AC331</f>
        <v>228.25</v>
      </c>
      <c r="AK331" s="20">
        <f>ROUND(AI331/E331,2)</f>
        <v>0.28000000000000003</v>
      </c>
      <c r="AL331" s="21">
        <f t="shared" si="53"/>
        <v>0.76</v>
      </c>
    </row>
    <row r="332" spans="1:38" x14ac:dyDescent="0.25">
      <c r="A332" s="28" t="s">
        <v>194</v>
      </c>
      <c r="B332" s="46" t="s">
        <v>53</v>
      </c>
      <c r="C332" s="31">
        <v>570</v>
      </c>
      <c r="D332" s="38">
        <v>0</v>
      </c>
      <c r="E332" s="50">
        <f t="shared" si="52"/>
        <v>570</v>
      </c>
      <c r="F332" s="24">
        <v>0.1</v>
      </c>
      <c r="G332" s="7">
        <v>12</v>
      </c>
      <c r="H332" s="7">
        <v>12</v>
      </c>
      <c r="I332" s="7">
        <v>6</v>
      </c>
      <c r="J332" s="78">
        <f t="shared" si="54"/>
        <v>0.86399999999999999</v>
      </c>
      <c r="K332" s="2">
        <f t="shared" si="55"/>
        <v>0.2</v>
      </c>
      <c r="L332" s="8">
        <v>0</v>
      </c>
      <c r="M332" s="1">
        <f t="shared" si="49"/>
        <v>0</v>
      </c>
      <c r="N332" s="41">
        <v>0</v>
      </c>
      <c r="O332" s="84" t="s">
        <v>275</v>
      </c>
      <c r="P332" s="24" t="s">
        <v>562</v>
      </c>
      <c r="Q332" s="7" t="s">
        <v>557</v>
      </c>
      <c r="R332" s="7"/>
      <c r="S332" s="81">
        <v>0.09</v>
      </c>
      <c r="T332" s="7">
        <v>25</v>
      </c>
      <c r="U332" s="82"/>
      <c r="V332" s="83">
        <f>ROUNDUP(E332*S332,2)</f>
        <v>51.3</v>
      </c>
      <c r="W332" s="83">
        <f>ROUNDUP(E332*0.015,2)</f>
        <v>8.5500000000000007</v>
      </c>
      <c r="X332" s="82">
        <f>MAX(MIN(SUMIFS(Логистика!$C$2:$C$38,Логистика!$A$2:$A$38,"&lt;="&amp;K332,Логистика!$B$2:$B$38,"&gt;="&amp;K332)*E332,SUMIFS(Логистика!$E$2:$E$38,Логистика!$A$2:$A$38,"&lt;="&amp;K332,Логистика!$B$2:$B$38,"&gt;="&amp;K332)),SUMIFS(Логистика!$D$2:$D$38,Логистика!$A$2:$A$38,"&lt;="&amp;K332,Логистика!$B$2:$B$38,"&gt;="&amp;K332))</f>
        <v>41</v>
      </c>
      <c r="Y332" s="83">
        <f>IF(AND(E332*0.055&gt;20,E332*0.055&lt;250),ROUNDUP(E332*0.055,2),IF(E332*0.055&lt;=20,20,250))</f>
        <v>31.35</v>
      </c>
      <c r="Z332" s="83">
        <f>ROUND(M332*0.05,2)</f>
        <v>0</v>
      </c>
      <c r="AA332" s="83">
        <f>IF(N332=0,0,IF(ROUND(E332*N332,2)&gt;5,ROUND(E332*N332,2),5))</f>
        <v>0</v>
      </c>
      <c r="AB332" s="83">
        <f>IF(O332="Да",ROUND(E332*0.1111,2),0)</f>
        <v>0</v>
      </c>
      <c r="AC332" s="53">
        <f>V332+W332+T332+X332+Y332+Z332+AA332+AB332</f>
        <v>157.19999999999999</v>
      </c>
      <c r="AD332" s="8">
        <v>0</v>
      </c>
      <c r="AE332" s="36">
        <f>ROUND(E332*AD332,2)</f>
        <v>0</v>
      </c>
      <c r="AF332" s="6">
        <v>15</v>
      </c>
      <c r="AG332" s="6">
        <v>15</v>
      </c>
      <c r="AH332" s="58">
        <f>AH331*2</f>
        <v>260</v>
      </c>
      <c r="AI332" s="57">
        <f>E332-AC332-AE332-AH332</f>
        <v>152.80000000000001</v>
      </c>
      <c r="AJ332" s="17">
        <f>E332-AC332</f>
        <v>412.8</v>
      </c>
      <c r="AK332" s="20">
        <f>ROUND(AI332/E332,2)</f>
        <v>0.27</v>
      </c>
      <c r="AL332" s="21">
        <f t="shared" si="53"/>
        <v>0.59</v>
      </c>
    </row>
    <row r="333" spans="1:38" x14ac:dyDescent="0.25">
      <c r="A333" s="28" t="s">
        <v>195</v>
      </c>
      <c r="B333" s="46" t="s">
        <v>54</v>
      </c>
      <c r="C333" s="31">
        <v>790</v>
      </c>
      <c r="D333" s="38">
        <v>0</v>
      </c>
      <c r="E333" s="50">
        <f t="shared" si="52"/>
        <v>790</v>
      </c>
      <c r="F333" s="24">
        <v>0.15</v>
      </c>
      <c r="G333" s="7">
        <v>12</v>
      </c>
      <c r="H333" s="7">
        <v>12</v>
      </c>
      <c r="I333" s="7">
        <v>9</v>
      </c>
      <c r="J333" s="78">
        <f t="shared" si="54"/>
        <v>1.296</v>
      </c>
      <c r="K333" s="2">
        <f t="shared" si="55"/>
        <v>0.3</v>
      </c>
      <c r="L333" s="8">
        <v>0</v>
      </c>
      <c r="M333" s="1">
        <f t="shared" si="49"/>
        <v>0</v>
      </c>
      <c r="N333" s="41">
        <v>0</v>
      </c>
      <c r="O333" s="84" t="s">
        <v>275</v>
      </c>
      <c r="P333" s="24" t="s">
        <v>562</v>
      </c>
      <c r="Q333" s="7" t="s">
        <v>557</v>
      </c>
      <c r="R333" s="7"/>
      <c r="S333" s="81">
        <v>0.09</v>
      </c>
      <c r="T333" s="7">
        <v>25</v>
      </c>
      <c r="U333" s="82"/>
      <c r="V333" s="83">
        <f>ROUNDUP(E333*S333,2)</f>
        <v>71.099999999999994</v>
      </c>
      <c r="W333" s="83">
        <f>ROUNDUP(E333*0.015,2)</f>
        <v>11.85</v>
      </c>
      <c r="X333" s="82">
        <f>MAX(MIN(SUMIFS(Логистика!$C$2:$C$38,Логистика!$A$2:$A$38,"&lt;="&amp;K333,Логистика!$B$2:$B$38,"&gt;="&amp;K333)*E333,SUMIFS(Логистика!$E$2:$E$38,Логистика!$A$2:$A$38,"&lt;="&amp;K333,Логистика!$B$2:$B$38,"&gt;="&amp;K333)),SUMIFS(Логистика!$D$2:$D$38,Логистика!$A$2:$A$38,"&lt;="&amp;K333,Логистика!$B$2:$B$38,"&gt;="&amp;K333))</f>
        <v>42</v>
      </c>
      <c r="Y333" s="83">
        <f>IF(AND(E333*0.055&gt;20,E333*0.055&lt;250),ROUNDUP(E333*0.055,2),IF(E333*0.055&lt;=20,20,250))</f>
        <v>43.45</v>
      </c>
      <c r="Z333" s="83">
        <f>ROUND(M333*0.05,2)</f>
        <v>0</v>
      </c>
      <c r="AA333" s="83">
        <f>IF(N333=0,0,IF(ROUND(E333*N333,2)&gt;5,ROUND(E333*N333,2),5))</f>
        <v>0</v>
      </c>
      <c r="AB333" s="83">
        <f>IF(O333="Да",ROUND(E333*0.1111,2),0)</f>
        <v>0</v>
      </c>
      <c r="AC333" s="53">
        <f>V333+W333+T333+X333+Y333+Z333+AA333+AB333</f>
        <v>193.39999999999998</v>
      </c>
      <c r="AD333" s="8">
        <v>0</v>
      </c>
      <c r="AE333" s="36">
        <f>ROUND(E333*AD333,2)</f>
        <v>0</v>
      </c>
      <c r="AF333" s="6">
        <v>15</v>
      </c>
      <c r="AG333" s="6">
        <v>15</v>
      </c>
      <c r="AH333" s="58">
        <f>AH331*3</f>
        <v>390</v>
      </c>
      <c r="AI333" s="57">
        <f>E333-AC333-AE333-AH333</f>
        <v>206.60000000000002</v>
      </c>
      <c r="AJ333" s="17">
        <f>E333-AC333</f>
        <v>596.6</v>
      </c>
      <c r="AK333" s="20">
        <f>ROUND(AI333/E333,2)</f>
        <v>0.26</v>
      </c>
      <c r="AL333" s="21">
        <f t="shared" si="53"/>
        <v>0.53</v>
      </c>
    </row>
    <row r="334" spans="1:38" x14ac:dyDescent="0.25">
      <c r="A334" s="28" t="s">
        <v>196</v>
      </c>
      <c r="B334" s="46" t="s">
        <v>55</v>
      </c>
      <c r="C334" s="31">
        <v>990</v>
      </c>
      <c r="D334" s="38">
        <v>0</v>
      </c>
      <c r="E334" s="50">
        <f t="shared" si="52"/>
        <v>990</v>
      </c>
      <c r="F334" s="24">
        <v>0.2</v>
      </c>
      <c r="G334" s="7">
        <v>12</v>
      </c>
      <c r="H334" s="7">
        <v>12</v>
      </c>
      <c r="I334" s="7">
        <v>12</v>
      </c>
      <c r="J334" s="78">
        <f t="shared" si="54"/>
        <v>1.728</v>
      </c>
      <c r="K334" s="2">
        <f t="shared" si="55"/>
        <v>0.3</v>
      </c>
      <c r="L334" s="8">
        <v>0</v>
      </c>
      <c r="M334" s="1">
        <f t="shared" si="49"/>
        <v>0</v>
      </c>
      <c r="N334" s="41">
        <v>0</v>
      </c>
      <c r="O334" s="84" t="s">
        <v>275</v>
      </c>
      <c r="P334" s="24" t="s">
        <v>562</v>
      </c>
      <c r="Q334" s="7" t="s">
        <v>557</v>
      </c>
      <c r="R334" s="7"/>
      <c r="S334" s="81">
        <v>0.09</v>
      </c>
      <c r="T334" s="7">
        <v>25</v>
      </c>
      <c r="U334" s="82"/>
      <c r="V334" s="83">
        <f>ROUNDUP(E334*S334,2)</f>
        <v>89.1</v>
      </c>
      <c r="W334" s="83">
        <f>ROUNDUP(E334*0.015,2)</f>
        <v>14.85</v>
      </c>
      <c r="X334" s="82">
        <f>MAX(MIN(SUMIFS(Логистика!$C$2:$C$38,Логистика!$A$2:$A$38,"&lt;="&amp;K334,Логистика!$B$2:$B$38,"&gt;="&amp;K334)*E334,SUMIFS(Логистика!$E$2:$E$38,Логистика!$A$2:$A$38,"&lt;="&amp;K334,Логистика!$B$2:$B$38,"&gt;="&amp;K334)),SUMIFS(Логистика!$D$2:$D$38,Логистика!$A$2:$A$38,"&lt;="&amp;K334,Логистика!$B$2:$B$38,"&gt;="&amp;K334))</f>
        <v>49.5</v>
      </c>
      <c r="Y334" s="83">
        <f>IF(AND(E334*0.055&gt;20,E334*0.055&lt;250),ROUNDUP(E334*0.055,2),IF(E334*0.055&lt;=20,20,250))</f>
        <v>54.45</v>
      </c>
      <c r="Z334" s="83">
        <f>ROUND(M334*0.05,2)</f>
        <v>0</v>
      </c>
      <c r="AA334" s="83">
        <f>IF(N334=0,0,IF(ROUND(E334*N334,2)&gt;5,ROUND(E334*N334,2),5))</f>
        <v>0</v>
      </c>
      <c r="AB334" s="83">
        <f>IF(O334="Да",ROUND(E334*0.1111,2),0)</f>
        <v>0</v>
      </c>
      <c r="AC334" s="53">
        <f>V334+W334+T334+X334+Y334+Z334+AA334+AB334</f>
        <v>232.89999999999998</v>
      </c>
      <c r="AD334" s="8">
        <v>0</v>
      </c>
      <c r="AE334" s="36">
        <f>ROUND(E334*AD334,2)</f>
        <v>0</v>
      </c>
      <c r="AF334" s="6">
        <v>15</v>
      </c>
      <c r="AG334" s="6">
        <v>15</v>
      </c>
      <c r="AH334" s="58">
        <f>AH331*4</f>
        <v>520</v>
      </c>
      <c r="AI334" s="57">
        <f>E334-AC334-AE334-AH334</f>
        <v>237.10000000000002</v>
      </c>
      <c r="AJ334" s="17">
        <f>E334-AC334</f>
        <v>757.1</v>
      </c>
      <c r="AK334" s="20">
        <f>ROUND(AI334/E334,2)</f>
        <v>0.24</v>
      </c>
      <c r="AL334" s="21">
        <f t="shared" si="53"/>
        <v>0.46</v>
      </c>
    </row>
    <row r="335" spans="1:38" x14ac:dyDescent="0.25">
      <c r="A335" s="28" t="s">
        <v>197</v>
      </c>
      <c r="B335" s="46" t="s">
        <v>56</v>
      </c>
      <c r="C335" s="31">
        <v>1190</v>
      </c>
      <c r="D335" s="38">
        <v>0</v>
      </c>
      <c r="E335" s="50">
        <f t="shared" si="52"/>
        <v>1190</v>
      </c>
      <c r="F335" s="24">
        <v>0.25</v>
      </c>
      <c r="G335" s="7">
        <v>12</v>
      </c>
      <c r="H335" s="7">
        <v>12</v>
      </c>
      <c r="I335" s="7">
        <v>15</v>
      </c>
      <c r="J335" s="78">
        <f t="shared" si="54"/>
        <v>2.16</v>
      </c>
      <c r="K335" s="2">
        <f t="shared" si="55"/>
        <v>0.4</v>
      </c>
      <c r="L335" s="8">
        <v>0</v>
      </c>
      <c r="M335" s="1">
        <f t="shared" si="49"/>
        <v>0</v>
      </c>
      <c r="N335" s="41">
        <v>0</v>
      </c>
      <c r="O335" s="84" t="s">
        <v>275</v>
      </c>
      <c r="P335" s="24" t="s">
        <v>562</v>
      </c>
      <c r="Q335" s="7" t="s">
        <v>557</v>
      </c>
      <c r="R335" s="7"/>
      <c r="S335" s="81">
        <v>0.09</v>
      </c>
      <c r="T335" s="7">
        <v>25</v>
      </c>
      <c r="U335" s="82"/>
      <c r="V335" s="83">
        <f>ROUNDUP(E335*S335,2)</f>
        <v>107.1</v>
      </c>
      <c r="W335" s="83">
        <f>ROUNDUP(E335*0.015,2)</f>
        <v>17.850000000000001</v>
      </c>
      <c r="X335" s="82">
        <f>MAX(MIN(SUMIFS(Логистика!$C$2:$C$38,Логистика!$A$2:$A$38,"&lt;="&amp;K335,Логистика!$B$2:$B$38,"&gt;="&amp;K335)*E335,SUMIFS(Логистика!$E$2:$E$38,Логистика!$A$2:$A$38,"&lt;="&amp;K335,Логистика!$B$2:$B$38,"&gt;="&amp;K335)),SUMIFS(Логистика!$D$2:$D$38,Логистика!$A$2:$A$38,"&lt;="&amp;K335,Логистика!$B$2:$B$38,"&gt;="&amp;K335))</f>
        <v>59.5</v>
      </c>
      <c r="Y335" s="83">
        <f>IF(AND(E335*0.055&gt;20,E335*0.055&lt;250),ROUNDUP(E335*0.055,2),IF(E335*0.055&lt;=20,20,250))</f>
        <v>65.45</v>
      </c>
      <c r="Z335" s="83">
        <f>ROUND(M335*0.05,2)</f>
        <v>0</v>
      </c>
      <c r="AA335" s="83">
        <f>IF(N335=0,0,IF(ROUND(E335*N335,2)&gt;5,ROUND(E335*N335,2),5))</f>
        <v>0</v>
      </c>
      <c r="AB335" s="83">
        <f>IF(O335="Да",ROUND(E335*0.1111,2),0)</f>
        <v>0</v>
      </c>
      <c r="AC335" s="53">
        <f>V335+W335+T335+X335+Y335+Z335+AA335+AB335</f>
        <v>274.89999999999998</v>
      </c>
      <c r="AD335" s="8">
        <v>0</v>
      </c>
      <c r="AE335" s="36">
        <f>ROUND(E335*AD335,2)</f>
        <v>0</v>
      </c>
      <c r="AF335" s="6">
        <v>15</v>
      </c>
      <c r="AG335" s="6">
        <v>15</v>
      </c>
      <c r="AH335" s="58">
        <f>AH331*5</f>
        <v>650</v>
      </c>
      <c r="AI335" s="57">
        <f>E335-AC335-AE335-AH335</f>
        <v>265.10000000000002</v>
      </c>
      <c r="AJ335" s="17">
        <f>E335-AC335</f>
        <v>915.1</v>
      </c>
      <c r="AK335" s="20">
        <f>ROUND(AI335/E335,2)</f>
        <v>0.22</v>
      </c>
      <c r="AL335" s="21">
        <f t="shared" si="53"/>
        <v>0.41</v>
      </c>
    </row>
    <row r="336" spans="1:38" x14ac:dyDescent="0.25">
      <c r="A336" s="28"/>
      <c r="B336" s="46"/>
      <c r="C336" s="31"/>
      <c r="D336" s="38">
        <v>0</v>
      </c>
      <c r="E336" s="50">
        <f t="shared" si="52"/>
        <v>0</v>
      </c>
      <c r="F336" s="24"/>
      <c r="G336" s="7">
        <v>0</v>
      </c>
      <c r="H336" s="7">
        <v>0</v>
      </c>
      <c r="I336" s="7">
        <v>0</v>
      </c>
      <c r="J336" s="78">
        <f t="shared" si="54"/>
        <v>0</v>
      </c>
      <c r="K336" s="2">
        <f t="shared" si="55"/>
        <v>0</v>
      </c>
      <c r="L336" s="8">
        <v>0</v>
      </c>
      <c r="M336" s="1">
        <f t="shared" si="49"/>
        <v>0</v>
      </c>
      <c r="N336" s="41">
        <v>0</v>
      </c>
      <c r="O336" s="84" t="s">
        <v>275</v>
      </c>
      <c r="P336" s="24" t="s">
        <v>562</v>
      </c>
      <c r="Q336" s="7" t="s">
        <v>557</v>
      </c>
      <c r="R336" s="7"/>
      <c r="S336" s="81"/>
      <c r="T336" s="7"/>
      <c r="U336" s="82"/>
      <c r="V336" s="83">
        <f>ROUNDUP(E336*S336,2)</f>
        <v>0</v>
      </c>
      <c r="W336" s="83">
        <f>ROUNDUP(E336*0.015,2)</f>
        <v>0</v>
      </c>
      <c r="X336" s="82">
        <f>MAX(MIN(SUMIFS(Логистика!$C$2:$C$38,Логистика!$A$2:$A$38,"&lt;="&amp;K336,Логистика!$B$2:$B$38,"&gt;="&amp;K336)*E336,SUMIFS(Логистика!$E$2:$E$38,Логистика!$A$2:$A$38,"&lt;="&amp;K336,Логистика!$B$2:$B$38,"&gt;="&amp;K336)),SUMIFS(Логистика!$D$2:$D$38,Логистика!$A$2:$A$38,"&lt;="&amp;K336,Логистика!$B$2:$B$38,"&gt;="&amp;K336))</f>
        <v>0</v>
      </c>
      <c r="Y336" s="83">
        <f>IF(AND(E336*0.055&gt;20,E336*0.055&lt;250),ROUNDUP(E336*0.055,2),IF(E336*0.055&lt;=20,20,250))</f>
        <v>20</v>
      </c>
      <c r="Z336" s="83">
        <f>ROUND(M336*0.05,2)</f>
        <v>0</v>
      </c>
      <c r="AA336" s="83">
        <f>IF(N336=0,0,IF(ROUND(E336*N336,2)&gt;5,ROUND(E336*N336,2),5))</f>
        <v>0</v>
      </c>
      <c r="AB336" s="83">
        <f>IF(O336="Да",ROUND(E336*0.1111,2),0)</f>
        <v>0</v>
      </c>
      <c r="AC336" s="53">
        <f>V336+W336+T336+X336+Y336+Z336+AA336+AB336</f>
        <v>20</v>
      </c>
      <c r="AD336" s="8">
        <v>0</v>
      </c>
      <c r="AE336" s="36">
        <f>ROUND(E336*AD336,2)</f>
        <v>0</v>
      </c>
      <c r="AF336" s="6">
        <v>15</v>
      </c>
      <c r="AG336" s="6">
        <v>15</v>
      </c>
      <c r="AH336" s="5"/>
      <c r="AI336" s="57">
        <f>E336-AC336-AE336-AH336</f>
        <v>-20</v>
      </c>
      <c r="AJ336" s="17">
        <f>E336-AC336</f>
        <v>-20</v>
      </c>
      <c r="AK336" s="20" t="e">
        <f>ROUND(AI336/E336,2)</f>
        <v>#DIV/0!</v>
      </c>
      <c r="AL336" s="21" t="e">
        <f t="shared" si="53"/>
        <v>#DIV/0!</v>
      </c>
    </row>
    <row r="337" spans="1:38" x14ac:dyDescent="0.25">
      <c r="A337" s="28" t="s">
        <v>219</v>
      </c>
      <c r="B337" s="46" t="s">
        <v>151</v>
      </c>
      <c r="C337" s="31">
        <v>530</v>
      </c>
      <c r="D337" s="38">
        <v>0</v>
      </c>
      <c r="E337" s="50">
        <f t="shared" si="52"/>
        <v>530</v>
      </c>
      <c r="F337" s="24">
        <v>7.0000000000000007E-2</v>
      </c>
      <c r="G337" s="7">
        <v>12</v>
      </c>
      <c r="H337" s="7">
        <v>12</v>
      </c>
      <c r="I337" s="7">
        <v>4</v>
      </c>
      <c r="J337" s="78">
        <f t="shared" si="54"/>
        <v>0.57599999999999996</v>
      </c>
      <c r="K337" s="2">
        <f t="shared" si="55"/>
        <v>0.1</v>
      </c>
      <c r="L337" s="8">
        <v>0</v>
      </c>
      <c r="M337" s="1">
        <f t="shared" si="49"/>
        <v>0</v>
      </c>
      <c r="N337" s="41">
        <v>0</v>
      </c>
      <c r="O337" s="84" t="s">
        <v>275</v>
      </c>
      <c r="P337" s="24" t="s">
        <v>562</v>
      </c>
      <c r="Q337" s="7" t="s">
        <v>557</v>
      </c>
      <c r="R337" s="7"/>
      <c r="S337" s="81">
        <v>0.09</v>
      </c>
      <c r="T337" s="7">
        <v>25</v>
      </c>
      <c r="U337" s="82"/>
      <c r="V337" s="83">
        <f>ROUNDUP(E337*S337,2)</f>
        <v>47.7</v>
      </c>
      <c r="W337" s="83">
        <f>ROUNDUP(E337*0.015,2)</f>
        <v>7.95</v>
      </c>
      <c r="X337" s="82">
        <f>MAX(MIN(SUMIFS(Логистика!$C$2:$C$38,Логистика!$A$2:$A$38,"&lt;="&amp;K337,Логистика!$B$2:$B$38,"&gt;="&amp;K337)*E337,SUMIFS(Логистика!$E$2:$E$38,Логистика!$A$2:$A$38,"&lt;="&amp;K337,Логистика!$B$2:$B$38,"&gt;="&amp;K337)),SUMIFS(Логистика!$D$2:$D$38,Логистика!$A$2:$A$38,"&lt;="&amp;K337,Логистика!$B$2:$B$38,"&gt;="&amp;K337))</f>
        <v>40</v>
      </c>
      <c r="Y337" s="83">
        <f>IF(AND(E337*0.055&gt;20,E337*0.055&lt;250),ROUNDUP(E337*0.055,2),IF(E337*0.055&lt;=20,20,250))</f>
        <v>29.15</v>
      </c>
      <c r="Z337" s="83">
        <f>ROUND(M337*0.05,2)</f>
        <v>0</v>
      </c>
      <c r="AA337" s="83">
        <f>IF(N337=0,0,IF(ROUND(E337*N337,2)&gt;5,ROUND(E337*N337,2),5))</f>
        <v>0</v>
      </c>
      <c r="AB337" s="83">
        <f>IF(O337="Да",ROUND(E337*0.1111,2),0)</f>
        <v>0</v>
      </c>
      <c r="AC337" s="53">
        <f>V337+W337+T337+X337+Y337+Z337+AA337+AB337</f>
        <v>149.80000000000001</v>
      </c>
      <c r="AD337" s="8">
        <v>0</v>
      </c>
      <c r="AE337" s="36">
        <f>ROUND(E337*AD337,2)</f>
        <v>0</v>
      </c>
      <c r="AF337" s="6">
        <v>15</v>
      </c>
      <c r="AG337" s="6">
        <v>15</v>
      </c>
      <c r="AH337" s="5">
        <v>240</v>
      </c>
      <c r="AI337" s="57">
        <f>E337-AC337-AE337-AH337</f>
        <v>140.19999999999999</v>
      </c>
      <c r="AJ337" s="17">
        <f>E337-AC337</f>
        <v>380.2</v>
      </c>
      <c r="AK337" s="20">
        <f>ROUND(AI337/E337,2)</f>
        <v>0.26</v>
      </c>
      <c r="AL337" s="21">
        <f t="shared" si="53"/>
        <v>0.57999999999999996</v>
      </c>
    </row>
    <row r="338" spans="1:38" x14ac:dyDescent="0.25">
      <c r="A338" s="28" t="s">
        <v>220</v>
      </c>
      <c r="B338" s="46" t="s">
        <v>152</v>
      </c>
      <c r="C338" s="31">
        <v>950</v>
      </c>
      <c r="D338" s="38">
        <v>0</v>
      </c>
      <c r="E338" s="50">
        <f t="shared" si="52"/>
        <v>950</v>
      </c>
      <c r="F338" s="24">
        <v>0.14000000000000001</v>
      </c>
      <c r="G338" s="7">
        <v>12</v>
      </c>
      <c r="H338" s="7">
        <v>12</v>
      </c>
      <c r="I338" s="7">
        <v>7.0000000000000009</v>
      </c>
      <c r="J338" s="78">
        <f t="shared" si="54"/>
        <v>1.008</v>
      </c>
      <c r="K338" s="2">
        <f t="shared" si="55"/>
        <v>0.2</v>
      </c>
      <c r="L338" s="8">
        <v>0</v>
      </c>
      <c r="M338" s="1">
        <f t="shared" si="49"/>
        <v>0</v>
      </c>
      <c r="N338" s="41">
        <v>0</v>
      </c>
      <c r="O338" s="84" t="s">
        <v>275</v>
      </c>
      <c r="P338" s="24" t="s">
        <v>562</v>
      </c>
      <c r="Q338" s="7" t="s">
        <v>557</v>
      </c>
      <c r="R338" s="7"/>
      <c r="S338" s="81">
        <v>0.09</v>
      </c>
      <c r="T338" s="7">
        <v>25</v>
      </c>
      <c r="U338" s="82"/>
      <c r="V338" s="83">
        <f>ROUNDUP(E338*S338,2)</f>
        <v>85.5</v>
      </c>
      <c r="W338" s="83">
        <f>ROUNDUP(E338*0.015,2)</f>
        <v>14.25</v>
      </c>
      <c r="X338" s="82">
        <f>MAX(MIN(SUMIFS(Логистика!$C$2:$C$38,Логистика!$A$2:$A$38,"&lt;="&amp;K338,Логистика!$B$2:$B$38,"&gt;="&amp;K338)*E338,SUMIFS(Логистика!$E$2:$E$38,Логистика!$A$2:$A$38,"&lt;="&amp;K338,Логистика!$B$2:$B$38,"&gt;="&amp;K338)),SUMIFS(Логистика!$D$2:$D$38,Логистика!$A$2:$A$38,"&lt;="&amp;K338,Логистика!$B$2:$B$38,"&gt;="&amp;K338))</f>
        <v>47.5</v>
      </c>
      <c r="Y338" s="83">
        <f>IF(AND(E338*0.055&gt;20,E338*0.055&lt;250),ROUNDUP(E338*0.055,2),IF(E338*0.055&lt;=20,20,250))</f>
        <v>52.25</v>
      </c>
      <c r="Z338" s="83">
        <f>ROUND(M338*0.05,2)</f>
        <v>0</v>
      </c>
      <c r="AA338" s="83">
        <f>IF(N338=0,0,IF(ROUND(E338*N338,2)&gt;5,ROUND(E338*N338,2),5))</f>
        <v>0</v>
      </c>
      <c r="AB338" s="83">
        <f>IF(O338="Да",ROUND(E338*0.1111,2),0)</f>
        <v>0</v>
      </c>
      <c r="AC338" s="53">
        <f>V338+W338+T338+X338+Y338+Z338+AA338+AB338</f>
        <v>224.5</v>
      </c>
      <c r="AD338" s="8">
        <v>0</v>
      </c>
      <c r="AE338" s="36">
        <f>ROUND(E338*AD338,2)</f>
        <v>0</v>
      </c>
      <c r="AF338" s="6">
        <v>15</v>
      </c>
      <c r="AG338" s="6">
        <v>15</v>
      </c>
      <c r="AH338" s="58">
        <f>AH337*2</f>
        <v>480</v>
      </c>
      <c r="AI338" s="57">
        <f>E338-AC338-AE338-AH338</f>
        <v>245.5</v>
      </c>
      <c r="AJ338" s="17">
        <f>E338-AC338</f>
        <v>725.5</v>
      </c>
      <c r="AK338" s="20">
        <f>ROUND(AI338/E338,2)</f>
        <v>0.26</v>
      </c>
      <c r="AL338" s="21">
        <f t="shared" ref="AL338:AL347" si="56">ROUND(AI338/AH338,2)</f>
        <v>0.51</v>
      </c>
    </row>
    <row r="339" spans="1:38" x14ac:dyDescent="0.25">
      <c r="A339" s="28" t="s">
        <v>221</v>
      </c>
      <c r="B339" s="46" t="s">
        <v>153</v>
      </c>
      <c r="C339" s="31">
        <v>1350</v>
      </c>
      <c r="D339" s="38">
        <v>0</v>
      </c>
      <c r="E339" s="50">
        <f t="shared" si="52"/>
        <v>1350</v>
      </c>
      <c r="F339" s="24">
        <v>0.21</v>
      </c>
      <c r="G339" s="7">
        <v>12</v>
      </c>
      <c r="H339" s="7">
        <v>12</v>
      </c>
      <c r="I339" s="7">
        <v>10</v>
      </c>
      <c r="J339" s="78">
        <f t="shared" si="54"/>
        <v>1.44</v>
      </c>
      <c r="K339" s="2">
        <f t="shared" si="55"/>
        <v>0.3</v>
      </c>
      <c r="L339" s="8">
        <v>0</v>
      </c>
      <c r="M339" s="1">
        <f t="shared" si="49"/>
        <v>0</v>
      </c>
      <c r="N339" s="41">
        <v>0</v>
      </c>
      <c r="O339" s="84" t="s">
        <v>275</v>
      </c>
      <c r="P339" s="24" t="s">
        <v>562</v>
      </c>
      <c r="Q339" s="7" t="s">
        <v>557</v>
      </c>
      <c r="R339" s="7"/>
      <c r="S339" s="81">
        <v>0.09</v>
      </c>
      <c r="T339" s="7">
        <v>25</v>
      </c>
      <c r="U339" s="82"/>
      <c r="V339" s="83">
        <f>ROUNDUP(E339*S339,2)</f>
        <v>121.5</v>
      </c>
      <c r="W339" s="83">
        <f>ROUNDUP(E339*0.015,2)</f>
        <v>20.25</v>
      </c>
      <c r="X339" s="82">
        <f>MAX(MIN(SUMIFS(Логистика!$C$2:$C$38,Логистика!$A$2:$A$38,"&lt;="&amp;K339,Логистика!$B$2:$B$38,"&gt;="&amp;K339)*E339,SUMIFS(Логистика!$E$2:$E$38,Логистика!$A$2:$A$38,"&lt;="&amp;K339,Логистика!$B$2:$B$38,"&gt;="&amp;K339)),SUMIFS(Логистика!$D$2:$D$38,Логистика!$A$2:$A$38,"&lt;="&amp;K339,Логистика!$B$2:$B$38,"&gt;="&amp;K339))</f>
        <v>67.5</v>
      </c>
      <c r="Y339" s="83">
        <f>IF(AND(E339*0.055&gt;20,E339*0.055&lt;250),ROUNDUP(E339*0.055,2),IF(E339*0.055&lt;=20,20,250))</f>
        <v>74.25</v>
      </c>
      <c r="Z339" s="83">
        <f>ROUND(M339*0.05,2)</f>
        <v>0</v>
      </c>
      <c r="AA339" s="83">
        <f>IF(N339=0,0,IF(ROUND(E339*N339,2)&gt;5,ROUND(E339*N339,2),5))</f>
        <v>0</v>
      </c>
      <c r="AB339" s="83">
        <f>IF(O339="Да",ROUND(E339*0.1111,2),0)</f>
        <v>0</v>
      </c>
      <c r="AC339" s="53">
        <f>V339+W339+T339+X339+Y339+Z339+AA339+AB339</f>
        <v>308.5</v>
      </c>
      <c r="AD339" s="8">
        <v>0</v>
      </c>
      <c r="AE339" s="36">
        <f>ROUND(E339*AD339,2)</f>
        <v>0</v>
      </c>
      <c r="AF339" s="6">
        <v>15</v>
      </c>
      <c r="AG339" s="6">
        <v>15</v>
      </c>
      <c r="AH339" s="58">
        <f>AH337*3</f>
        <v>720</v>
      </c>
      <c r="AI339" s="57">
        <f>E339-AC339-AE339-AH339</f>
        <v>321.5</v>
      </c>
      <c r="AJ339" s="17">
        <f>E339-AC339</f>
        <v>1041.5</v>
      </c>
      <c r="AK339" s="20">
        <f>ROUND(AI339/E339,2)</f>
        <v>0.24</v>
      </c>
      <c r="AL339" s="21">
        <f t="shared" si="56"/>
        <v>0.45</v>
      </c>
    </row>
    <row r="340" spans="1:38" x14ac:dyDescent="0.25">
      <c r="A340" s="28" t="s">
        <v>222</v>
      </c>
      <c r="B340" s="46" t="s">
        <v>154</v>
      </c>
      <c r="C340" s="31">
        <v>1750</v>
      </c>
      <c r="D340" s="38">
        <v>0</v>
      </c>
      <c r="E340" s="50">
        <f t="shared" si="52"/>
        <v>1750</v>
      </c>
      <c r="F340" s="24">
        <v>0.28000000000000003</v>
      </c>
      <c r="G340" s="7">
        <v>12</v>
      </c>
      <c r="H340" s="7">
        <v>12</v>
      </c>
      <c r="I340" s="7">
        <v>13</v>
      </c>
      <c r="J340" s="78">
        <f t="shared" si="54"/>
        <v>1.8720000000000001</v>
      </c>
      <c r="K340" s="2">
        <f t="shared" si="55"/>
        <v>0.4</v>
      </c>
      <c r="L340" s="8">
        <v>0</v>
      </c>
      <c r="M340" s="1">
        <f t="shared" si="49"/>
        <v>0</v>
      </c>
      <c r="N340" s="41">
        <v>0</v>
      </c>
      <c r="O340" s="84" t="s">
        <v>275</v>
      </c>
      <c r="P340" s="24" t="s">
        <v>562</v>
      </c>
      <c r="Q340" s="7" t="s">
        <v>557</v>
      </c>
      <c r="R340" s="7"/>
      <c r="S340" s="81">
        <v>0.09</v>
      </c>
      <c r="T340" s="7">
        <v>25</v>
      </c>
      <c r="U340" s="82"/>
      <c r="V340" s="83">
        <f>ROUNDUP(E340*S340,2)</f>
        <v>157.5</v>
      </c>
      <c r="W340" s="83">
        <f>ROUNDUP(E340*0.015,2)</f>
        <v>26.25</v>
      </c>
      <c r="X340" s="82">
        <f>MAX(MIN(SUMIFS(Логистика!$C$2:$C$38,Логистика!$A$2:$A$38,"&lt;="&amp;K340,Логистика!$B$2:$B$38,"&gt;="&amp;K340)*E340,SUMIFS(Логистика!$E$2:$E$38,Логистика!$A$2:$A$38,"&lt;="&amp;K340,Логистика!$B$2:$B$38,"&gt;="&amp;K340)),SUMIFS(Логистика!$D$2:$D$38,Логистика!$A$2:$A$38,"&lt;="&amp;K340,Логистика!$B$2:$B$38,"&gt;="&amp;K340))</f>
        <v>87.5</v>
      </c>
      <c r="Y340" s="83">
        <f>IF(AND(E340*0.055&gt;20,E340*0.055&lt;250),ROUNDUP(E340*0.055,2),IF(E340*0.055&lt;=20,20,250))</f>
        <v>96.25</v>
      </c>
      <c r="Z340" s="83">
        <f>ROUND(M340*0.05,2)</f>
        <v>0</v>
      </c>
      <c r="AA340" s="83">
        <f>IF(N340=0,0,IF(ROUND(E340*N340,2)&gt;5,ROUND(E340*N340,2),5))</f>
        <v>0</v>
      </c>
      <c r="AB340" s="83">
        <f>IF(O340="Да",ROUND(E340*0.1111,2),0)</f>
        <v>0</v>
      </c>
      <c r="AC340" s="53">
        <f>V340+W340+T340+X340+Y340+Z340+AA340+AB340</f>
        <v>392.5</v>
      </c>
      <c r="AD340" s="8">
        <v>0</v>
      </c>
      <c r="AE340" s="36">
        <f>ROUND(E340*AD340,2)</f>
        <v>0</v>
      </c>
      <c r="AF340" s="6">
        <v>15</v>
      </c>
      <c r="AG340" s="6">
        <v>15</v>
      </c>
      <c r="AH340" s="58">
        <f>AH337*4</f>
        <v>960</v>
      </c>
      <c r="AI340" s="57">
        <f>E340-AC340-AE340-AH340</f>
        <v>397.5</v>
      </c>
      <c r="AJ340" s="17">
        <f>E340-AC340</f>
        <v>1357.5</v>
      </c>
      <c r="AK340" s="20">
        <f>ROUND(AI340/E340,2)</f>
        <v>0.23</v>
      </c>
      <c r="AL340" s="21">
        <f t="shared" ref="AL340" si="57">ROUND(AI340/AH340,2)</f>
        <v>0.41</v>
      </c>
    </row>
    <row r="341" spans="1:38" x14ac:dyDescent="0.25">
      <c r="A341" s="28" t="s">
        <v>223</v>
      </c>
      <c r="B341" s="46" t="s">
        <v>155</v>
      </c>
      <c r="C341" s="31">
        <v>2150</v>
      </c>
      <c r="D341" s="38">
        <v>0</v>
      </c>
      <c r="E341" s="50">
        <f t="shared" si="52"/>
        <v>2150</v>
      </c>
      <c r="F341" s="24">
        <v>0.35</v>
      </c>
      <c r="G341" s="7">
        <v>12</v>
      </c>
      <c r="H341" s="7">
        <v>12</v>
      </c>
      <c r="I341" s="7">
        <v>16</v>
      </c>
      <c r="J341" s="78">
        <f t="shared" si="54"/>
        <v>2.3039999999999998</v>
      </c>
      <c r="K341" s="2">
        <f t="shared" si="55"/>
        <v>0.5</v>
      </c>
      <c r="L341" s="8">
        <v>0</v>
      </c>
      <c r="M341" s="1">
        <f t="shared" si="49"/>
        <v>0</v>
      </c>
      <c r="N341" s="41">
        <v>0</v>
      </c>
      <c r="O341" s="84" t="s">
        <v>275</v>
      </c>
      <c r="P341" s="24" t="s">
        <v>562</v>
      </c>
      <c r="Q341" s="7" t="s">
        <v>557</v>
      </c>
      <c r="R341" s="7"/>
      <c r="S341" s="81">
        <v>0.09</v>
      </c>
      <c r="T341" s="7">
        <v>25</v>
      </c>
      <c r="U341" s="82"/>
      <c r="V341" s="83">
        <f>ROUNDUP(E341*S341,2)</f>
        <v>193.5</v>
      </c>
      <c r="W341" s="83">
        <f>ROUNDUP(E341*0.015,2)</f>
        <v>32.25</v>
      </c>
      <c r="X341" s="82">
        <f>MAX(MIN(SUMIFS(Логистика!$C$2:$C$38,Логистика!$A$2:$A$38,"&lt;="&amp;K341,Логистика!$B$2:$B$38,"&gt;="&amp;K341)*E341,SUMIFS(Логистика!$E$2:$E$38,Логистика!$A$2:$A$38,"&lt;="&amp;K341,Логистика!$B$2:$B$38,"&gt;="&amp;K341)),SUMIFS(Логистика!$D$2:$D$38,Логистика!$A$2:$A$38,"&lt;="&amp;K341,Логистика!$B$2:$B$38,"&gt;="&amp;K341))</f>
        <v>107.5</v>
      </c>
      <c r="Y341" s="83">
        <f>IF(AND(E341*0.055&gt;20,E341*0.055&lt;250),ROUNDUP(E341*0.055,2),IF(E341*0.055&lt;=20,20,250))</f>
        <v>118.25</v>
      </c>
      <c r="Z341" s="83">
        <f>ROUND(M341*0.05,2)</f>
        <v>0</v>
      </c>
      <c r="AA341" s="83">
        <f>IF(N341=0,0,IF(ROUND(E341*N341,2)&gt;5,ROUND(E341*N341,2),5))</f>
        <v>0</v>
      </c>
      <c r="AB341" s="83">
        <f>IF(O341="Да",ROUND(E341*0.1111,2),0)</f>
        <v>0</v>
      </c>
      <c r="AC341" s="53">
        <f>V341+W341+T341+X341+Y341+Z341+AA341+AB341</f>
        <v>476.5</v>
      </c>
      <c r="AD341" s="8">
        <v>0</v>
      </c>
      <c r="AE341" s="36">
        <f>ROUND(E341*AD341,2)</f>
        <v>0</v>
      </c>
      <c r="AF341" s="6">
        <v>15</v>
      </c>
      <c r="AG341" s="6">
        <v>15</v>
      </c>
      <c r="AH341" s="58">
        <f>AH337*5</f>
        <v>1200</v>
      </c>
      <c r="AI341" s="57">
        <f>E341-AC341-AE341-AH341</f>
        <v>473.5</v>
      </c>
      <c r="AJ341" s="17">
        <f>E341-AC341</f>
        <v>1673.5</v>
      </c>
      <c r="AK341" s="20">
        <f>ROUND(AI341/E341,2)</f>
        <v>0.22</v>
      </c>
      <c r="AL341" s="21">
        <f t="shared" si="56"/>
        <v>0.39</v>
      </c>
    </row>
    <row r="342" spans="1:38" x14ac:dyDescent="0.25">
      <c r="A342" s="28"/>
      <c r="B342" s="46"/>
      <c r="C342" s="31"/>
      <c r="D342" s="38">
        <v>0</v>
      </c>
      <c r="E342" s="50">
        <f t="shared" si="52"/>
        <v>0</v>
      </c>
      <c r="F342" s="24"/>
      <c r="G342" s="7">
        <v>0</v>
      </c>
      <c r="H342" s="7">
        <v>0</v>
      </c>
      <c r="I342" s="7">
        <v>0</v>
      </c>
      <c r="J342" s="78">
        <f t="shared" si="54"/>
        <v>0</v>
      </c>
      <c r="K342" s="2">
        <f t="shared" si="55"/>
        <v>0</v>
      </c>
      <c r="L342" s="8">
        <v>0</v>
      </c>
      <c r="M342" s="1">
        <f t="shared" si="49"/>
        <v>0</v>
      </c>
      <c r="N342" s="41">
        <v>0</v>
      </c>
      <c r="O342" s="84" t="s">
        <v>275</v>
      </c>
      <c r="P342" s="24" t="s">
        <v>562</v>
      </c>
      <c r="Q342" s="7" t="s">
        <v>557</v>
      </c>
      <c r="R342" s="7"/>
      <c r="S342" s="81"/>
      <c r="T342" s="7"/>
      <c r="U342" s="82"/>
      <c r="V342" s="83">
        <f>ROUNDUP(E342*S342,2)</f>
        <v>0</v>
      </c>
      <c r="W342" s="83">
        <f>ROUNDUP(E342*0.015,2)</f>
        <v>0</v>
      </c>
      <c r="X342" s="82">
        <f>MAX(MIN(SUMIFS(Логистика!$C$2:$C$38,Логистика!$A$2:$A$38,"&lt;="&amp;K342,Логистика!$B$2:$B$38,"&gt;="&amp;K342)*E342,SUMIFS(Логистика!$E$2:$E$38,Логистика!$A$2:$A$38,"&lt;="&amp;K342,Логистика!$B$2:$B$38,"&gt;="&amp;K342)),SUMIFS(Логистика!$D$2:$D$38,Логистика!$A$2:$A$38,"&lt;="&amp;K342,Логистика!$B$2:$B$38,"&gt;="&amp;K342))</f>
        <v>0</v>
      </c>
      <c r="Y342" s="83">
        <f>IF(AND(E342*0.055&gt;20,E342*0.055&lt;250),ROUNDUP(E342*0.055,2),IF(E342*0.055&lt;=20,20,250))</f>
        <v>20</v>
      </c>
      <c r="Z342" s="83">
        <f>ROUND(M342*0.05,2)</f>
        <v>0</v>
      </c>
      <c r="AA342" s="83">
        <f>IF(N342=0,0,IF(ROUND(E342*N342,2)&gt;5,ROUND(E342*N342,2),5))</f>
        <v>0</v>
      </c>
      <c r="AB342" s="83">
        <f>IF(O342="Да",ROUND(E342*0.1111,2),0)</f>
        <v>0</v>
      </c>
      <c r="AC342" s="53">
        <f>V342+W342+T342+X342+Y342+Z342+AA342+AB342</f>
        <v>20</v>
      </c>
      <c r="AD342" s="8">
        <v>0</v>
      </c>
      <c r="AE342" s="36">
        <f>ROUND(E342*AD342,2)</f>
        <v>0</v>
      </c>
      <c r="AF342" s="6">
        <v>15</v>
      </c>
      <c r="AG342" s="6">
        <v>15</v>
      </c>
      <c r="AH342" s="5"/>
      <c r="AI342" s="57">
        <f>E342-AC342-AE342-AH342</f>
        <v>-20</v>
      </c>
      <c r="AJ342" s="17">
        <f>E342-AC342</f>
        <v>-20</v>
      </c>
      <c r="AK342" s="20" t="e">
        <f>ROUND(AI342/E342,2)</f>
        <v>#DIV/0!</v>
      </c>
      <c r="AL342" s="21" t="e">
        <f t="shared" si="56"/>
        <v>#DIV/0!</v>
      </c>
    </row>
    <row r="343" spans="1:38" x14ac:dyDescent="0.25">
      <c r="A343" s="28"/>
      <c r="B343" s="46" t="s">
        <v>157</v>
      </c>
      <c r="C343" s="31">
        <v>250</v>
      </c>
      <c r="D343" s="38">
        <v>0</v>
      </c>
      <c r="E343" s="50">
        <f t="shared" si="52"/>
        <v>250</v>
      </c>
      <c r="F343" s="24">
        <v>0.05</v>
      </c>
      <c r="G343" s="7">
        <v>12</v>
      </c>
      <c r="H343" s="7">
        <v>12</v>
      </c>
      <c r="I343" s="7">
        <v>3</v>
      </c>
      <c r="J343" s="78">
        <f t="shared" si="54"/>
        <v>0.432</v>
      </c>
      <c r="K343" s="2">
        <f t="shared" si="55"/>
        <v>0.1</v>
      </c>
      <c r="L343" s="8">
        <v>0</v>
      </c>
      <c r="M343" s="1">
        <f t="shared" si="49"/>
        <v>0</v>
      </c>
      <c r="N343" s="41">
        <v>0</v>
      </c>
      <c r="O343" s="84" t="s">
        <v>275</v>
      </c>
      <c r="P343" s="24" t="s">
        <v>562</v>
      </c>
      <c r="Q343" s="7" t="s">
        <v>557</v>
      </c>
      <c r="R343" s="7"/>
      <c r="S343" s="81">
        <v>0.09</v>
      </c>
      <c r="T343" s="7">
        <v>25</v>
      </c>
      <c r="U343" s="82"/>
      <c r="V343" s="83">
        <f>ROUNDUP(E343*S343,2)</f>
        <v>22.5</v>
      </c>
      <c r="W343" s="83">
        <f>ROUNDUP(E343*0.015,2)</f>
        <v>3.75</v>
      </c>
      <c r="X343" s="82">
        <f>MAX(MIN(SUMIFS(Логистика!$C$2:$C$38,Логистика!$A$2:$A$38,"&lt;="&amp;K343,Логистика!$B$2:$B$38,"&gt;="&amp;K343)*E343,SUMIFS(Логистика!$E$2:$E$38,Логистика!$A$2:$A$38,"&lt;="&amp;K343,Логистика!$B$2:$B$38,"&gt;="&amp;K343)),SUMIFS(Логистика!$D$2:$D$38,Логистика!$A$2:$A$38,"&lt;="&amp;K343,Логистика!$B$2:$B$38,"&gt;="&amp;K343))</f>
        <v>40</v>
      </c>
      <c r="Y343" s="83">
        <f>IF(AND(E343*0.055&gt;20,E343*0.055&lt;250),ROUNDUP(E343*0.055,2),IF(E343*0.055&lt;=20,20,250))</f>
        <v>20</v>
      </c>
      <c r="Z343" s="83">
        <f>ROUND(M343*0.05,2)</f>
        <v>0</v>
      </c>
      <c r="AA343" s="83">
        <f>IF(N343=0,0,IF(ROUND(E343*N343,2)&gt;5,ROUND(E343*N343,2),5))</f>
        <v>0</v>
      </c>
      <c r="AB343" s="83">
        <f>IF(O343="Да",ROUND(E343*0.1111,2),0)</f>
        <v>0</v>
      </c>
      <c r="AC343" s="53">
        <f>V343+W343+T343+X343+Y343+Z343+AA343+AB343</f>
        <v>111.25</v>
      </c>
      <c r="AD343" s="8">
        <v>0</v>
      </c>
      <c r="AE343" s="36">
        <f>ROUND(E343*AD343,2)</f>
        <v>0</v>
      </c>
      <c r="AF343" s="6">
        <v>15</v>
      </c>
      <c r="AG343" s="6">
        <v>15</v>
      </c>
      <c r="AH343" s="5">
        <v>75</v>
      </c>
      <c r="AI343" s="57">
        <f>E343-AC343-AE343-AH343</f>
        <v>63.75</v>
      </c>
      <c r="AJ343" s="17">
        <f>E343-AC343</f>
        <v>138.75</v>
      </c>
      <c r="AK343" s="20">
        <f>ROUND(AI343/E343,2)</f>
        <v>0.26</v>
      </c>
      <c r="AL343" s="21">
        <f t="shared" si="56"/>
        <v>0.85</v>
      </c>
    </row>
    <row r="344" spans="1:38" x14ac:dyDescent="0.25">
      <c r="A344" s="28"/>
      <c r="B344" s="46" t="s">
        <v>158</v>
      </c>
      <c r="C344" s="31">
        <v>390</v>
      </c>
      <c r="D344" s="38">
        <v>0</v>
      </c>
      <c r="E344" s="50">
        <f t="shared" si="52"/>
        <v>390</v>
      </c>
      <c r="F344" s="24">
        <v>0.1</v>
      </c>
      <c r="G344" s="7">
        <v>12</v>
      </c>
      <c r="H344" s="7">
        <v>12</v>
      </c>
      <c r="I344" s="7">
        <v>6</v>
      </c>
      <c r="J344" s="78">
        <f t="shared" si="54"/>
        <v>0.86399999999999999</v>
      </c>
      <c r="K344" s="2">
        <f t="shared" si="55"/>
        <v>0.2</v>
      </c>
      <c r="L344" s="8">
        <v>0</v>
      </c>
      <c r="M344" s="1">
        <f t="shared" si="49"/>
        <v>0</v>
      </c>
      <c r="N344" s="41">
        <v>0</v>
      </c>
      <c r="O344" s="84" t="s">
        <v>275</v>
      </c>
      <c r="P344" s="24" t="s">
        <v>562</v>
      </c>
      <c r="Q344" s="7" t="s">
        <v>557</v>
      </c>
      <c r="R344" s="7"/>
      <c r="S344" s="81">
        <v>0.09</v>
      </c>
      <c r="T344" s="7">
        <v>25</v>
      </c>
      <c r="U344" s="82"/>
      <c r="V344" s="83">
        <f>ROUNDUP(E344*S344,2)</f>
        <v>35.1</v>
      </c>
      <c r="W344" s="83">
        <f>ROUNDUP(E344*0.015,2)</f>
        <v>5.85</v>
      </c>
      <c r="X344" s="82">
        <f>MAX(MIN(SUMIFS(Логистика!$C$2:$C$38,Логистика!$A$2:$A$38,"&lt;="&amp;K344,Логистика!$B$2:$B$38,"&gt;="&amp;K344)*E344,SUMIFS(Логистика!$E$2:$E$38,Логистика!$A$2:$A$38,"&lt;="&amp;K344,Логистика!$B$2:$B$38,"&gt;="&amp;K344)),SUMIFS(Логистика!$D$2:$D$38,Логистика!$A$2:$A$38,"&lt;="&amp;K344,Логистика!$B$2:$B$38,"&gt;="&amp;K344))</f>
        <v>41</v>
      </c>
      <c r="Y344" s="83">
        <f>IF(AND(E344*0.055&gt;20,E344*0.055&lt;250),ROUNDUP(E344*0.055,2),IF(E344*0.055&lt;=20,20,250))</f>
        <v>21.45</v>
      </c>
      <c r="Z344" s="83">
        <f>ROUND(M344*0.05,2)</f>
        <v>0</v>
      </c>
      <c r="AA344" s="83">
        <f>IF(N344=0,0,IF(ROUND(E344*N344,2)&gt;5,ROUND(E344*N344,2),5))</f>
        <v>0</v>
      </c>
      <c r="AB344" s="83">
        <f>IF(O344="Да",ROUND(E344*0.1111,2),0)</f>
        <v>0</v>
      </c>
      <c r="AC344" s="53">
        <f>V344+W344+T344+X344+Y344+Z344+AA344+AB344</f>
        <v>128.4</v>
      </c>
      <c r="AD344" s="8">
        <v>0</v>
      </c>
      <c r="AE344" s="36">
        <f>ROUND(E344*AD344,2)</f>
        <v>0</v>
      </c>
      <c r="AF344" s="6">
        <v>15</v>
      </c>
      <c r="AG344" s="6">
        <v>15</v>
      </c>
      <c r="AH344" s="58">
        <f>AH343*2</f>
        <v>150</v>
      </c>
      <c r="AI344" s="57">
        <f>E344-AC344-AE344-AH344</f>
        <v>111.60000000000002</v>
      </c>
      <c r="AJ344" s="17">
        <f>E344-AC344</f>
        <v>261.60000000000002</v>
      </c>
      <c r="AK344" s="20">
        <f>ROUND(AI344/E344,2)</f>
        <v>0.28999999999999998</v>
      </c>
      <c r="AL344" s="21">
        <f t="shared" si="56"/>
        <v>0.74</v>
      </c>
    </row>
    <row r="345" spans="1:38" x14ac:dyDescent="0.25">
      <c r="A345" s="28"/>
      <c r="B345" s="46" t="s">
        <v>159</v>
      </c>
      <c r="C345" s="31">
        <v>490</v>
      </c>
      <c r="D345" s="38">
        <v>0</v>
      </c>
      <c r="E345" s="50">
        <f t="shared" si="52"/>
        <v>490</v>
      </c>
      <c r="F345" s="24">
        <v>0.15</v>
      </c>
      <c r="G345" s="7">
        <v>12</v>
      </c>
      <c r="H345" s="7">
        <v>12</v>
      </c>
      <c r="I345" s="7">
        <v>9</v>
      </c>
      <c r="J345" s="78">
        <f t="shared" si="54"/>
        <v>1.296</v>
      </c>
      <c r="K345" s="2">
        <f t="shared" si="55"/>
        <v>0.3</v>
      </c>
      <c r="L345" s="8">
        <v>0</v>
      </c>
      <c r="M345" s="1">
        <f t="shared" si="49"/>
        <v>0</v>
      </c>
      <c r="N345" s="41">
        <v>0</v>
      </c>
      <c r="O345" s="84" t="s">
        <v>275</v>
      </c>
      <c r="P345" s="24" t="s">
        <v>562</v>
      </c>
      <c r="Q345" s="7" t="s">
        <v>557</v>
      </c>
      <c r="R345" s="7"/>
      <c r="S345" s="81">
        <v>0.09</v>
      </c>
      <c r="T345" s="7">
        <v>25</v>
      </c>
      <c r="U345" s="82"/>
      <c r="V345" s="83">
        <f>ROUNDUP(E345*S345,2)</f>
        <v>44.1</v>
      </c>
      <c r="W345" s="83">
        <f>ROUNDUP(E345*0.015,2)</f>
        <v>7.35</v>
      </c>
      <c r="X345" s="82">
        <f>MAX(MIN(SUMIFS(Логистика!$C$2:$C$38,Логистика!$A$2:$A$38,"&lt;="&amp;K345,Логистика!$B$2:$B$38,"&gt;="&amp;K345)*E345,SUMIFS(Логистика!$E$2:$E$38,Логистика!$A$2:$A$38,"&lt;="&amp;K345,Логистика!$B$2:$B$38,"&gt;="&amp;K345)),SUMIFS(Логистика!$D$2:$D$38,Логистика!$A$2:$A$38,"&lt;="&amp;K345,Логистика!$B$2:$B$38,"&gt;="&amp;K345))</f>
        <v>42</v>
      </c>
      <c r="Y345" s="83">
        <f>IF(AND(E345*0.055&gt;20,E345*0.055&lt;250),ROUNDUP(E345*0.055,2),IF(E345*0.055&lt;=20,20,250))</f>
        <v>26.95</v>
      </c>
      <c r="Z345" s="83">
        <f>ROUND(M345*0.05,2)</f>
        <v>0</v>
      </c>
      <c r="AA345" s="83">
        <f>IF(N345=0,0,IF(ROUND(E345*N345,2)&gt;5,ROUND(E345*N345,2),5))</f>
        <v>0</v>
      </c>
      <c r="AB345" s="83">
        <f>IF(O345="Да",ROUND(E345*0.1111,2),0)</f>
        <v>0</v>
      </c>
      <c r="AC345" s="53">
        <f>V345+W345+T345+X345+Y345+Z345+AA345+AB345</f>
        <v>145.4</v>
      </c>
      <c r="AD345" s="8">
        <v>0</v>
      </c>
      <c r="AE345" s="36">
        <f>ROUND(E345*AD345,2)</f>
        <v>0</v>
      </c>
      <c r="AF345" s="6">
        <v>15</v>
      </c>
      <c r="AG345" s="6">
        <v>15</v>
      </c>
      <c r="AH345" s="58">
        <f>AH343*3</f>
        <v>225</v>
      </c>
      <c r="AI345" s="57">
        <f>E345-AC345-AE345-AH345</f>
        <v>119.60000000000002</v>
      </c>
      <c r="AJ345" s="17">
        <f>E345-AC345</f>
        <v>344.6</v>
      </c>
      <c r="AK345" s="20">
        <f>ROUND(AI345/E345,2)</f>
        <v>0.24</v>
      </c>
      <c r="AL345" s="21">
        <f t="shared" si="56"/>
        <v>0.53</v>
      </c>
    </row>
    <row r="346" spans="1:38" x14ac:dyDescent="0.25">
      <c r="A346" s="28"/>
      <c r="B346" s="46" t="s">
        <v>160</v>
      </c>
      <c r="C346" s="31">
        <v>630</v>
      </c>
      <c r="D346" s="38">
        <v>0</v>
      </c>
      <c r="E346" s="50">
        <f t="shared" si="52"/>
        <v>630</v>
      </c>
      <c r="F346" s="24">
        <v>0.2</v>
      </c>
      <c r="G346" s="7">
        <v>12</v>
      </c>
      <c r="H346" s="7">
        <v>12</v>
      </c>
      <c r="I346" s="7">
        <v>12</v>
      </c>
      <c r="J346" s="78">
        <f t="shared" si="54"/>
        <v>1.728</v>
      </c>
      <c r="K346" s="2">
        <f t="shared" si="55"/>
        <v>0.3</v>
      </c>
      <c r="L346" s="8">
        <v>0</v>
      </c>
      <c r="M346" s="1">
        <f t="shared" si="49"/>
        <v>0</v>
      </c>
      <c r="N346" s="41">
        <v>0</v>
      </c>
      <c r="O346" s="84" t="s">
        <v>275</v>
      </c>
      <c r="P346" s="24" t="s">
        <v>562</v>
      </c>
      <c r="Q346" s="7" t="s">
        <v>557</v>
      </c>
      <c r="R346" s="7"/>
      <c r="S346" s="81">
        <v>0.09</v>
      </c>
      <c r="T346" s="7">
        <v>25</v>
      </c>
      <c r="U346" s="82"/>
      <c r="V346" s="83">
        <f>ROUNDUP(E346*S346,2)</f>
        <v>56.7</v>
      </c>
      <c r="W346" s="83">
        <f>ROUNDUP(E346*0.015,2)</f>
        <v>9.4499999999999993</v>
      </c>
      <c r="X346" s="82">
        <f>MAX(MIN(SUMIFS(Логистика!$C$2:$C$38,Логистика!$A$2:$A$38,"&lt;="&amp;K346,Логистика!$B$2:$B$38,"&gt;="&amp;K346)*E346,SUMIFS(Логистика!$E$2:$E$38,Логистика!$A$2:$A$38,"&lt;="&amp;K346,Логистика!$B$2:$B$38,"&gt;="&amp;K346)),SUMIFS(Логистика!$D$2:$D$38,Логистика!$A$2:$A$38,"&lt;="&amp;K346,Логистика!$B$2:$B$38,"&gt;="&amp;K346))</f>
        <v>42</v>
      </c>
      <c r="Y346" s="83">
        <f>IF(AND(E346*0.055&gt;20,E346*0.055&lt;250),ROUNDUP(E346*0.055,2),IF(E346*0.055&lt;=20,20,250))</f>
        <v>34.65</v>
      </c>
      <c r="Z346" s="83">
        <f>ROUND(M346*0.05,2)</f>
        <v>0</v>
      </c>
      <c r="AA346" s="83">
        <f>IF(N346=0,0,IF(ROUND(E346*N346,2)&gt;5,ROUND(E346*N346,2),5))</f>
        <v>0</v>
      </c>
      <c r="AB346" s="83">
        <f>IF(O346="Да",ROUND(E346*0.1111,2),0)</f>
        <v>0</v>
      </c>
      <c r="AC346" s="53">
        <f>V346+W346+T346+X346+Y346+Z346+AA346+AB346</f>
        <v>167.8</v>
      </c>
      <c r="AD346" s="8">
        <v>0</v>
      </c>
      <c r="AE346" s="36">
        <f>ROUND(E346*AD346,2)</f>
        <v>0</v>
      </c>
      <c r="AF346" s="6">
        <v>15</v>
      </c>
      <c r="AG346" s="6">
        <v>15</v>
      </c>
      <c r="AH346" s="58">
        <f>AH343*4</f>
        <v>300</v>
      </c>
      <c r="AI346" s="57">
        <f>E346-AC346-AE346-AH346</f>
        <v>162.19999999999999</v>
      </c>
      <c r="AJ346" s="17">
        <f>E346-AC346</f>
        <v>462.2</v>
      </c>
      <c r="AK346" s="20">
        <f>ROUND(AI346/E346,2)</f>
        <v>0.26</v>
      </c>
      <c r="AL346" s="21">
        <f t="shared" si="56"/>
        <v>0.54</v>
      </c>
    </row>
    <row r="347" spans="1:38" x14ac:dyDescent="0.25">
      <c r="A347" s="28"/>
      <c r="B347" s="46" t="s">
        <v>161</v>
      </c>
      <c r="C347" s="31">
        <v>760</v>
      </c>
      <c r="D347" s="38">
        <v>0</v>
      </c>
      <c r="E347" s="50">
        <f t="shared" si="52"/>
        <v>760</v>
      </c>
      <c r="F347" s="24">
        <v>0.25</v>
      </c>
      <c r="G347" s="7">
        <v>12</v>
      </c>
      <c r="H347" s="7">
        <v>12</v>
      </c>
      <c r="I347" s="7">
        <v>15</v>
      </c>
      <c r="J347" s="78">
        <f t="shared" si="54"/>
        <v>2.16</v>
      </c>
      <c r="K347" s="2">
        <f t="shared" si="55"/>
        <v>0.4</v>
      </c>
      <c r="L347" s="8">
        <v>0</v>
      </c>
      <c r="M347" s="1">
        <f t="shared" si="49"/>
        <v>0</v>
      </c>
      <c r="N347" s="41">
        <v>0</v>
      </c>
      <c r="O347" s="84" t="s">
        <v>275</v>
      </c>
      <c r="P347" s="24" t="s">
        <v>562</v>
      </c>
      <c r="Q347" s="7" t="s">
        <v>557</v>
      </c>
      <c r="R347" s="7"/>
      <c r="S347" s="81">
        <v>0.09</v>
      </c>
      <c r="T347" s="7">
        <v>25</v>
      </c>
      <c r="U347" s="82"/>
      <c r="V347" s="83">
        <f>ROUNDUP(E347*S347,2)</f>
        <v>68.400000000000006</v>
      </c>
      <c r="W347" s="83">
        <f>ROUNDUP(E347*0.015,2)</f>
        <v>11.4</v>
      </c>
      <c r="X347" s="82">
        <f>MAX(MIN(SUMIFS(Логистика!$C$2:$C$38,Логистика!$A$2:$A$38,"&lt;="&amp;K347,Логистика!$B$2:$B$38,"&gt;="&amp;K347)*E347,SUMIFS(Логистика!$E$2:$E$38,Логистика!$A$2:$A$38,"&lt;="&amp;K347,Логистика!$B$2:$B$38,"&gt;="&amp;K347)),SUMIFS(Логистика!$D$2:$D$38,Логистика!$A$2:$A$38,"&lt;="&amp;K347,Логистика!$B$2:$B$38,"&gt;="&amp;K347))</f>
        <v>43</v>
      </c>
      <c r="Y347" s="83">
        <f>IF(AND(E347*0.055&gt;20,E347*0.055&lt;250),ROUNDUP(E347*0.055,2),IF(E347*0.055&lt;=20,20,250))</f>
        <v>41.8</v>
      </c>
      <c r="Z347" s="83">
        <f>ROUND(M347*0.05,2)</f>
        <v>0</v>
      </c>
      <c r="AA347" s="83">
        <f>IF(N347=0,0,IF(ROUND(E347*N347,2)&gt;5,ROUND(E347*N347,2),5))</f>
        <v>0</v>
      </c>
      <c r="AB347" s="83">
        <f>IF(O347="Да",ROUND(E347*0.1111,2),0)</f>
        <v>0</v>
      </c>
      <c r="AC347" s="53">
        <f>V347+W347+T347+X347+Y347+Z347+AA347+AB347</f>
        <v>189.60000000000002</v>
      </c>
      <c r="AD347" s="8">
        <v>0</v>
      </c>
      <c r="AE347" s="36">
        <f>ROUND(E347*AD347,2)</f>
        <v>0</v>
      </c>
      <c r="AF347" s="6">
        <v>15</v>
      </c>
      <c r="AG347" s="6">
        <v>15</v>
      </c>
      <c r="AH347" s="58">
        <f>AH343*5</f>
        <v>375</v>
      </c>
      <c r="AI347" s="57">
        <f>E347-AC347-AE347-AH347</f>
        <v>195.39999999999998</v>
      </c>
      <c r="AJ347" s="17">
        <f>E347-AC347</f>
        <v>570.4</v>
      </c>
      <c r="AK347" s="20">
        <f>ROUND(AI347/E347,2)</f>
        <v>0.26</v>
      </c>
      <c r="AL347" s="21">
        <f t="shared" si="56"/>
        <v>0.52</v>
      </c>
    </row>
    <row r="348" spans="1:38" x14ac:dyDescent="0.25">
      <c r="A348" s="28"/>
      <c r="B348" s="46"/>
      <c r="C348" s="31"/>
      <c r="D348" s="38">
        <v>0</v>
      </c>
      <c r="E348" s="50">
        <f t="shared" si="52"/>
        <v>0</v>
      </c>
      <c r="F348" s="24"/>
      <c r="G348" s="7">
        <v>0</v>
      </c>
      <c r="H348" s="7">
        <v>0</v>
      </c>
      <c r="I348" s="7">
        <v>0</v>
      </c>
      <c r="J348" s="78">
        <f t="shared" si="54"/>
        <v>0</v>
      </c>
      <c r="K348" s="2">
        <f t="shared" si="55"/>
        <v>0</v>
      </c>
      <c r="L348" s="8">
        <v>0</v>
      </c>
      <c r="M348" s="1">
        <f t="shared" si="49"/>
        <v>0</v>
      </c>
      <c r="N348" s="41">
        <v>0</v>
      </c>
      <c r="O348" s="84" t="s">
        <v>275</v>
      </c>
      <c r="P348" s="24" t="s">
        <v>562</v>
      </c>
      <c r="Q348" s="7" t="s">
        <v>557</v>
      </c>
      <c r="R348" s="7"/>
      <c r="S348" s="81"/>
      <c r="T348" s="7"/>
      <c r="U348" s="82"/>
      <c r="V348" s="83">
        <f>ROUNDUP(E348*S348,2)</f>
        <v>0</v>
      </c>
      <c r="W348" s="83">
        <f>ROUNDUP(E348*0.015,2)</f>
        <v>0</v>
      </c>
      <c r="X348" s="82">
        <f>MAX(MIN(SUMIFS(Логистика!$C$2:$C$38,Логистика!$A$2:$A$38,"&lt;="&amp;K348,Логистика!$B$2:$B$38,"&gt;="&amp;K348)*E348,SUMIFS(Логистика!$E$2:$E$38,Логистика!$A$2:$A$38,"&lt;="&amp;K348,Логистика!$B$2:$B$38,"&gt;="&amp;K348)),SUMIFS(Логистика!$D$2:$D$38,Логистика!$A$2:$A$38,"&lt;="&amp;K348,Логистика!$B$2:$B$38,"&gt;="&amp;K348))</f>
        <v>0</v>
      </c>
      <c r="Y348" s="83">
        <f>IF(AND(E348*0.055&gt;20,E348*0.055&lt;250),ROUNDUP(E348*0.055,2),IF(E348*0.055&lt;=20,20,250))</f>
        <v>20</v>
      </c>
      <c r="Z348" s="83">
        <f>ROUND(M348*0.05,2)</f>
        <v>0</v>
      </c>
      <c r="AA348" s="83">
        <f>IF(N348=0,0,IF(ROUND(E348*N348,2)&gt;5,ROUND(E348*N348,2),5))</f>
        <v>0</v>
      </c>
      <c r="AB348" s="83">
        <f>IF(O348="Да",ROUND(E348*0.1111,2),0)</f>
        <v>0</v>
      </c>
      <c r="AC348" s="53">
        <f>V348+W348+T348+X348+Y348+Z348+AA348+AB348</f>
        <v>20</v>
      </c>
      <c r="AD348" s="8">
        <v>0</v>
      </c>
      <c r="AE348" s="36">
        <f>ROUND(E348*AD348,2)</f>
        <v>0</v>
      </c>
      <c r="AF348" s="6">
        <v>15</v>
      </c>
      <c r="AG348" s="6">
        <v>15</v>
      </c>
      <c r="AH348" s="5"/>
      <c r="AI348" s="57">
        <f>E348-AC348-AE348-AH348</f>
        <v>-20</v>
      </c>
      <c r="AJ348" s="17">
        <f>E348-AC348</f>
        <v>-20</v>
      </c>
      <c r="AK348" s="20" t="e">
        <f>ROUND(AI348/E348,2)</f>
        <v>#DIV/0!</v>
      </c>
      <c r="AL348" s="21" t="e">
        <f t="shared" ref="AL348:AL429" si="58">ROUND(AI348/AH348,2)</f>
        <v>#DIV/0!</v>
      </c>
    </row>
    <row r="349" spans="1:38" x14ac:dyDescent="0.25">
      <c r="A349" s="28" t="s">
        <v>198</v>
      </c>
      <c r="B349" s="46" t="s">
        <v>188</v>
      </c>
      <c r="C349" s="31">
        <v>370</v>
      </c>
      <c r="D349" s="38">
        <v>0</v>
      </c>
      <c r="E349" s="50">
        <f t="shared" si="52"/>
        <v>370</v>
      </c>
      <c r="F349" s="24">
        <v>0.05</v>
      </c>
      <c r="G349" s="7">
        <v>12</v>
      </c>
      <c r="H349" s="7">
        <v>12</v>
      </c>
      <c r="I349" s="7">
        <v>3</v>
      </c>
      <c r="J349" s="78">
        <f t="shared" si="54"/>
        <v>0.432</v>
      </c>
      <c r="K349" s="2">
        <f t="shared" si="55"/>
        <v>0.1</v>
      </c>
      <c r="L349" s="8">
        <v>0</v>
      </c>
      <c r="M349" s="1">
        <f t="shared" si="49"/>
        <v>0</v>
      </c>
      <c r="N349" s="41">
        <v>0</v>
      </c>
      <c r="O349" s="84" t="s">
        <v>275</v>
      </c>
      <c r="P349" s="24" t="s">
        <v>562</v>
      </c>
      <c r="Q349" s="7" t="s">
        <v>557</v>
      </c>
      <c r="R349" s="7"/>
      <c r="S349" s="81">
        <v>0.09</v>
      </c>
      <c r="T349" s="7">
        <v>25</v>
      </c>
      <c r="U349" s="82"/>
      <c r="V349" s="83">
        <f>ROUNDUP(E349*S349,2)</f>
        <v>33.299999999999997</v>
      </c>
      <c r="W349" s="83">
        <f>ROUNDUP(E349*0.015,2)</f>
        <v>5.55</v>
      </c>
      <c r="X349" s="82">
        <f>MAX(MIN(SUMIFS(Логистика!$C$2:$C$38,Логистика!$A$2:$A$38,"&lt;="&amp;K349,Логистика!$B$2:$B$38,"&gt;="&amp;K349)*E349,SUMIFS(Логистика!$E$2:$E$38,Логистика!$A$2:$A$38,"&lt;="&amp;K349,Логистика!$B$2:$B$38,"&gt;="&amp;K349)),SUMIFS(Логистика!$D$2:$D$38,Логистика!$A$2:$A$38,"&lt;="&amp;K349,Логистика!$B$2:$B$38,"&gt;="&amp;K349))</f>
        <v>40</v>
      </c>
      <c r="Y349" s="83">
        <f>IF(AND(E349*0.055&gt;20,E349*0.055&lt;250),ROUNDUP(E349*0.055,2),IF(E349*0.055&lt;=20,20,250))</f>
        <v>20.350000000000001</v>
      </c>
      <c r="Z349" s="83">
        <f>ROUND(M349*0.05,2)</f>
        <v>0</v>
      </c>
      <c r="AA349" s="83">
        <f>IF(N349=0,0,IF(ROUND(E349*N349,2)&gt;5,ROUND(E349*N349,2),5))</f>
        <v>0</v>
      </c>
      <c r="AB349" s="83">
        <f>IF(O349="Да",ROUND(E349*0.1111,2),0)</f>
        <v>0</v>
      </c>
      <c r="AC349" s="53">
        <f>V349+W349+T349+X349+Y349+Z349+AA349+AB349</f>
        <v>124.19999999999999</v>
      </c>
      <c r="AD349" s="8">
        <v>0</v>
      </c>
      <c r="AE349" s="36">
        <f>ROUND(E349*AD349,2)</f>
        <v>0</v>
      </c>
      <c r="AF349" s="6">
        <v>15</v>
      </c>
      <c r="AG349" s="6">
        <v>15</v>
      </c>
      <c r="AH349" s="5">
        <v>150</v>
      </c>
      <c r="AI349" s="57">
        <f>E349-AC349-AE349-AH349</f>
        <v>95.800000000000011</v>
      </c>
      <c r="AJ349" s="17">
        <f>E349-AC349</f>
        <v>245.8</v>
      </c>
      <c r="AK349" s="20">
        <f>ROUND(AI349/E349,2)</f>
        <v>0.26</v>
      </c>
      <c r="AL349" s="21">
        <f t="shared" si="58"/>
        <v>0.64</v>
      </c>
    </row>
    <row r="350" spans="1:38" x14ac:dyDescent="0.25">
      <c r="A350" s="28" t="s">
        <v>199</v>
      </c>
      <c r="B350" s="46" t="s">
        <v>189</v>
      </c>
      <c r="C350" s="31">
        <v>620</v>
      </c>
      <c r="D350" s="38">
        <v>0</v>
      </c>
      <c r="E350" s="50">
        <f t="shared" si="52"/>
        <v>620</v>
      </c>
      <c r="F350" s="24">
        <v>0.1</v>
      </c>
      <c r="G350" s="7">
        <v>12</v>
      </c>
      <c r="H350" s="7">
        <v>12</v>
      </c>
      <c r="I350" s="7">
        <v>6</v>
      </c>
      <c r="J350" s="78">
        <f t="shared" si="54"/>
        <v>0.86399999999999999</v>
      </c>
      <c r="K350" s="2">
        <f t="shared" si="55"/>
        <v>0.2</v>
      </c>
      <c r="L350" s="8">
        <v>0</v>
      </c>
      <c r="M350" s="1">
        <f t="shared" si="49"/>
        <v>0</v>
      </c>
      <c r="N350" s="41">
        <v>0</v>
      </c>
      <c r="O350" s="84" t="s">
        <v>275</v>
      </c>
      <c r="P350" s="24" t="s">
        <v>562</v>
      </c>
      <c r="Q350" s="7" t="s">
        <v>557</v>
      </c>
      <c r="R350" s="7"/>
      <c r="S350" s="81">
        <v>0.09</v>
      </c>
      <c r="T350" s="7">
        <v>25</v>
      </c>
      <c r="U350" s="82"/>
      <c r="V350" s="83">
        <f>ROUNDUP(E350*S350,2)</f>
        <v>55.8</v>
      </c>
      <c r="W350" s="83">
        <f>ROUNDUP(E350*0.015,2)</f>
        <v>9.3000000000000007</v>
      </c>
      <c r="X350" s="82">
        <f>MAX(MIN(SUMIFS(Логистика!$C$2:$C$38,Логистика!$A$2:$A$38,"&lt;="&amp;K350,Логистика!$B$2:$B$38,"&gt;="&amp;K350)*E350,SUMIFS(Логистика!$E$2:$E$38,Логистика!$A$2:$A$38,"&lt;="&amp;K350,Логистика!$B$2:$B$38,"&gt;="&amp;K350)),SUMIFS(Логистика!$D$2:$D$38,Логистика!$A$2:$A$38,"&lt;="&amp;K350,Логистика!$B$2:$B$38,"&gt;="&amp;K350))</f>
        <v>41</v>
      </c>
      <c r="Y350" s="83">
        <f>IF(AND(E350*0.055&gt;20,E350*0.055&lt;250),ROUNDUP(E350*0.055,2),IF(E350*0.055&lt;=20,20,250))</f>
        <v>34.1</v>
      </c>
      <c r="Z350" s="83">
        <f>ROUND(M350*0.05,2)</f>
        <v>0</v>
      </c>
      <c r="AA350" s="83">
        <f>IF(N350=0,0,IF(ROUND(E350*N350,2)&gt;5,ROUND(E350*N350,2),5))</f>
        <v>0</v>
      </c>
      <c r="AB350" s="83">
        <f>IF(O350="Да",ROUND(E350*0.1111,2),0)</f>
        <v>0</v>
      </c>
      <c r="AC350" s="53">
        <f>V350+W350+T350+X350+Y350+Z350+AA350+AB350</f>
        <v>165.2</v>
      </c>
      <c r="AD350" s="8">
        <v>0</v>
      </c>
      <c r="AE350" s="36">
        <f>ROUND(E350*AD350,2)</f>
        <v>0</v>
      </c>
      <c r="AF350" s="6">
        <v>15</v>
      </c>
      <c r="AG350" s="6">
        <v>15</v>
      </c>
      <c r="AH350" s="58">
        <f>AH349*2</f>
        <v>300</v>
      </c>
      <c r="AI350" s="57">
        <f>E350-AC350-AE350-AH350</f>
        <v>154.80000000000001</v>
      </c>
      <c r="AJ350" s="17">
        <f>E350-AC350</f>
        <v>454.8</v>
      </c>
      <c r="AK350" s="20">
        <f>ROUND(AI350/E350,2)</f>
        <v>0.25</v>
      </c>
      <c r="AL350" s="21">
        <f t="shared" si="58"/>
        <v>0.52</v>
      </c>
    </row>
    <row r="351" spans="1:38" x14ac:dyDescent="0.25">
      <c r="A351" s="28" t="s">
        <v>200</v>
      </c>
      <c r="B351" s="46" t="s">
        <v>190</v>
      </c>
      <c r="C351" s="31">
        <v>890</v>
      </c>
      <c r="D351" s="38">
        <v>0</v>
      </c>
      <c r="E351" s="50">
        <f t="shared" si="52"/>
        <v>890</v>
      </c>
      <c r="F351" s="24">
        <v>0.15</v>
      </c>
      <c r="G351" s="7">
        <v>12</v>
      </c>
      <c r="H351" s="7">
        <v>12</v>
      </c>
      <c r="I351" s="7">
        <v>9</v>
      </c>
      <c r="J351" s="78">
        <f t="shared" si="54"/>
        <v>1.296</v>
      </c>
      <c r="K351" s="2">
        <f t="shared" si="55"/>
        <v>0.3</v>
      </c>
      <c r="L351" s="8">
        <v>0</v>
      </c>
      <c r="M351" s="1">
        <f t="shared" si="49"/>
        <v>0</v>
      </c>
      <c r="N351" s="41">
        <v>0</v>
      </c>
      <c r="O351" s="84" t="s">
        <v>275</v>
      </c>
      <c r="P351" s="24" t="s">
        <v>562</v>
      </c>
      <c r="Q351" s="7" t="s">
        <v>557</v>
      </c>
      <c r="R351" s="7"/>
      <c r="S351" s="81">
        <v>0.09</v>
      </c>
      <c r="T351" s="7">
        <v>25</v>
      </c>
      <c r="U351" s="82"/>
      <c r="V351" s="83">
        <f>ROUNDUP(E351*S351,2)</f>
        <v>80.099999999999994</v>
      </c>
      <c r="W351" s="83">
        <f>ROUNDUP(E351*0.015,2)</f>
        <v>13.35</v>
      </c>
      <c r="X351" s="82">
        <f>MAX(MIN(SUMIFS(Логистика!$C$2:$C$38,Логистика!$A$2:$A$38,"&lt;="&amp;K351,Логистика!$B$2:$B$38,"&gt;="&amp;K351)*E351,SUMIFS(Логистика!$E$2:$E$38,Логистика!$A$2:$A$38,"&lt;="&amp;K351,Логистика!$B$2:$B$38,"&gt;="&amp;K351)),SUMIFS(Логистика!$D$2:$D$38,Логистика!$A$2:$A$38,"&lt;="&amp;K351,Логистика!$B$2:$B$38,"&gt;="&amp;K351))</f>
        <v>44.5</v>
      </c>
      <c r="Y351" s="83">
        <f>IF(AND(E351*0.055&gt;20,E351*0.055&lt;250),ROUNDUP(E351*0.055,2),IF(E351*0.055&lt;=20,20,250))</f>
        <v>48.95</v>
      </c>
      <c r="Z351" s="83">
        <f>ROUND(M351*0.05,2)</f>
        <v>0</v>
      </c>
      <c r="AA351" s="83">
        <f>IF(N351=0,0,IF(ROUND(E351*N351,2)&gt;5,ROUND(E351*N351,2),5))</f>
        <v>0</v>
      </c>
      <c r="AB351" s="83">
        <f>IF(O351="Да",ROUND(E351*0.1111,2),0)</f>
        <v>0</v>
      </c>
      <c r="AC351" s="53">
        <f>V351+W351+T351+X351+Y351+Z351+AA351+AB351</f>
        <v>211.89999999999998</v>
      </c>
      <c r="AD351" s="8">
        <v>0</v>
      </c>
      <c r="AE351" s="36">
        <f>ROUND(E351*AD351,2)</f>
        <v>0</v>
      </c>
      <c r="AF351" s="6">
        <v>15</v>
      </c>
      <c r="AG351" s="6">
        <v>15</v>
      </c>
      <c r="AH351" s="58">
        <f>AH349*3</f>
        <v>450</v>
      </c>
      <c r="AI351" s="57">
        <f>E351-AC351-AE351-AH351</f>
        <v>228.10000000000002</v>
      </c>
      <c r="AJ351" s="17">
        <f>E351-AC351</f>
        <v>678.1</v>
      </c>
      <c r="AK351" s="20">
        <f>ROUND(AI351/E351,2)</f>
        <v>0.26</v>
      </c>
      <c r="AL351" s="21">
        <f t="shared" si="58"/>
        <v>0.51</v>
      </c>
    </row>
    <row r="352" spans="1:38" x14ac:dyDescent="0.25">
      <c r="A352" s="28" t="s">
        <v>201</v>
      </c>
      <c r="B352" s="46" t="s">
        <v>191</v>
      </c>
      <c r="C352" s="31">
        <v>1160</v>
      </c>
      <c r="D352" s="38">
        <v>0</v>
      </c>
      <c r="E352" s="50">
        <f t="shared" si="52"/>
        <v>1160</v>
      </c>
      <c r="F352" s="24">
        <v>0.2</v>
      </c>
      <c r="G352" s="7">
        <v>12</v>
      </c>
      <c r="H352" s="7">
        <v>12</v>
      </c>
      <c r="I352" s="7">
        <v>12</v>
      </c>
      <c r="J352" s="78">
        <f t="shared" si="54"/>
        <v>1.728</v>
      </c>
      <c r="K352" s="2">
        <f t="shared" si="55"/>
        <v>0.3</v>
      </c>
      <c r="L352" s="8">
        <v>0</v>
      </c>
      <c r="M352" s="1">
        <f t="shared" si="49"/>
        <v>0</v>
      </c>
      <c r="N352" s="41">
        <v>0</v>
      </c>
      <c r="O352" s="84" t="s">
        <v>275</v>
      </c>
      <c r="P352" s="24" t="s">
        <v>562</v>
      </c>
      <c r="Q352" s="7" t="s">
        <v>557</v>
      </c>
      <c r="R352" s="7"/>
      <c r="S352" s="81">
        <v>0.09</v>
      </c>
      <c r="T352" s="7">
        <v>25</v>
      </c>
      <c r="U352" s="82"/>
      <c r="V352" s="83">
        <f>ROUNDUP(E352*S352,2)</f>
        <v>104.4</v>
      </c>
      <c r="W352" s="83">
        <f>ROUNDUP(E352*0.015,2)</f>
        <v>17.399999999999999</v>
      </c>
      <c r="X352" s="82">
        <f>MAX(MIN(SUMIFS(Логистика!$C$2:$C$38,Логистика!$A$2:$A$38,"&lt;="&amp;K352,Логистика!$B$2:$B$38,"&gt;="&amp;K352)*E352,SUMIFS(Логистика!$E$2:$E$38,Логистика!$A$2:$A$38,"&lt;="&amp;K352,Логистика!$B$2:$B$38,"&gt;="&amp;K352)),SUMIFS(Логистика!$D$2:$D$38,Логистика!$A$2:$A$38,"&lt;="&amp;K352,Логистика!$B$2:$B$38,"&gt;="&amp;K352))</f>
        <v>58</v>
      </c>
      <c r="Y352" s="83">
        <f>IF(AND(E352*0.055&gt;20,E352*0.055&lt;250),ROUNDUP(E352*0.055,2),IF(E352*0.055&lt;=20,20,250))</f>
        <v>63.8</v>
      </c>
      <c r="Z352" s="83">
        <f>ROUND(M352*0.05,2)</f>
        <v>0</v>
      </c>
      <c r="AA352" s="83">
        <f>IF(N352=0,0,IF(ROUND(E352*N352,2)&gt;5,ROUND(E352*N352,2),5))</f>
        <v>0</v>
      </c>
      <c r="AB352" s="83">
        <f>IF(O352="Да",ROUND(E352*0.1111,2),0)</f>
        <v>0</v>
      </c>
      <c r="AC352" s="53">
        <f>V352+W352+T352+X352+Y352+Z352+AA352+AB352</f>
        <v>268.60000000000002</v>
      </c>
      <c r="AD352" s="8">
        <v>0</v>
      </c>
      <c r="AE352" s="36">
        <f>ROUND(E352*AD352,2)</f>
        <v>0</v>
      </c>
      <c r="AF352" s="6">
        <v>15</v>
      </c>
      <c r="AG352" s="6">
        <v>15</v>
      </c>
      <c r="AH352" s="58">
        <f>AH349*4</f>
        <v>600</v>
      </c>
      <c r="AI352" s="57">
        <f>E352-AC352-AE352-AH352</f>
        <v>291.39999999999998</v>
      </c>
      <c r="AJ352" s="17">
        <f>E352-AC352</f>
        <v>891.4</v>
      </c>
      <c r="AK352" s="20">
        <f>ROUND(AI352/E352,2)</f>
        <v>0.25</v>
      </c>
      <c r="AL352" s="21">
        <f t="shared" si="58"/>
        <v>0.49</v>
      </c>
    </row>
    <row r="353" spans="1:38" x14ac:dyDescent="0.25">
      <c r="A353" s="28" t="s">
        <v>202</v>
      </c>
      <c r="B353" s="46" t="s">
        <v>192</v>
      </c>
      <c r="C353" s="31">
        <v>1420</v>
      </c>
      <c r="D353" s="38">
        <v>0</v>
      </c>
      <c r="E353" s="50">
        <f t="shared" si="52"/>
        <v>1420</v>
      </c>
      <c r="F353" s="24">
        <v>0.25</v>
      </c>
      <c r="G353" s="7">
        <v>12</v>
      </c>
      <c r="H353" s="7">
        <v>12</v>
      </c>
      <c r="I353" s="7">
        <v>15</v>
      </c>
      <c r="J353" s="78">
        <f t="shared" si="54"/>
        <v>2.16</v>
      </c>
      <c r="K353" s="2">
        <f t="shared" si="55"/>
        <v>0.4</v>
      </c>
      <c r="L353" s="8">
        <v>0</v>
      </c>
      <c r="M353" s="1">
        <f t="shared" si="49"/>
        <v>0</v>
      </c>
      <c r="N353" s="41">
        <v>0</v>
      </c>
      <c r="O353" s="84" t="s">
        <v>275</v>
      </c>
      <c r="P353" s="24" t="s">
        <v>562</v>
      </c>
      <c r="Q353" s="7" t="s">
        <v>557</v>
      </c>
      <c r="R353" s="7"/>
      <c r="S353" s="81">
        <v>0.09</v>
      </c>
      <c r="T353" s="7">
        <v>25</v>
      </c>
      <c r="U353" s="82"/>
      <c r="V353" s="83">
        <f>ROUNDUP(E353*S353,2)</f>
        <v>127.8</v>
      </c>
      <c r="W353" s="83">
        <f>ROUNDUP(E353*0.015,2)</f>
        <v>21.3</v>
      </c>
      <c r="X353" s="82">
        <f>MAX(MIN(SUMIFS(Логистика!$C$2:$C$38,Логистика!$A$2:$A$38,"&lt;="&amp;K353,Логистика!$B$2:$B$38,"&gt;="&amp;K353)*E353,SUMIFS(Логистика!$E$2:$E$38,Логистика!$A$2:$A$38,"&lt;="&amp;K353,Логистика!$B$2:$B$38,"&gt;="&amp;K353)),SUMIFS(Логистика!$D$2:$D$38,Логистика!$A$2:$A$38,"&lt;="&amp;K353,Логистика!$B$2:$B$38,"&gt;="&amp;K353))</f>
        <v>71</v>
      </c>
      <c r="Y353" s="83">
        <f>IF(AND(E353*0.055&gt;20,E353*0.055&lt;250),ROUNDUP(E353*0.055,2),IF(E353*0.055&lt;=20,20,250))</f>
        <v>78.099999999999994</v>
      </c>
      <c r="Z353" s="83">
        <f>ROUND(M353*0.05,2)</f>
        <v>0</v>
      </c>
      <c r="AA353" s="83">
        <f>IF(N353=0,0,IF(ROUND(E353*N353,2)&gt;5,ROUND(E353*N353,2),5))</f>
        <v>0</v>
      </c>
      <c r="AB353" s="83">
        <f>IF(O353="Да",ROUND(E353*0.1111,2),0)</f>
        <v>0</v>
      </c>
      <c r="AC353" s="53">
        <f>V353+W353+T353+X353+Y353+Z353+AA353+AB353</f>
        <v>323.2</v>
      </c>
      <c r="AD353" s="8">
        <v>0</v>
      </c>
      <c r="AE353" s="36">
        <f>ROUND(E353*AD353,2)</f>
        <v>0</v>
      </c>
      <c r="AF353" s="6">
        <v>15</v>
      </c>
      <c r="AG353" s="6">
        <v>15</v>
      </c>
      <c r="AH353" s="58">
        <f>AH349*5</f>
        <v>750</v>
      </c>
      <c r="AI353" s="57">
        <f>E353-AC353-AE353-AH353</f>
        <v>346.79999999999995</v>
      </c>
      <c r="AJ353" s="17">
        <f>E353-AC353</f>
        <v>1096.8</v>
      </c>
      <c r="AK353" s="20">
        <f>ROUND(AI353/E353,2)</f>
        <v>0.24</v>
      </c>
      <c r="AL353" s="21">
        <f t="shared" si="58"/>
        <v>0.46</v>
      </c>
    </row>
    <row r="354" spans="1:38" x14ac:dyDescent="0.25">
      <c r="A354" s="28"/>
      <c r="B354" s="46"/>
      <c r="C354" s="31"/>
      <c r="D354" s="38">
        <v>0</v>
      </c>
      <c r="E354" s="50">
        <f t="shared" si="52"/>
        <v>0</v>
      </c>
      <c r="F354" s="24"/>
      <c r="G354" s="7">
        <v>0</v>
      </c>
      <c r="H354" s="7">
        <v>0</v>
      </c>
      <c r="I354" s="7">
        <v>0</v>
      </c>
      <c r="J354" s="78">
        <f t="shared" si="54"/>
        <v>0</v>
      </c>
      <c r="K354" s="2">
        <f t="shared" si="55"/>
        <v>0</v>
      </c>
      <c r="L354" s="8">
        <v>0</v>
      </c>
      <c r="M354" s="1">
        <f t="shared" si="49"/>
        <v>0</v>
      </c>
      <c r="N354" s="41">
        <v>0</v>
      </c>
      <c r="O354" s="84" t="s">
        <v>275</v>
      </c>
      <c r="P354" s="24" t="s">
        <v>562</v>
      </c>
      <c r="Q354" s="7" t="s">
        <v>557</v>
      </c>
      <c r="R354" s="7"/>
      <c r="S354" s="81"/>
      <c r="T354" s="7">
        <v>25</v>
      </c>
      <c r="U354" s="82"/>
      <c r="V354" s="83">
        <f>ROUNDUP(E354*S354,2)</f>
        <v>0</v>
      </c>
      <c r="W354" s="83">
        <f>ROUNDUP(E354*0.015,2)</f>
        <v>0</v>
      </c>
      <c r="X354" s="82">
        <f>MAX(MIN(SUMIFS(Логистика!$C$2:$C$38,Логистика!$A$2:$A$38,"&lt;="&amp;K354,Логистика!$B$2:$B$38,"&gt;="&amp;K354)*E354,SUMIFS(Логистика!$E$2:$E$38,Логистика!$A$2:$A$38,"&lt;="&amp;K354,Логистика!$B$2:$B$38,"&gt;="&amp;K354)),SUMIFS(Логистика!$D$2:$D$38,Логистика!$A$2:$A$38,"&lt;="&amp;K354,Логистика!$B$2:$B$38,"&gt;="&amp;K354))</f>
        <v>0</v>
      </c>
      <c r="Y354" s="83">
        <f>IF(AND(E354*0.055&gt;20,E354*0.055&lt;250),ROUNDUP(E354*0.055,2),IF(E354*0.055&lt;=20,20,250))</f>
        <v>20</v>
      </c>
      <c r="Z354" s="83">
        <f>ROUND(M354*0.05,2)</f>
        <v>0</v>
      </c>
      <c r="AA354" s="83">
        <f>IF(N354=0,0,IF(ROUND(E354*N354,2)&gt;5,ROUND(E354*N354,2),5))</f>
        <v>0</v>
      </c>
      <c r="AB354" s="83">
        <f>IF(O354="Да",ROUND(E354*0.1111,2),0)</f>
        <v>0</v>
      </c>
      <c r="AC354" s="53">
        <f>V354+W354+T354+X354+Y354+Z354+AA354+AB354</f>
        <v>45</v>
      </c>
      <c r="AD354" s="8">
        <v>0</v>
      </c>
      <c r="AE354" s="36">
        <f>ROUND(E354*AD354,2)</f>
        <v>0</v>
      </c>
      <c r="AF354" s="6">
        <v>15</v>
      </c>
      <c r="AG354" s="6">
        <v>15</v>
      </c>
      <c r="AH354" s="5"/>
      <c r="AI354" s="57">
        <f>E354-AC354-AE354-AH354</f>
        <v>-45</v>
      </c>
      <c r="AJ354" s="17">
        <f>E354-AC354</f>
        <v>-45</v>
      </c>
      <c r="AK354" s="20" t="e">
        <f>ROUND(AI354/E354,2)</f>
        <v>#DIV/0!</v>
      </c>
      <c r="AL354" s="21" t="e">
        <f t="shared" ref="AL354:AL374" si="59">ROUND(AI354/AH354,2)</f>
        <v>#DIV/0!</v>
      </c>
    </row>
    <row r="355" spans="1:38" x14ac:dyDescent="0.25">
      <c r="A355" s="28" t="s">
        <v>224</v>
      </c>
      <c r="B355" s="46" t="s">
        <v>203</v>
      </c>
      <c r="C355" s="31">
        <v>990</v>
      </c>
      <c r="D355" s="38">
        <v>0</v>
      </c>
      <c r="E355" s="50">
        <f t="shared" si="52"/>
        <v>990</v>
      </c>
      <c r="F355" s="24">
        <v>0.1</v>
      </c>
      <c r="G355" s="7">
        <v>15</v>
      </c>
      <c r="H355" s="7">
        <v>10</v>
      </c>
      <c r="I355" s="7">
        <v>10</v>
      </c>
      <c r="J355" s="78">
        <f t="shared" si="54"/>
        <v>1.5</v>
      </c>
      <c r="K355" s="2">
        <f t="shared" si="55"/>
        <v>0.3</v>
      </c>
      <c r="L355" s="8">
        <v>0</v>
      </c>
      <c r="M355" s="1">
        <f t="shared" si="49"/>
        <v>0</v>
      </c>
      <c r="N355" s="41">
        <v>0</v>
      </c>
      <c r="O355" s="84" t="s">
        <v>275</v>
      </c>
      <c r="P355" s="24" t="s">
        <v>562</v>
      </c>
      <c r="Q355" s="7" t="s">
        <v>557</v>
      </c>
      <c r="R355" s="7"/>
      <c r="S355" s="81">
        <v>0.09</v>
      </c>
      <c r="T355" s="7">
        <v>25</v>
      </c>
      <c r="U355" s="82"/>
      <c r="V355" s="83">
        <f>ROUNDUP(E355*S355,2)</f>
        <v>89.1</v>
      </c>
      <c r="W355" s="83">
        <f>ROUNDUP(E355*0.015,2)</f>
        <v>14.85</v>
      </c>
      <c r="X355" s="82">
        <f>MAX(MIN(SUMIFS(Логистика!$C$2:$C$38,Логистика!$A$2:$A$38,"&lt;="&amp;K355,Логистика!$B$2:$B$38,"&gt;="&amp;K355)*E355,SUMIFS(Логистика!$E$2:$E$38,Логистика!$A$2:$A$38,"&lt;="&amp;K355,Логистика!$B$2:$B$38,"&gt;="&amp;K355)),SUMIFS(Логистика!$D$2:$D$38,Логистика!$A$2:$A$38,"&lt;="&amp;K355,Логистика!$B$2:$B$38,"&gt;="&amp;K355))</f>
        <v>49.5</v>
      </c>
      <c r="Y355" s="83">
        <f>IF(AND(E355*0.055&gt;20,E355*0.055&lt;250),ROUNDUP(E355*0.055,2),IF(E355*0.055&lt;=20,20,250))</f>
        <v>54.45</v>
      </c>
      <c r="Z355" s="83">
        <f>ROUND(M355*0.05,2)</f>
        <v>0</v>
      </c>
      <c r="AA355" s="83">
        <f>IF(N355=0,0,IF(ROUND(E355*N355,2)&gt;5,ROUND(E355*N355,2),5))</f>
        <v>0</v>
      </c>
      <c r="AB355" s="83">
        <f>IF(O355="Да",ROUND(E355*0.1111,2),0)</f>
        <v>0</v>
      </c>
      <c r="AC355" s="53">
        <f>V355+W355+T355+X355+Y355+Z355+AA355+AB355</f>
        <v>232.89999999999998</v>
      </c>
      <c r="AD355" s="8">
        <v>0</v>
      </c>
      <c r="AE355" s="36">
        <f>ROUND(E355*AD355,2)</f>
        <v>0</v>
      </c>
      <c r="AF355" s="6">
        <v>15</v>
      </c>
      <c r="AG355" s="6">
        <v>15</v>
      </c>
      <c r="AH355" s="5">
        <v>513.09</v>
      </c>
      <c r="AI355" s="57">
        <f>E355-AC355-AE355-AH355</f>
        <v>244.01</v>
      </c>
      <c r="AJ355" s="17">
        <f>E355-AC355</f>
        <v>757.1</v>
      </c>
      <c r="AK355" s="20">
        <f>ROUND(AI355/E355,2)</f>
        <v>0.25</v>
      </c>
      <c r="AL355" s="21">
        <f t="shared" si="59"/>
        <v>0.48</v>
      </c>
    </row>
    <row r="356" spans="1:38" x14ac:dyDescent="0.25">
      <c r="A356" s="28" t="s">
        <v>225</v>
      </c>
      <c r="B356" s="46" t="s">
        <v>204</v>
      </c>
      <c r="C356" s="31">
        <v>1890</v>
      </c>
      <c r="D356" s="38">
        <v>0</v>
      </c>
      <c r="E356" s="50">
        <f t="shared" si="52"/>
        <v>1890</v>
      </c>
      <c r="F356" s="24">
        <v>0.2</v>
      </c>
      <c r="G356" s="7">
        <v>15</v>
      </c>
      <c r="H356" s="7">
        <v>10</v>
      </c>
      <c r="I356" s="7">
        <v>18</v>
      </c>
      <c r="J356" s="78">
        <f t="shared" si="54"/>
        <v>2.7</v>
      </c>
      <c r="K356" s="2">
        <f t="shared" si="55"/>
        <v>0.5</v>
      </c>
      <c r="L356" s="8">
        <v>0</v>
      </c>
      <c r="M356" s="1">
        <f t="shared" si="49"/>
        <v>0</v>
      </c>
      <c r="N356" s="41">
        <v>0</v>
      </c>
      <c r="O356" s="84" t="s">
        <v>275</v>
      </c>
      <c r="P356" s="24" t="s">
        <v>562</v>
      </c>
      <c r="Q356" s="7" t="s">
        <v>557</v>
      </c>
      <c r="R356" s="7"/>
      <c r="S356" s="81">
        <v>0.09</v>
      </c>
      <c r="T356" s="7">
        <v>25</v>
      </c>
      <c r="U356" s="82"/>
      <c r="V356" s="83">
        <f>ROUNDUP(E356*S356,2)</f>
        <v>170.1</v>
      </c>
      <c r="W356" s="83">
        <f>ROUNDUP(E356*0.015,2)</f>
        <v>28.35</v>
      </c>
      <c r="X356" s="82">
        <f>MAX(MIN(SUMIFS(Логистика!$C$2:$C$38,Логистика!$A$2:$A$38,"&lt;="&amp;K356,Логистика!$B$2:$B$38,"&gt;="&amp;K356)*E356,SUMIFS(Логистика!$E$2:$E$38,Логистика!$A$2:$A$38,"&lt;="&amp;K356,Логистика!$B$2:$B$38,"&gt;="&amp;K356)),SUMIFS(Логистика!$D$2:$D$38,Логистика!$A$2:$A$38,"&lt;="&amp;K356,Логистика!$B$2:$B$38,"&gt;="&amp;K356))</f>
        <v>94.5</v>
      </c>
      <c r="Y356" s="83">
        <f>IF(AND(E356*0.055&gt;20,E356*0.055&lt;250),ROUNDUP(E356*0.055,2),IF(E356*0.055&lt;=20,20,250))</f>
        <v>103.95</v>
      </c>
      <c r="Z356" s="83">
        <f>ROUND(M356*0.05,2)</f>
        <v>0</v>
      </c>
      <c r="AA356" s="83">
        <f>IF(N356=0,0,IF(ROUND(E356*N356,2)&gt;5,ROUND(E356*N356,2),5))</f>
        <v>0</v>
      </c>
      <c r="AB356" s="83">
        <f>IF(O356="Да",ROUND(E356*0.1111,2),0)</f>
        <v>0</v>
      </c>
      <c r="AC356" s="53">
        <f>V356+W356+T356+X356+Y356+Z356+AA356+AB356</f>
        <v>421.9</v>
      </c>
      <c r="AD356" s="8">
        <v>0</v>
      </c>
      <c r="AE356" s="36">
        <f>ROUND(E356*AD356,2)</f>
        <v>0</v>
      </c>
      <c r="AF356" s="6">
        <v>15</v>
      </c>
      <c r="AG356" s="6">
        <v>15</v>
      </c>
      <c r="AH356" s="58">
        <f>AH355*2</f>
        <v>1026.18</v>
      </c>
      <c r="AI356" s="57">
        <f>E356-AC356-AE356-AH356</f>
        <v>441.91999999999985</v>
      </c>
      <c r="AJ356" s="17">
        <f>E356-AC356</f>
        <v>1468.1</v>
      </c>
      <c r="AK356" s="20">
        <f>ROUND(AI356/E356,2)</f>
        <v>0.23</v>
      </c>
      <c r="AL356" s="21">
        <f t="shared" si="59"/>
        <v>0.43</v>
      </c>
    </row>
    <row r="357" spans="1:38" x14ac:dyDescent="0.25">
      <c r="A357" s="28" t="s">
        <v>226</v>
      </c>
      <c r="B357" s="46" t="s">
        <v>205</v>
      </c>
      <c r="C357" s="31">
        <v>2790</v>
      </c>
      <c r="D357" s="38">
        <v>0</v>
      </c>
      <c r="E357" s="50">
        <f t="shared" si="52"/>
        <v>2790</v>
      </c>
      <c r="F357" s="24">
        <v>0.3</v>
      </c>
      <c r="G357" s="7">
        <v>15</v>
      </c>
      <c r="H357" s="7">
        <v>10</v>
      </c>
      <c r="I357" s="7">
        <v>26</v>
      </c>
      <c r="J357" s="78">
        <f t="shared" si="54"/>
        <v>3.9</v>
      </c>
      <c r="K357" s="2">
        <f t="shared" si="55"/>
        <v>0.8</v>
      </c>
      <c r="L357" s="8">
        <v>0</v>
      </c>
      <c r="M357" s="1">
        <f t="shared" si="49"/>
        <v>0</v>
      </c>
      <c r="N357" s="41">
        <v>0</v>
      </c>
      <c r="O357" s="84" t="s">
        <v>275</v>
      </c>
      <c r="P357" s="24" t="s">
        <v>562</v>
      </c>
      <c r="Q357" s="7" t="s">
        <v>557</v>
      </c>
      <c r="R357" s="7"/>
      <c r="S357" s="81">
        <v>0.09</v>
      </c>
      <c r="T357" s="7">
        <v>25</v>
      </c>
      <c r="U357" s="82"/>
      <c r="V357" s="83">
        <f>ROUNDUP(E357*S357,2)</f>
        <v>251.1</v>
      </c>
      <c r="W357" s="83">
        <f>ROUNDUP(E357*0.015,2)</f>
        <v>41.85</v>
      </c>
      <c r="X357" s="82">
        <f>MAX(MIN(SUMIFS(Логистика!$C$2:$C$38,Логистика!$A$2:$A$38,"&lt;="&amp;K357,Логистика!$B$2:$B$38,"&gt;="&amp;K357)*E357,SUMIFS(Логистика!$E$2:$E$38,Логистика!$A$2:$A$38,"&lt;="&amp;K357,Логистика!$B$2:$B$38,"&gt;="&amp;K357)),SUMIFS(Логистика!$D$2:$D$38,Логистика!$A$2:$A$38,"&lt;="&amp;K357,Логистика!$B$2:$B$38,"&gt;="&amp;K357))</f>
        <v>139.5</v>
      </c>
      <c r="Y357" s="83">
        <f>IF(AND(E357*0.055&gt;20,E357*0.055&lt;250),ROUNDUP(E357*0.055,2),IF(E357*0.055&lt;=20,20,250))</f>
        <v>153.44999999999999</v>
      </c>
      <c r="Z357" s="83">
        <f>ROUND(M357*0.05,2)</f>
        <v>0</v>
      </c>
      <c r="AA357" s="83">
        <f>IF(N357=0,0,IF(ROUND(E357*N357,2)&gt;5,ROUND(E357*N357,2),5))</f>
        <v>0</v>
      </c>
      <c r="AB357" s="83">
        <f>IF(O357="Да",ROUND(E357*0.1111,2),0)</f>
        <v>0</v>
      </c>
      <c r="AC357" s="53">
        <f>V357+W357+T357+X357+Y357+Z357+AA357+AB357</f>
        <v>610.9</v>
      </c>
      <c r="AD357" s="8">
        <v>0</v>
      </c>
      <c r="AE357" s="36">
        <f>ROUND(E357*AD357,2)</f>
        <v>0</v>
      </c>
      <c r="AF357" s="6">
        <v>15</v>
      </c>
      <c r="AG357" s="6">
        <v>15</v>
      </c>
      <c r="AH357" s="58">
        <f>AH355*3</f>
        <v>1539.27</v>
      </c>
      <c r="AI357" s="57">
        <f>E357-AC357-AE357-AH357</f>
        <v>639.82999999999993</v>
      </c>
      <c r="AJ357" s="17">
        <f>E357-AC357</f>
        <v>2179.1</v>
      </c>
      <c r="AK357" s="20">
        <f>ROUND(AI357/E357,2)</f>
        <v>0.23</v>
      </c>
      <c r="AL357" s="21">
        <f t="shared" si="59"/>
        <v>0.42</v>
      </c>
    </row>
    <row r="358" spans="1:38" x14ac:dyDescent="0.25">
      <c r="A358" s="28" t="s">
        <v>227</v>
      </c>
      <c r="B358" s="46" t="s">
        <v>206</v>
      </c>
      <c r="C358" s="31">
        <v>3690</v>
      </c>
      <c r="D358" s="38">
        <v>0</v>
      </c>
      <c r="E358" s="50">
        <f t="shared" si="52"/>
        <v>3690</v>
      </c>
      <c r="F358" s="24">
        <v>0.4</v>
      </c>
      <c r="G358" s="7">
        <v>15</v>
      </c>
      <c r="H358" s="7">
        <v>10</v>
      </c>
      <c r="I358" s="7">
        <v>34</v>
      </c>
      <c r="J358" s="78">
        <f t="shared" si="54"/>
        <v>5.0999999999999996</v>
      </c>
      <c r="K358" s="2">
        <f t="shared" si="55"/>
        <v>1</v>
      </c>
      <c r="L358" s="8">
        <v>0</v>
      </c>
      <c r="M358" s="1">
        <f t="shared" si="49"/>
        <v>0</v>
      </c>
      <c r="N358" s="41">
        <v>0</v>
      </c>
      <c r="O358" s="84" t="s">
        <v>275</v>
      </c>
      <c r="P358" s="24" t="s">
        <v>562</v>
      </c>
      <c r="Q358" s="7" t="s">
        <v>557</v>
      </c>
      <c r="R358" s="7"/>
      <c r="S358" s="81">
        <v>0.09</v>
      </c>
      <c r="T358" s="7">
        <v>25</v>
      </c>
      <c r="U358" s="82"/>
      <c r="V358" s="83">
        <f>ROUNDUP(E358*S358,2)</f>
        <v>332.1</v>
      </c>
      <c r="W358" s="83">
        <f>ROUNDUP(E358*0.015,2)</f>
        <v>55.35</v>
      </c>
      <c r="X358" s="82">
        <f>MAX(MIN(SUMIFS(Логистика!$C$2:$C$38,Логистика!$A$2:$A$38,"&lt;="&amp;K358,Логистика!$B$2:$B$38,"&gt;="&amp;K358)*E358,SUMIFS(Логистика!$E$2:$E$38,Логистика!$A$2:$A$38,"&lt;="&amp;K358,Логистика!$B$2:$B$38,"&gt;="&amp;K358)),SUMIFS(Логистика!$D$2:$D$38,Логистика!$A$2:$A$38,"&lt;="&amp;K358,Логистика!$B$2:$B$38,"&gt;="&amp;K358))</f>
        <v>155</v>
      </c>
      <c r="Y358" s="83">
        <f>IF(AND(E358*0.055&gt;20,E358*0.055&lt;250),ROUNDUP(E358*0.055,2),IF(E358*0.055&lt;=20,20,250))</f>
        <v>202.95</v>
      </c>
      <c r="Z358" s="83">
        <f>ROUND(M358*0.05,2)</f>
        <v>0</v>
      </c>
      <c r="AA358" s="83">
        <f>IF(N358=0,0,IF(ROUND(E358*N358,2)&gt;5,ROUND(E358*N358,2),5))</f>
        <v>0</v>
      </c>
      <c r="AB358" s="83">
        <f>IF(O358="Да",ROUND(E358*0.1111,2),0)</f>
        <v>0</v>
      </c>
      <c r="AC358" s="53">
        <f>V358+W358+T358+X358+Y358+Z358+AA358+AB358</f>
        <v>770.40000000000009</v>
      </c>
      <c r="AD358" s="8">
        <v>0</v>
      </c>
      <c r="AE358" s="36">
        <f>ROUND(E358*AD358,2)</f>
        <v>0</v>
      </c>
      <c r="AF358" s="6">
        <v>15</v>
      </c>
      <c r="AG358" s="6">
        <v>15</v>
      </c>
      <c r="AH358" s="58">
        <f>AH355*4</f>
        <v>2052.36</v>
      </c>
      <c r="AI358" s="57">
        <f>E358-AC358-AE358-AH358</f>
        <v>867.23999999999978</v>
      </c>
      <c r="AJ358" s="17">
        <f>E358-AC358</f>
        <v>2919.6</v>
      </c>
      <c r="AK358" s="20">
        <f>ROUND(AI358/E358,2)</f>
        <v>0.24</v>
      </c>
      <c r="AL358" s="21">
        <f t="shared" si="59"/>
        <v>0.42</v>
      </c>
    </row>
    <row r="359" spans="1:38" x14ac:dyDescent="0.25">
      <c r="A359" s="28" t="s">
        <v>228</v>
      </c>
      <c r="B359" s="46" t="s">
        <v>207</v>
      </c>
      <c r="C359" s="31">
        <v>4590</v>
      </c>
      <c r="D359" s="38">
        <v>0</v>
      </c>
      <c r="E359" s="50">
        <f t="shared" si="52"/>
        <v>4590</v>
      </c>
      <c r="F359" s="24">
        <v>0.5</v>
      </c>
      <c r="G359" s="7">
        <v>15</v>
      </c>
      <c r="H359" s="7">
        <v>10</v>
      </c>
      <c r="I359" s="7">
        <v>42</v>
      </c>
      <c r="J359" s="78">
        <f t="shared" si="54"/>
        <v>6.3</v>
      </c>
      <c r="K359" s="2">
        <f t="shared" si="55"/>
        <v>1.3</v>
      </c>
      <c r="L359" s="8">
        <v>0</v>
      </c>
      <c r="M359" s="1">
        <f t="shared" si="49"/>
        <v>0</v>
      </c>
      <c r="N359" s="41">
        <v>0</v>
      </c>
      <c r="O359" s="84" t="s">
        <v>275</v>
      </c>
      <c r="P359" s="24" t="s">
        <v>562</v>
      </c>
      <c r="Q359" s="7" t="s">
        <v>557</v>
      </c>
      <c r="R359" s="7"/>
      <c r="S359" s="81">
        <v>0.09</v>
      </c>
      <c r="T359" s="7">
        <v>25</v>
      </c>
      <c r="U359" s="82"/>
      <c r="V359" s="83">
        <f>ROUNDUP(E359*S359,2)</f>
        <v>413.1</v>
      </c>
      <c r="W359" s="83">
        <f>ROUNDUP(E359*0.015,2)</f>
        <v>68.849999999999994</v>
      </c>
      <c r="X359" s="82">
        <f>MAX(MIN(SUMIFS(Логистика!$C$2:$C$38,Логистика!$A$2:$A$38,"&lt;="&amp;K359,Логистика!$B$2:$B$38,"&gt;="&amp;K359)*E359,SUMIFS(Логистика!$E$2:$E$38,Логистика!$A$2:$A$38,"&lt;="&amp;K359,Логистика!$B$2:$B$38,"&gt;="&amp;K359)),SUMIFS(Логистика!$D$2:$D$38,Логистика!$A$2:$A$38,"&lt;="&amp;K359,Логистика!$B$2:$B$38,"&gt;="&amp;K359))</f>
        <v>190</v>
      </c>
      <c r="Y359" s="83">
        <f>IF(AND(E359*0.055&gt;20,E359*0.055&lt;250),ROUNDUP(E359*0.055,2),IF(E359*0.055&lt;=20,20,250))</f>
        <v>250</v>
      </c>
      <c r="Z359" s="83">
        <f>ROUND(M359*0.05,2)</f>
        <v>0</v>
      </c>
      <c r="AA359" s="83">
        <f>IF(N359=0,0,IF(ROUND(E359*N359,2)&gt;5,ROUND(E359*N359,2),5))</f>
        <v>0</v>
      </c>
      <c r="AB359" s="83">
        <f>IF(O359="Да",ROUND(E359*0.1111,2),0)</f>
        <v>0</v>
      </c>
      <c r="AC359" s="53">
        <f>V359+W359+T359+X359+Y359+Z359+AA359+AB359</f>
        <v>946.95</v>
      </c>
      <c r="AD359" s="8">
        <v>0</v>
      </c>
      <c r="AE359" s="36">
        <f>ROUND(E359*AD359,2)</f>
        <v>0</v>
      </c>
      <c r="AF359" s="6">
        <v>15</v>
      </c>
      <c r="AG359" s="6">
        <v>15</v>
      </c>
      <c r="AH359" s="58">
        <f>AH355*5</f>
        <v>2565.4500000000003</v>
      </c>
      <c r="AI359" s="57">
        <f>E359-AC359-AE359-AH359</f>
        <v>1077.5999999999999</v>
      </c>
      <c r="AJ359" s="17">
        <f>E359-AC359</f>
        <v>3643.05</v>
      </c>
      <c r="AK359" s="20">
        <f>ROUND(AI359/E359,2)</f>
        <v>0.23</v>
      </c>
      <c r="AL359" s="21">
        <f t="shared" si="59"/>
        <v>0.42</v>
      </c>
    </row>
    <row r="360" spans="1:38" x14ac:dyDescent="0.25">
      <c r="A360" s="28"/>
      <c r="B360" s="46"/>
      <c r="C360" s="31"/>
      <c r="D360" s="38">
        <v>0</v>
      </c>
      <c r="E360" s="50">
        <f t="shared" si="52"/>
        <v>0</v>
      </c>
      <c r="F360" s="24"/>
      <c r="G360" s="7">
        <v>0</v>
      </c>
      <c r="H360" s="7">
        <v>0</v>
      </c>
      <c r="I360" s="7">
        <v>0</v>
      </c>
      <c r="J360" s="78">
        <f t="shared" si="54"/>
        <v>0</v>
      </c>
      <c r="K360" s="2">
        <f t="shared" si="55"/>
        <v>0</v>
      </c>
      <c r="L360" s="8">
        <v>0</v>
      </c>
      <c r="M360" s="1">
        <f t="shared" si="49"/>
        <v>0</v>
      </c>
      <c r="N360" s="41">
        <v>0</v>
      </c>
      <c r="O360" s="84" t="s">
        <v>275</v>
      </c>
      <c r="P360" s="24" t="s">
        <v>562</v>
      </c>
      <c r="Q360" s="7" t="s">
        <v>557</v>
      </c>
      <c r="R360" s="7"/>
      <c r="S360" s="81"/>
      <c r="T360" s="7">
        <v>25</v>
      </c>
      <c r="U360" s="82"/>
      <c r="V360" s="83">
        <f>ROUNDUP(E360*S360,2)</f>
        <v>0</v>
      </c>
      <c r="W360" s="83">
        <f>ROUNDUP(E360*0.015,2)</f>
        <v>0</v>
      </c>
      <c r="X360" s="82">
        <f>MAX(MIN(SUMIFS(Логистика!$C$2:$C$38,Логистика!$A$2:$A$38,"&lt;="&amp;K360,Логистика!$B$2:$B$38,"&gt;="&amp;K360)*E360,SUMIFS(Логистика!$E$2:$E$38,Логистика!$A$2:$A$38,"&lt;="&amp;K360,Логистика!$B$2:$B$38,"&gt;="&amp;K360)),SUMIFS(Логистика!$D$2:$D$38,Логистика!$A$2:$A$38,"&lt;="&amp;K360,Логистика!$B$2:$B$38,"&gt;="&amp;K360))</f>
        <v>0</v>
      </c>
      <c r="Y360" s="83">
        <f>IF(AND(E360*0.055&gt;20,E360*0.055&lt;250),ROUNDUP(E360*0.055,2),IF(E360*0.055&lt;=20,20,250))</f>
        <v>20</v>
      </c>
      <c r="Z360" s="83">
        <f>ROUND(M360*0.05,2)</f>
        <v>0</v>
      </c>
      <c r="AA360" s="83">
        <f>IF(N360=0,0,IF(ROUND(E360*N360,2)&gt;5,ROUND(E360*N360,2),5))</f>
        <v>0</v>
      </c>
      <c r="AB360" s="83">
        <f>IF(O360="Да",ROUND(E360*0.1111,2),0)</f>
        <v>0</v>
      </c>
      <c r="AC360" s="53">
        <f>V360+W360+T360+X360+Y360+Z360+AA360+AB360</f>
        <v>45</v>
      </c>
      <c r="AD360" s="8">
        <v>0</v>
      </c>
      <c r="AE360" s="36">
        <f>ROUND(E360*AD360,2)</f>
        <v>0</v>
      </c>
      <c r="AF360" s="6">
        <v>15</v>
      </c>
      <c r="AG360" s="6">
        <v>15</v>
      </c>
      <c r="AH360" s="5"/>
      <c r="AI360" s="57">
        <f>E360-AC360-AE360-AH360</f>
        <v>-45</v>
      </c>
      <c r="AJ360" s="17">
        <f>E360-AC360</f>
        <v>-45</v>
      </c>
      <c r="AK360" s="20" t="e">
        <f>ROUND(AI360/E360,2)</f>
        <v>#DIV/0!</v>
      </c>
      <c r="AL360" s="21" t="e">
        <f t="shared" si="59"/>
        <v>#DIV/0!</v>
      </c>
    </row>
    <row r="361" spans="1:38" x14ac:dyDescent="0.25">
      <c r="A361" s="28"/>
      <c r="B361" s="46" t="s">
        <v>208</v>
      </c>
      <c r="C361" s="31">
        <v>240</v>
      </c>
      <c r="D361" s="38">
        <v>0</v>
      </c>
      <c r="E361" s="50">
        <f t="shared" si="52"/>
        <v>240</v>
      </c>
      <c r="F361" s="24">
        <v>0.05</v>
      </c>
      <c r="G361" s="7">
        <v>12</v>
      </c>
      <c r="H361" s="7">
        <v>12</v>
      </c>
      <c r="I361" s="7">
        <v>3</v>
      </c>
      <c r="J361" s="78">
        <f t="shared" si="54"/>
        <v>0.432</v>
      </c>
      <c r="K361" s="2">
        <f t="shared" si="55"/>
        <v>0.1</v>
      </c>
      <c r="L361" s="8">
        <v>0</v>
      </c>
      <c r="M361" s="1">
        <f t="shared" si="49"/>
        <v>0</v>
      </c>
      <c r="N361" s="41">
        <v>0</v>
      </c>
      <c r="O361" s="84" t="s">
        <v>275</v>
      </c>
      <c r="P361" s="24" t="s">
        <v>562</v>
      </c>
      <c r="Q361" s="7" t="s">
        <v>557</v>
      </c>
      <c r="R361" s="7"/>
      <c r="S361" s="81">
        <v>0.09</v>
      </c>
      <c r="T361" s="7">
        <v>25</v>
      </c>
      <c r="U361" s="82"/>
      <c r="V361" s="83">
        <f>ROUNDUP(E361*S361,2)</f>
        <v>21.6</v>
      </c>
      <c r="W361" s="83">
        <f>ROUNDUP(E361*0.015,2)</f>
        <v>3.6</v>
      </c>
      <c r="X361" s="82">
        <f>MAX(MIN(SUMIFS(Логистика!$C$2:$C$38,Логистика!$A$2:$A$38,"&lt;="&amp;K361,Логистика!$B$2:$B$38,"&gt;="&amp;K361)*E361,SUMIFS(Логистика!$E$2:$E$38,Логистика!$A$2:$A$38,"&lt;="&amp;K361,Логистика!$B$2:$B$38,"&gt;="&amp;K361)),SUMIFS(Логистика!$D$2:$D$38,Логистика!$A$2:$A$38,"&lt;="&amp;K361,Логистика!$B$2:$B$38,"&gt;="&amp;K361))</f>
        <v>40</v>
      </c>
      <c r="Y361" s="83">
        <f>IF(AND(E361*0.055&gt;20,E361*0.055&lt;250),ROUNDUP(E361*0.055,2),IF(E361*0.055&lt;=20,20,250))</f>
        <v>20</v>
      </c>
      <c r="Z361" s="83">
        <f>ROUND(M361*0.05,2)</f>
        <v>0</v>
      </c>
      <c r="AA361" s="83">
        <f>IF(N361=0,0,IF(ROUND(E361*N361,2)&gt;5,ROUND(E361*N361,2),5))</f>
        <v>0</v>
      </c>
      <c r="AB361" s="83">
        <f>IF(O361="Да",ROUND(E361*0.1111,2),0)</f>
        <v>0</v>
      </c>
      <c r="AC361" s="53">
        <f>V361+W361+T361+X361+Y361+Z361+AA361+AB361</f>
        <v>110.2</v>
      </c>
      <c r="AD361" s="8">
        <v>0</v>
      </c>
      <c r="AE361" s="36">
        <f>ROUND(E361*AD361,2)</f>
        <v>0</v>
      </c>
      <c r="AF361" s="6">
        <v>15</v>
      </c>
      <c r="AG361" s="6">
        <v>15</v>
      </c>
      <c r="AH361" s="5">
        <v>75</v>
      </c>
      <c r="AI361" s="57">
        <f>E361-AC361-AE361-AH361</f>
        <v>54.800000000000011</v>
      </c>
      <c r="AJ361" s="17">
        <f>E361-AC361</f>
        <v>129.80000000000001</v>
      </c>
      <c r="AK361" s="20">
        <f>ROUND(AI361/E361,2)</f>
        <v>0.23</v>
      </c>
      <c r="AL361" s="21">
        <f t="shared" si="59"/>
        <v>0.73</v>
      </c>
    </row>
    <row r="362" spans="1:38" x14ac:dyDescent="0.25">
      <c r="A362" s="28"/>
      <c r="B362" s="46" t="s">
        <v>209</v>
      </c>
      <c r="C362" s="31">
        <v>360</v>
      </c>
      <c r="D362" s="38">
        <v>0</v>
      </c>
      <c r="E362" s="50">
        <f t="shared" si="52"/>
        <v>360</v>
      </c>
      <c r="F362" s="24">
        <v>0.1</v>
      </c>
      <c r="G362" s="7">
        <v>12</v>
      </c>
      <c r="H362" s="7">
        <v>12</v>
      </c>
      <c r="I362" s="7">
        <v>6</v>
      </c>
      <c r="J362" s="78">
        <f t="shared" si="54"/>
        <v>0.86399999999999999</v>
      </c>
      <c r="K362" s="2">
        <f t="shared" si="55"/>
        <v>0.2</v>
      </c>
      <c r="L362" s="8">
        <v>0</v>
      </c>
      <c r="M362" s="1">
        <f t="shared" si="49"/>
        <v>0</v>
      </c>
      <c r="N362" s="41">
        <v>0</v>
      </c>
      <c r="O362" s="84" t="s">
        <v>275</v>
      </c>
      <c r="P362" s="24" t="s">
        <v>562</v>
      </c>
      <c r="Q362" s="7" t="s">
        <v>557</v>
      </c>
      <c r="R362" s="7"/>
      <c r="S362" s="81">
        <v>0.09</v>
      </c>
      <c r="T362" s="7">
        <v>25</v>
      </c>
      <c r="U362" s="82"/>
      <c r="V362" s="83">
        <f>ROUNDUP(E362*S362,2)</f>
        <v>32.4</v>
      </c>
      <c r="W362" s="83">
        <f>ROUNDUP(E362*0.015,2)</f>
        <v>5.4</v>
      </c>
      <c r="X362" s="82">
        <f>MAX(MIN(SUMIFS(Логистика!$C$2:$C$38,Логистика!$A$2:$A$38,"&lt;="&amp;K362,Логистика!$B$2:$B$38,"&gt;="&amp;K362)*E362,SUMIFS(Логистика!$E$2:$E$38,Логистика!$A$2:$A$38,"&lt;="&amp;K362,Логистика!$B$2:$B$38,"&gt;="&amp;K362)),SUMIFS(Логистика!$D$2:$D$38,Логистика!$A$2:$A$38,"&lt;="&amp;K362,Логистика!$B$2:$B$38,"&gt;="&amp;K362))</f>
        <v>41</v>
      </c>
      <c r="Y362" s="83">
        <f>IF(AND(E362*0.055&gt;20,E362*0.055&lt;250),ROUNDUP(E362*0.055,2),IF(E362*0.055&lt;=20,20,250))</f>
        <v>20</v>
      </c>
      <c r="Z362" s="83">
        <f>ROUND(M362*0.05,2)</f>
        <v>0</v>
      </c>
      <c r="AA362" s="83">
        <f>IF(N362=0,0,IF(ROUND(E362*N362,2)&gt;5,ROUND(E362*N362,2),5))</f>
        <v>0</v>
      </c>
      <c r="AB362" s="83">
        <f>IF(O362="Да",ROUND(E362*0.1111,2),0)</f>
        <v>0</v>
      </c>
      <c r="AC362" s="53">
        <f>V362+W362+T362+X362+Y362+Z362+AA362+AB362</f>
        <v>123.8</v>
      </c>
      <c r="AD362" s="8">
        <v>0</v>
      </c>
      <c r="AE362" s="36">
        <f>ROUND(E362*AD362,2)</f>
        <v>0</v>
      </c>
      <c r="AF362" s="6">
        <v>15</v>
      </c>
      <c r="AG362" s="6">
        <v>15</v>
      </c>
      <c r="AH362" s="58">
        <f>AH361*2</f>
        <v>150</v>
      </c>
      <c r="AI362" s="57">
        <f>E362-AC362-AE362-AH362</f>
        <v>86.199999999999989</v>
      </c>
      <c r="AJ362" s="17">
        <f>E362-AC362</f>
        <v>236.2</v>
      </c>
      <c r="AK362" s="20">
        <f>ROUND(AI362/E362,2)</f>
        <v>0.24</v>
      </c>
      <c r="AL362" s="21">
        <f t="shared" si="59"/>
        <v>0.56999999999999995</v>
      </c>
    </row>
    <row r="363" spans="1:38" x14ac:dyDescent="0.25">
      <c r="A363" s="28"/>
      <c r="B363" s="46" t="s">
        <v>210</v>
      </c>
      <c r="C363" s="31">
        <v>490</v>
      </c>
      <c r="D363" s="38">
        <v>0</v>
      </c>
      <c r="E363" s="50">
        <f t="shared" si="52"/>
        <v>490</v>
      </c>
      <c r="F363" s="24">
        <v>0.15</v>
      </c>
      <c r="G363" s="7">
        <v>12</v>
      </c>
      <c r="H363" s="7">
        <v>12</v>
      </c>
      <c r="I363" s="7">
        <v>9</v>
      </c>
      <c r="J363" s="78">
        <f t="shared" si="54"/>
        <v>1.296</v>
      </c>
      <c r="K363" s="2">
        <f t="shared" si="55"/>
        <v>0.3</v>
      </c>
      <c r="L363" s="8">
        <v>0</v>
      </c>
      <c r="M363" s="1">
        <f t="shared" si="49"/>
        <v>0</v>
      </c>
      <c r="N363" s="41">
        <v>0</v>
      </c>
      <c r="O363" s="84" t="s">
        <v>275</v>
      </c>
      <c r="P363" s="24" t="s">
        <v>562</v>
      </c>
      <c r="Q363" s="7" t="s">
        <v>557</v>
      </c>
      <c r="R363" s="7"/>
      <c r="S363" s="81">
        <v>0.09</v>
      </c>
      <c r="T363" s="7">
        <v>25</v>
      </c>
      <c r="U363" s="82"/>
      <c r="V363" s="83">
        <f>ROUNDUP(E363*S363,2)</f>
        <v>44.1</v>
      </c>
      <c r="W363" s="83">
        <f>ROUNDUP(E363*0.015,2)</f>
        <v>7.35</v>
      </c>
      <c r="X363" s="82">
        <f>MAX(MIN(SUMIFS(Логистика!$C$2:$C$38,Логистика!$A$2:$A$38,"&lt;="&amp;K363,Логистика!$B$2:$B$38,"&gt;="&amp;K363)*E363,SUMIFS(Логистика!$E$2:$E$38,Логистика!$A$2:$A$38,"&lt;="&amp;K363,Логистика!$B$2:$B$38,"&gt;="&amp;K363)),SUMIFS(Логистика!$D$2:$D$38,Логистика!$A$2:$A$38,"&lt;="&amp;K363,Логистика!$B$2:$B$38,"&gt;="&amp;K363))</f>
        <v>42</v>
      </c>
      <c r="Y363" s="83">
        <f>IF(AND(E363*0.055&gt;20,E363*0.055&lt;250),ROUNDUP(E363*0.055,2),IF(E363*0.055&lt;=20,20,250))</f>
        <v>26.95</v>
      </c>
      <c r="Z363" s="83">
        <f>ROUND(M363*0.05,2)</f>
        <v>0</v>
      </c>
      <c r="AA363" s="83">
        <f>IF(N363=0,0,IF(ROUND(E363*N363,2)&gt;5,ROUND(E363*N363,2),5))</f>
        <v>0</v>
      </c>
      <c r="AB363" s="83">
        <f>IF(O363="Да",ROUND(E363*0.1111,2),0)</f>
        <v>0</v>
      </c>
      <c r="AC363" s="53">
        <f>V363+W363+T363+X363+Y363+Z363+AA363+AB363</f>
        <v>145.4</v>
      </c>
      <c r="AD363" s="8">
        <v>0</v>
      </c>
      <c r="AE363" s="36">
        <f>ROUND(E363*AD363,2)</f>
        <v>0</v>
      </c>
      <c r="AF363" s="6">
        <v>15</v>
      </c>
      <c r="AG363" s="6">
        <v>15</v>
      </c>
      <c r="AH363" s="58">
        <f>AH361*3</f>
        <v>225</v>
      </c>
      <c r="AI363" s="57">
        <f>E363-AC363-AE363-AH363</f>
        <v>119.60000000000002</v>
      </c>
      <c r="AJ363" s="17">
        <f>E363-AC363</f>
        <v>344.6</v>
      </c>
      <c r="AK363" s="20">
        <f>ROUND(AI363/E363,2)</f>
        <v>0.24</v>
      </c>
      <c r="AL363" s="21">
        <f t="shared" si="59"/>
        <v>0.53</v>
      </c>
    </row>
    <row r="364" spans="1:38" x14ac:dyDescent="0.25">
      <c r="A364" s="28"/>
      <c r="B364" s="46" t="s">
        <v>211</v>
      </c>
      <c r="C364" s="31">
        <v>620</v>
      </c>
      <c r="D364" s="38">
        <v>0</v>
      </c>
      <c r="E364" s="50">
        <f t="shared" si="52"/>
        <v>620</v>
      </c>
      <c r="F364" s="24">
        <v>0.2</v>
      </c>
      <c r="G364" s="7">
        <v>12</v>
      </c>
      <c r="H364" s="7">
        <v>12</v>
      </c>
      <c r="I364" s="7">
        <v>12</v>
      </c>
      <c r="J364" s="78">
        <f t="shared" si="54"/>
        <v>1.728</v>
      </c>
      <c r="K364" s="2">
        <f t="shared" si="55"/>
        <v>0.3</v>
      </c>
      <c r="L364" s="8">
        <v>0</v>
      </c>
      <c r="M364" s="1">
        <f t="shared" si="49"/>
        <v>0</v>
      </c>
      <c r="N364" s="41">
        <v>0</v>
      </c>
      <c r="O364" s="84" t="s">
        <v>275</v>
      </c>
      <c r="P364" s="24" t="s">
        <v>562</v>
      </c>
      <c r="Q364" s="7" t="s">
        <v>557</v>
      </c>
      <c r="R364" s="7"/>
      <c r="S364" s="81">
        <v>0.09</v>
      </c>
      <c r="T364" s="7">
        <v>25</v>
      </c>
      <c r="U364" s="82"/>
      <c r="V364" s="83">
        <f>ROUNDUP(E364*S364,2)</f>
        <v>55.8</v>
      </c>
      <c r="W364" s="83">
        <f>ROUNDUP(E364*0.015,2)</f>
        <v>9.3000000000000007</v>
      </c>
      <c r="X364" s="82">
        <f>MAX(MIN(SUMIFS(Логистика!$C$2:$C$38,Логистика!$A$2:$A$38,"&lt;="&amp;K364,Логистика!$B$2:$B$38,"&gt;="&amp;K364)*E364,SUMIFS(Логистика!$E$2:$E$38,Логистика!$A$2:$A$38,"&lt;="&amp;K364,Логистика!$B$2:$B$38,"&gt;="&amp;K364)),SUMIFS(Логистика!$D$2:$D$38,Логистика!$A$2:$A$38,"&lt;="&amp;K364,Логистика!$B$2:$B$38,"&gt;="&amp;K364))</f>
        <v>42</v>
      </c>
      <c r="Y364" s="83">
        <f>IF(AND(E364*0.055&gt;20,E364*0.055&lt;250),ROUNDUP(E364*0.055,2),IF(E364*0.055&lt;=20,20,250))</f>
        <v>34.1</v>
      </c>
      <c r="Z364" s="83">
        <f>ROUND(M364*0.05,2)</f>
        <v>0</v>
      </c>
      <c r="AA364" s="83">
        <f>IF(N364=0,0,IF(ROUND(E364*N364,2)&gt;5,ROUND(E364*N364,2),5))</f>
        <v>0</v>
      </c>
      <c r="AB364" s="83">
        <f>IF(O364="Да",ROUND(E364*0.1111,2),0)</f>
        <v>0</v>
      </c>
      <c r="AC364" s="53">
        <f>V364+W364+T364+X364+Y364+Z364+AA364+AB364</f>
        <v>166.2</v>
      </c>
      <c r="AD364" s="8">
        <v>0</v>
      </c>
      <c r="AE364" s="36">
        <f>ROUND(E364*AD364,2)</f>
        <v>0</v>
      </c>
      <c r="AF364" s="6">
        <v>15</v>
      </c>
      <c r="AG364" s="6">
        <v>15</v>
      </c>
      <c r="AH364" s="58">
        <f>AH361*4</f>
        <v>300</v>
      </c>
      <c r="AI364" s="57">
        <f>E364-AC364-AE364-AH364</f>
        <v>153.80000000000001</v>
      </c>
      <c r="AJ364" s="17">
        <f>E364-AC364</f>
        <v>453.8</v>
      </c>
      <c r="AK364" s="20">
        <f>ROUND(AI364/E364,2)</f>
        <v>0.25</v>
      </c>
      <c r="AL364" s="21">
        <f t="shared" si="59"/>
        <v>0.51</v>
      </c>
    </row>
    <row r="365" spans="1:38" x14ac:dyDescent="0.25">
      <c r="A365" s="28"/>
      <c r="B365" s="46" t="s">
        <v>212</v>
      </c>
      <c r="C365" s="31">
        <v>750</v>
      </c>
      <c r="D365" s="38">
        <v>0</v>
      </c>
      <c r="E365" s="50">
        <f t="shared" si="52"/>
        <v>750</v>
      </c>
      <c r="F365" s="24">
        <v>0.25</v>
      </c>
      <c r="G365" s="7">
        <v>12</v>
      </c>
      <c r="H365" s="7">
        <v>12</v>
      </c>
      <c r="I365" s="7">
        <v>15</v>
      </c>
      <c r="J365" s="78">
        <f t="shared" si="54"/>
        <v>2.16</v>
      </c>
      <c r="K365" s="2">
        <f t="shared" si="55"/>
        <v>0.4</v>
      </c>
      <c r="L365" s="8">
        <v>0</v>
      </c>
      <c r="M365" s="1">
        <f t="shared" si="49"/>
        <v>0</v>
      </c>
      <c r="N365" s="41">
        <v>0</v>
      </c>
      <c r="O365" s="84" t="s">
        <v>275</v>
      </c>
      <c r="P365" s="24" t="s">
        <v>562</v>
      </c>
      <c r="Q365" s="7" t="s">
        <v>557</v>
      </c>
      <c r="R365" s="7"/>
      <c r="S365" s="81">
        <v>0.09</v>
      </c>
      <c r="T365" s="7">
        <v>25</v>
      </c>
      <c r="U365" s="82"/>
      <c r="V365" s="83">
        <f>ROUNDUP(E365*S365,2)</f>
        <v>67.5</v>
      </c>
      <c r="W365" s="83">
        <f>ROUNDUP(E365*0.015,2)</f>
        <v>11.25</v>
      </c>
      <c r="X365" s="82">
        <f>MAX(MIN(SUMIFS(Логистика!$C$2:$C$38,Логистика!$A$2:$A$38,"&lt;="&amp;K365,Логистика!$B$2:$B$38,"&gt;="&amp;K365)*E365,SUMIFS(Логистика!$E$2:$E$38,Логистика!$A$2:$A$38,"&lt;="&amp;K365,Логистика!$B$2:$B$38,"&gt;="&amp;K365)),SUMIFS(Логистика!$D$2:$D$38,Логистика!$A$2:$A$38,"&lt;="&amp;K365,Логистика!$B$2:$B$38,"&gt;="&amp;K365))</f>
        <v>43</v>
      </c>
      <c r="Y365" s="83">
        <f>IF(AND(E365*0.055&gt;20,E365*0.055&lt;250),ROUNDUP(E365*0.055,2),IF(E365*0.055&lt;=20,20,250))</f>
        <v>41.25</v>
      </c>
      <c r="Z365" s="83">
        <f>ROUND(M365*0.05,2)</f>
        <v>0</v>
      </c>
      <c r="AA365" s="83">
        <f>IF(N365=0,0,IF(ROUND(E365*N365,2)&gt;5,ROUND(E365*N365,2),5))</f>
        <v>0</v>
      </c>
      <c r="AB365" s="83">
        <f>IF(O365="Да",ROUND(E365*0.1111,2),0)</f>
        <v>0</v>
      </c>
      <c r="AC365" s="53">
        <f>V365+W365+T365+X365+Y365+Z365+AA365+AB365</f>
        <v>188</v>
      </c>
      <c r="AD365" s="8">
        <v>0</v>
      </c>
      <c r="AE365" s="36">
        <f>ROUND(E365*AD365,2)</f>
        <v>0</v>
      </c>
      <c r="AF365" s="6">
        <v>15</v>
      </c>
      <c r="AG365" s="6">
        <v>15</v>
      </c>
      <c r="AH365" s="58">
        <f>AH361*5</f>
        <v>375</v>
      </c>
      <c r="AI365" s="57">
        <f>E365-AC365-AE365-AH365</f>
        <v>187</v>
      </c>
      <c r="AJ365" s="17">
        <f>E365-AC365</f>
        <v>562</v>
      </c>
      <c r="AK365" s="20">
        <f>ROUND(AI365/E365,2)</f>
        <v>0.25</v>
      </c>
      <c r="AL365" s="21">
        <f t="shared" si="59"/>
        <v>0.5</v>
      </c>
    </row>
    <row r="366" spans="1:38" x14ac:dyDescent="0.25">
      <c r="A366" s="28"/>
      <c r="B366" s="46"/>
      <c r="C366" s="31"/>
      <c r="D366" s="38">
        <v>0</v>
      </c>
      <c r="E366" s="50">
        <f t="shared" si="52"/>
        <v>0</v>
      </c>
      <c r="F366" s="24"/>
      <c r="G366" s="7">
        <v>0</v>
      </c>
      <c r="H366" s="7">
        <v>0</v>
      </c>
      <c r="I366" s="7">
        <v>0</v>
      </c>
      <c r="J366" s="78">
        <f t="shared" si="54"/>
        <v>0</v>
      </c>
      <c r="K366" s="2">
        <f t="shared" si="55"/>
        <v>0</v>
      </c>
      <c r="L366" s="8">
        <v>0</v>
      </c>
      <c r="M366" s="1">
        <f t="shared" si="49"/>
        <v>0</v>
      </c>
      <c r="N366" s="41">
        <v>0</v>
      </c>
      <c r="O366" s="84" t="s">
        <v>275</v>
      </c>
      <c r="P366" s="24" t="s">
        <v>562</v>
      </c>
      <c r="Q366" s="7" t="s">
        <v>557</v>
      </c>
      <c r="R366" s="7"/>
      <c r="S366" s="81"/>
      <c r="T366" s="7">
        <v>25</v>
      </c>
      <c r="U366" s="82"/>
      <c r="V366" s="83">
        <f>ROUNDUP(E366*S366,2)</f>
        <v>0</v>
      </c>
      <c r="W366" s="83">
        <f>ROUNDUP(E366*0.015,2)</f>
        <v>0</v>
      </c>
      <c r="X366" s="82">
        <f>MAX(MIN(SUMIFS(Логистика!$C$2:$C$38,Логистика!$A$2:$A$38,"&lt;="&amp;K366,Логистика!$B$2:$B$38,"&gt;="&amp;K366)*E366,SUMIFS(Логистика!$E$2:$E$38,Логистика!$A$2:$A$38,"&lt;="&amp;K366,Логистика!$B$2:$B$38,"&gt;="&amp;K366)),SUMIFS(Логистика!$D$2:$D$38,Логистика!$A$2:$A$38,"&lt;="&amp;K366,Логистика!$B$2:$B$38,"&gt;="&amp;K366))</f>
        <v>0</v>
      </c>
      <c r="Y366" s="83">
        <f>IF(AND(E366*0.055&gt;20,E366*0.055&lt;250),ROUNDUP(E366*0.055,2),IF(E366*0.055&lt;=20,20,250))</f>
        <v>20</v>
      </c>
      <c r="Z366" s="83">
        <f>ROUND(M366*0.05,2)</f>
        <v>0</v>
      </c>
      <c r="AA366" s="83">
        <f>IF(N366=0,0,IF(ROUND(E366*N366,2)&gt;5,ROUND(E366*N366,2),5))</f>
        <v>0</v>
      </c>
      <c r="AB366" s="83">
        <f>IF(O366="Да",ROUND(E366*0.1111,2),0)</f>
        <v>0</v>
      </c>
      <c r="AC366" s="53">
        <f>V366+W366+T366+X366+Y366+Z366+AA366+AB366</f>
        <v>45</v>
      </c>
      <c r="AD366" s="8">
        <v>0</v>
      </c>
      <c r="AE366" s="36">
        <f>ROUND(E366*AD366,2)</f>
        <v>0</v>
      </c>
      <c r="AF366" s="6">
        <v>15</v>
      </c>
      <c r="AG366" s="6">
        <v>15</v>
      </c>
      <c r="AH366" s="5"/>
      <c r="AI366" s="57">
        <f>E366-AC366-AE366-AH366</f>
        <v>-45</v>
      </c>
      <c r="AJ366" s="17">
        <f>E366-AC366</f>
        <v>-45</v>
      </c>
      <c r="AK366" s="20" t="e">
        <f>ROUND(AI366/E366,2)</f>
        <v>#DIV/0!</v>
      </c>
      <c r="AL366" s="21" t="e">
        <f t="shared" si="59"/>
        <v>#DIV/0!</v>
      </c>
    </row>
    <row r="367" spans="1:38" x14ac:dyDescent="0.25">
      <c r="A367" s="28"/>
      <c r="B367" s="46"/>
      <c r="C367" s="31"/>
      <c r="D367" s="38">
        <v>0</v>
      </c>
      <c r="E367" s="50">
        <f t="shared" si="52"/>
        <v>0</v>
      </c>
      <c r="F367" s="24"/>
      <c r="G367" s="7">
        <v>0</v>
      </c>
      <c r="H367" s="7">
        <v>0</v>
      </c>
      <c r="I367" s="7">
        <v>0</v>
      </c>
      <c r="J367" s="78">
        <f t="shared" si="54"/>
        <v>0</v>
      </c>
      <c r="K367" s="2">
        <f t="shared" si="55"/>
        <v>0</v>
      </c>
      <c r="L367" s="8">
        <v>0</v>
      </c>
      <c r="M367" s="1">
        <f t="shared" si="49"/>
        <v>0</v>
      </c>
      <c r="N367" s="41">
        <v>0</v>
      </c>
      <c r="O367" s="84" t="s">
        <v>275</v>
      </c>
      <c r="P367" s="24" t="s">
        <v>562</v>
      </c>
      <c r="Q367" s="7" t="s">
        <v>557</v>
      </c>
      <c r="R367" s="7"/>
      <c r="S367" s="81"/>
      <c r="T367" s="7">
        <v>25</v>
      </c>
      <c r="U367" s="82"/>
      <c r="V367" s="83">
        <f>ROUNDUP(E367*S367,2)</f>
        <v>0</v>
      </c>
      <c r="W367" s="83">
        <f>ROUNDUP(E367*0.015,2)</f>
        <v>0</v>
      </c>
      <c r="X367" s="82">
        <f>MAX(MIN(SUMIFS(Логистика!$C$2:$C$38,Логистика!$A$2:$A$38,"&lt;="&amp;K367,Логистика!$B$2:$B$38,"&gt;="&amp;K367)*E367,SUMIFS(Логистика!$E$2:$E$38,Логистика!$A$2:$A$38,"&lt;="&amp;K367,Логистика!$B$2:$B$38,"&gt;="&amp;K367)),SUMIFS(Логистика!$D$2:$D$38,Логистика!$A$2:$A$38,"&lt;="&amp;K367,Логистика!$B$2:$B$38,"&gt;="&amp;K367))</f>
        <v>0</v>
      </c>
      <c r="Y367" s="83">
        <f>IF(AND(E367*0.055&gt;20,E367*0.055&lt;250),ROUNDUP(E367*0.055,2),IF(E367*0.055&lt;=20,20,250))</f>
        <v>20</v>
      </c>
      <c r="Z367" s="83">
        <f>ROUND(M367*0.05,2)</f>
        <v>0</v>
      </c>
      <c r="AA367" s="83">
        <f>IF(N367=0,0,IF(ROUND(E367*N367,2)&gt;5,ROUND(E367*N367,2),5))</f>
        <v>0</v>
      </c>
      <c r="AB367" s="83">
        <f>IF(O367="Да",ROUND(E367*0.1111,2),0)</f>
        <v>0</v>
      </c>
      <c r="AC367" s="53">
        <f>V367+W367+T367+X367+Y367+Z367+AA367+AB367</f>
        <v>45</v>
      </c>
      <c r="AD367" s="8">
        <v>0</v>
      </c>
      <c r="AE367" s="36">
        <f>ROUND(E367*AD367,2)</f>
        <v>0</v>
      </c>
      <c r="AF367" s="6">
        <v>15</v>
      </c>
      <c r="AG367" s="6">
        <v>15</v>
      </c>
      <c r="AH367" s="5"/>
      <c r="AI367" s="57">
        <f>E367-AC367-AE367-AH367</f>
        <v>-45</v>
      </c>
      <c r="AJ367" s="17">
        <f>E367-AC367</f>
        <v>-45</v>
      </c>
      <c r="AK367" s="20" t="e">
        <f>ROUND(AI367/E367,2)</f>
        <v>#DIV/0!</v>
      </c>
      <c r="AL367" s="21" t="e">
        <f t="shared" si="59"/>
        <v>#DIV/0!</v>
      </c>
    </row>
    <row r="368" spans="1:38" x14ac:dyDescent="0.25">
      <c r="A368" s="28"/>
      <c r="B368" s="46"/>
      <c r="C368" s="31"/>
      <c r="D368" s="38">
        <v>0</v>
      </c>
      <c r="E368" s="50">
        <f t="shared" si="52"/>
        <v>0</v>
      </c>
      <c r="F368" s="24"/>
      <c r="G368" s="7">
        <v>0</v>
      </c>
      <c r="H368" s="7">
        <v>0</v>
      </c>
      <c r="I368" s="7">
        <v>0</v>
      </c>
      <c r="J368" s="78">
        <f t="shared" si="54"/>
        <v>0</v>
      </c>
      <c r="K368" s="2">
        <f t="shared" si="55"/>
        <v>0</v>
      </c>
      <c r="L368" s="8">
        <v>0</v>
      </c>
      <c r="M368" s="1">
        <f t="shared" si="49"/>
        <v>0</v>
      </c>
      <c r="N368" s="41">
        <v>0</v>
      </c>
      <c r="O368" s="84" t="s">
        <v>275</v>
      </c>
      <c r="P368" s="24" t="s">
        <v>562</v>
      </c>
      <c r="Q368" s="7" t="s">
        <v>557</v>
      </c>
      <c r="R368" s="7"/>
      <c r="S368" s="81"/>
      <c r="T368" s="7">
        <v>25</v>
      </c>
      <c r="U368" s="82"/>
      <c r="V368" s="83">
        <f>ROUNDUP(E368*S368,2)</f>
        <v>0</v>
      </c>
      <c r="W368" s="83">
        <f>ROUNDUP(E368*0.015,2)</f>
        <v>0</v>
      </c>
      <c r="X368" s="82">
        <f>MAX(MIN(SUMIFS(Логистика!$C$2:$C$38,Логистика!$A$2:$A$38,"&lt;="&amp;K368,Логистика!$B$2:$B$38,"&gt;="&amp;K368)*E368,SUMIFS(Логистика!$E$2:$E$38,Логистика!$A$2:$A$38,"&lt;="&amp;K368,Логистика!$B$2:$B$38,"&gt;="&amp;K368)),SUMIFS(Логистика!$D$2:$D$38,Логистика!$A$2:$A$38,"&lt;="&amp;K368,Логистика!$B$2:$B$38,"&gt;="&amp;K368))</f>
        <v>0</v>
      </c>
      <c r="Y368" s="83">
        <f>IF(AND(E368*0.055&gt;20,E368*0.055&lt;250),ROUNDUP(E368*0.055,2),IF(E368*0.055&lt;=20,20,250))</f>
        <v>20</v>
      </c>
      <c r="Z368" s="83">
        <f>ROUND(M368*0.05,2)</f>
        <v>0</v>
      </c>
      <c r="AA368" s="83">
        <f>IF(N368=0,0,IF(ROUND(E368*N368,2)&gt;5,ROUND(E368*N368,2),5))</f>
        <v>0</v>
      </c>
      <c r="AB368" s="83">
        <f>IF(O368="Да",ROUND(E368*0.1111,2),0)</f>
        <v>0</v>
      </c>
      <c r="AC368" s="53">
        <f>V368+W368+T368+X368+Y368+Z368+AA368+AB368</f>
        <v>45</v>
      </c>
      <c r="AD368" s="8">
        <v>0</v>
      </c>
      <c r="AE368" s="36">
        <f>ROUND(E368*AD368,2)</f>
        <v>0</v>
      </c>
      <c r="AF368" s="6">
        <v>15</v>
      </c>
      <c r="AG368" s="6">
        <v>15</v>
      </c>
      <c r="AH368" s="5"/>
      <c r="AI368" s="57">
        <f>E368-AC368-AE368-AH368</f>
        <v>-45</v>
      </c>
      <c r="AJ368" s="17">
        <f>E368-AC368</f>
        <v>-45</v>
      </c>
      <c r="AK368" s="20" t="e">
        <f>ROUND(AI368/E368,2)</f>
        <v>#DIV/0!</v>
      </c>
      <c r="AL368" s="21" t="e">
        <f t="shared" si="59"/>
        <v>#DIV/0!</v>
      </c>
    </row>
    <row r="369" spans="1:38" x14ac:dyDescent="0.25">
      <c r="A369" s="28"/>
      <c r="B369" s="46"/>
      <c r="C369" s="31"/>
      <c r="D369" s="38">
        <v>0</v>
      </c>
      <c r="E369" s="50">
        <f t="shared" si="52"/>
        <v>0</v>
      </c>
      <c r="F369" s="24"/>
      <c r="G369" s="7">
        <v>0</v>
      </c>
      <c r="H369" s="7">
        <v>0</v>
      </c>
      <c r="I369" s="7">
        <v>0</v>
      </c>
      <c r="J369" s="78">
        <f t="shared" si="54"/>
        <v>0</v>
      </c>
      <c r="K369" s="2">
        <f t="shared" si="55"/>
        <v>0</v>
      </c>
      <c r="L369" s="8">
        <v>0</v>
      </c>
      <c r="M369" s="1">
        <f t="shared" ref="M369:M429" si="60">IF(L369=0,0,IF(ROUND(E369*L369,0)&gt;20,ROUND(E369*L369,0),20))</f>
        <v>0</v>
      </c>
      <c r="N369" s="41">
        <v>0</v>
      </c>
      <c r="O369" s="84" t="s">
        <v>275</v>
      </c>
      <c r="P369" s="24" t="s">
        <v>562</v>
      </c>
      <c r="Q369" s="7" t="s">
        <v>557</v>
      </c>
      <c r="R369" s="7"/>
      <c r="S369" s="81"/>
      <c r="T369" s="7">
        <v>25</v>
      </c>
      <c r="U369" s="82"/>
      <c r="V369" s="83">
        <f>ROUNDUP(E369*S369,2)</f>
        <v>0</v>
      </c>
      <c r="W369" s="83">
        <f>ROUNDUP(E369*0.015,2)</f>
        <v>0</v>
      </c>
      <c r="X369" s="82">
        <f>MAX(MIN(SUMIFS(Логистика!$C$2:$C$38,Логистика!$A$2:$A$38,"&lt;="&amp;K369,Логистика!$B$2:$B$38,"&gt;="&amp;K369)*E369,SUMIFS(Логистика!$E$2:$E$38,Логистика!$A$2:$A$38,"&lt;="&amp;K369,Логистика!$B$2:$B$38,"&gt;="&amp;K369)),SUMIFS(Логистика!$D$2:$D$38,Логистика!$A$2:$A$38,"&lt;="&amp;K369,Логистика!$B$2:$B$38,"&gt;="&amp;K369))</f>
        <v>0</v>
      </c>
      <c r="Y369" s="83">
        <f>IF(AND(E369*0.055&gt;20,E369*0.055&lt;250),ROUNDUP(E369*0.055,2),IF(E369*0.055&lt;=20,20,250))</f>
        <v>20</v>
      </c>
      <c r="Z369" s="83">
        <f>ROUND(M369*0.05,2)</f>
        <v>0</v>
      </c>
      <c r="AA369" s="83">
        <f>IF(N369=0,0,IF(ROUND(E369*N369,2)&gt;5,ROUND(E369*N369,2),5))</f>
        <v>0</v>
      </c>
      <c r="AB369" s="83">
        <f>IF(O369="Да",ROUND(E369*0.1111,2),0)</f>
        <v>0</v>
      </c>
      <c r="AC369" s="53">
        <f>V369+W369+T369+X369+Y369+Z369+AA369+AB369</f>
        <v>45</v>
      </c>
      <c r="AD369" s="8">
        <v>0</v>
      </c>
      <c r="AE369" s="36">
        <f>ROUND(E369*AD369,2)</f>
        <v>0</v>
      </c>
      <c r="AF369" s="6">
        <v>15</v>
      </c>
      <c r="AG369" s="6">
        <v>15</v>
      </c>
      <c r="AH369" s="5"/>
      <c r="AI369" s="57">
        <f>E369-AC369-AE369-AH369</f>
        <v>-45</v>
      </c>
      <c r="AJ369" s="17">
        <f>E369-AC369</f>
        <v>-45</v>
      </c>
      <c r="AK369" s="20" t="e">
        <f>ROUND(AI369/E369,2)</f>
        <v>#DIV/0!</v>
      </c>
      <c r="AL369" s="21" t="e">
        <f t="shared" si="59"/>
        <v>#DIV/0!</v>
      </c>
    </row>
    <row r="370" spans="1:38" x14ac:dyDescent="0.25">
      <c r="A370" s="28"/>
      <c r="B370" s="46"/>
      <c r="C370" s="31"/>
      <c r="D370" s="38">
        <v>0</v>
      </c>
      <c r="E370" s="50">
        <f t="shared" si="52"/>
        <v>0</v>
      </c>
      <c r="F370" s="24"/>
      <c r="G370" s="7">
        <v>0</v>
      </c>
      <c r="H370" s="7">
        <v>0</v>
      </c>
      <c r="I370" s="7">
        <v>0</v>
      </c>
      <c r="J370" s="78">
        <f t="shared" si="54"/>
        <v>0</v>
      </c>
      <c r="K370" s="2">
        <f t="shared" si="55"/>
        <v>0</v>
      </c>
      <c r="L370" s="8">
        <v>0</v>
      </c>
      <c r="M370" s="1">
        <f t="shared" si="60"/>
        <v>0</v>
      </c>
      <c r="N370" s="41">
        <v>0</v>
      </c>
      <c r="O370" s="84" t="s">
        <v>275</v>
      </c>
      <c r="P370" s="24" t="s">
        <v>562</v>
      </c>
      <c r="Q370" s="7" t="s">
        <v>557</v>
      </c>
      <c r="R370" s="7"/>
      <c r="S370" s="81"/>
      <c r="T370" s="7">
        <v>25</v>
      </c>
      <c r="U370" s="82"/>
      <c r="V370" s="83">
        <f>ROUNDUP(E370*S370,2)</f>
        <v>0</v>
      </c>
      <c r="W370" s="83">
        <f>ROUNDUP(E370*0.015,2)</f>
        <v>0</v>
      </c>
      <c r="X370" s="82">
        <f>MAX(MIN(SUMIFS(Логистика!$C$2:$C$38,Логистика!$A$2:$A$38,"&lt;="&amp;K370,Логистика!$B$2:$B$38,"&gt;="&amp;K370)*E370,SUMIFS(Логистика!$E$2:$E$38,Логистика!$A$2:$A$38,"&lt;="&amp;K370,Логистика!$B$2:$B$38,"&gt;="&amp;K370)),SUMIFS(Логистика!$D$2:$D$38,Логистика!$A$2:$A$38,"&lt;="&amp;K370,Логистика!$B$2:$B$38,"&gt;="&amp;K370))</f>
        <v>0</v>
      </c>
      <c r="Y370" s="83">
        <f>IF(AND(E370*0.055&gt;20,E370*0.055&lt;250),ROUNDUP(E370*0.055,2),IF(E370*0.055&lt;=20,20,250))</f>
        <v>20</v>
      </c>
      <c r="Z370" s="83">
        <f>ROUND(M370*0.05,2)</f>
        <v>0</v>
      </c>
      <c r="AA370" s="83">
        <f>IF(N370=0,0,IF(ROUND(E370*N370,2)&gt;5,ROUND(E370*N370,2),5))</f>
        <v>0</v>
      </c>
      <c r="AB370" s="83">
        <f>IF(O370="Да",ROUND(E370*0.1111,2),0)</f>
        <v>0</v>
      </c>
      <c r="AC370" s="53">
        <f>V370+W370+T370+X370+Y370+Z370+AA370+AB370</f>
        <v>45</v>
      </c>
      <c r="AD370" s="8">
        <v>0</v>
      </c>
      <c r="AE370" s="36">
        <f>ROUND(E370*AD370,2)</f>
        <v>0</v>
      </c>
      <c r="AF370" s="6">
        <v>15</v>
      </c>
      <c r="AG370" s="6">
        <v>15</v>
      </c>
      <c r="AH370" s="5"/>
      <c r="AI370" s="57">
        <f>E370-AC370-AE370-AH370</f>
        <v>-45</v>
      </c>
      <c r="AJ370" s="17">
        <f>E370-AC370</f>
        <v>-45</v>
      </c>
      <c r="AK370" s="20" t="e">
        <f>ROUND(AI370/E370,2)</f>
        <v>#DIV/0!</v>
      </c>
      <c r="AL370" s="21" t="e">
        <f t="shared" si="59"/>
        <v>#DIV/0!</v>
      </c>
    </row>
    <row r="371" spans="1:38" x14ac:dyDescent="0.25">
      <c r="A371" s="28"/>
      <c r="B371" s="46"/>
      <c r="C371" s="31"/>
      <c r="D371" s="38">
        <v>0</v>
      </c>
      <c r="E371" s="50">
        <f t="shared" si="52"/>
        <v>0</v>
      </c>
      <c r="F371" s="24"/>
      <c r="G371" s="7">
        <v>0</v>
      </c>
      <c r="H371" s="7">
        <v>0</v>
      </c>
      <c r="I371" s="7">
        <v>0</v>
      </c>
      <c r="J371" s="78">
        <f t="shared" si="54"/>
        <v>0</v>
      </c>
      <c r="K371" s="2">
        <f t="shared" si="55"/>
        <v>0</v>
      </c>
      <c r="L371" s="8">
        <v>0</v>
      </c>
      <c r="M371" s="1">
        <f t="shared" si="60"/>
        <v>0</v>
      </c>
      <c r="N371" s="41">
        <v>0</v>
      </c>
      <c r="O371" s="84" t="s">
        <v>275</v>
      </c>
      <c r="P371" s="24" t="s">
        <v>562</v>
      </c>
      <c r="Q371" s="7" t="s">
        <v>557</v>
      </c>
      <c r="R371" s="7"/>
      <c r="S371" s="81"/>
      <c r="T371" s="7">
        <v>25</v>
      </c>
      <c r="U371" s="82"/>
      <c r="V371" s="83">
        <f>ROUNDUP(E371*S371,2)</f>
        <v>0</v>
      </c>
      <c r="W371" s="83">
        <f>ROUNDUP(E371*0.015,2)</f>
        <v>0</v>
      </c>
      <c r="X371" s="82">
        <f>MAX(MIN(SUMIFS(Логистика!$C$2:$C$38,Логистика!$A$2:$A$38,"&lt;="&amp;K371,Логистика!$B$2:$B$38,"&gt;="&amp;K371)*E371,SUMIFS(Логистика!$E$2:$E$38,Логистика!$A$2:$A$38,"&lt;="&amp;K371,Логистика!$B$2:$B$38,"&gt;="&amp;K371)),SUMIFS(Логистика!$D$2:$D$38,Логистика!$A$2:$A$38,"&lt;="&amp;K371,Логистика!$B$2:$B$38,"&gt;="&amp;K371))</f>
        <v>0</v>
      </c>
      <c r="Y371" s="83">
        <f>IF(AND(E371*0.055&gt;20,E371*0.055&lt;250),ROUNDUP(E371*0.055,2),IF(E371*0.055&lt;=20,20,250))</f>
        <v>20</v>
      </c>
      <c r="Z371" s="83">
        <f>ROUND(M371*0.05,2)</f>
        <v>0</v>
      </c>
      <c r="AA371" s="83">
        <f>IF(N371=0,0,IF(ROUND(E371*N371,2)&gt;5,ROUND(E371*N371,2),5))</f>
        <v>0</v>
      </c>
      <c r="AB371" s="83">
        <f>IF(O371="Да",ROUND(E371*0.1111,2),0)</f>
        <v>0</v>
      </c>
      <c r="AC371" s="53">
        <f>V371+W371+T371+X371+Y371+Z371+AA371+AB371</f>
        <v>45</v>
      </c>
      <c r="AD371" s="8">
        <v>0</v>
      </c>
      <c r="AE371" s="36">
        <f>ROUND(E371*AD371,2)</f>
        <v>0</v>
      </c>
      <c r="AF371" s="6">
        <v>15</v>
      </c>
      <c r="AG371" s="6">
        <v>15</v>
      </c>
      <c r="AH371" s="5"/>
      <c r="AI371" s="57">
        <f>E371-AC371-AE371-AH371</f>
        <v>-45</v>
      </c>
      <c r="AJ371" s="17">
        <f>E371-AC371</f>
        <v>-45</v>
      </c>
      <c r="AK371" s="20" t="e">
        <f>ROUND(AI371/E371,2)</f>
        <v>#DIV/0!</v>
      </c>
      <c r="AL371" s="21" t="e">
        <f t="shared" si="59"/>
        <v>#DIV/0!</v>
      </c>
    </row>
    <row r="372" spans="1:38" x14ac:dyDescent="0.25">
      <c r="A372" s="28"/>
      <c r="B372" s="46"/>
      <c r="C372" s="31"/>
      <c r="D372" s="38">
        <v>0</v>
      </c>
      <c r="E372" s="50">
        <f t="shared" si="52"/>
        <v>0</v>
      </c>
      <c r="F372" s="24"/>
      <c r="G372" s="7">
        <v>0</v>
      </c>
      <c r="H372" s="7">
        <v>0</v>
      </c>
      <c r="I372" s="7">
        <v>0</v>
      </c>
      <c r="J372" s="78">
        <f t="shared" si="54"/>
        <v>0</v>
      </c>
      <c r="K372" s="2">
        <f t="shared" si="55"/>
        <v>0</v>
      </c>
      <c r="L372" s="8">
        <v>0</v>
      </c>
      <c r="M372" s="1">
        <f t="shared" si="60"/>
        <v>0</v>
      </c>
      <c r="N372" s="41">
        <v>0</v>
      </c>
      <c r="O372" s="84" t="s">
        <v>275</v>
      </c>
      <c r="P372" s="24" t="s">
        <v>562</v>
      </c>
      <c r="Q372" s="7" t="s">
        <v>557</v>
      </c>
      <c r="R372" s="7"/>
      <c r="S372" s="81"/>
      <c r="T372" s="7">
        <v>25</v>
      </c>
      <c r="U372" s="82"/>
      <c r="V372" s="83">
        <f>ROUNDUP(E372*S372,2)</f>
        <v>0</v>
      </c>
      <c r="W372" s="83">
        <f>ROUNDUP(E372*0.015,2)</f>
        <v>0</v>
      </c>
      <c r="X372" s="82">
        <f>MAX(MIN(SUMIFS(Логистика!$C$2:$C$38,Логистика!$A$2:$A$38,"&lt;="&amp;K372,Логистика!$B$2:$B$38,"&gt;="&amp;K372)*E372,SUMIFS(Логистика!$E$2:$E$38,Логистика!$A$2:$A$38,"&lt;="&amp;K372,Логистика!$B$2:$B$38,"&gt;="&amp;K372)),SUMIFS(Логистика!$D$2:$D$38,Логистика!$A$2:$A$38,"&lt;="&amp;K372,Логистика!$B$2:$B$38,"&gt;="&amp;K372))</f>
        <v>0</v>
      </c>
      <c r="Y372" s="83">
        <f>IF(AND(E372*0.055&gt;20,E372*0.055&lt;250),ROUNDUP(E372*0.055,2),IF(E372*0.055&lt;=20,20,250))</f>
        <v>20</v>
      </c>
      <c r="Z372" s="83">
        <f>ROUND(M372*0.05,2)</f>
        <v>0</v>
      </c>
      <c r="AA372" s="83">
        <f>IF(N372=0,0,IF(ROUND(E372*N372,2)&gt;5,ROUND(E372*N372,2),5))</f>
        <v>0</v>
      </c>
      <c r="AB372" s="83">
        <f>IF(O372="Да",ROUND(E372*0.1111,2),0)</f>
        <v>0</v>
      </c>
      <c r="AC372" s="53">
        <f>V372+W372+T372+X372+Y372+Z372+AA372+AB372</f>
        <v>45</v>
      </c>
      <c r="AD372" s="8">
        <v>0</v>
      </c>
      <c r="AE372" s="36">
        <f>ROUND(E372*AD372,2)</f>
        <v>0</v>
      </c>
      <c r="AF372" s="6">
        <v>15</v>
      </c>
      <c r="AG372" s="6">
        <v>15</v>
      </c>
      <c r="AH372" s="5"/>
      <c r="AI372" s="57">
        <f>E372-AC372-AE372-AH372</f>
        <v>-45</v>
      </c>
      <c r="AJ372" s="17">
        <f>E372-AC372</f>
        <v>-45</v>
      </c>
      <c r="AK372" s="20" t="e">
        <f>ROUND(AI372/E372,2)</f>
        <v>#DIV/0!</v>
      </c>
      <c r="AL372" s="21" t="e">
        <f t="shared" si="59"/>
        <v>#DIV/0!</v>
      </c>
    </row>
    <row r="373" spans="1:38" x14ac:dyDescent="0.25">
      <c r="A373" s="28"/>
      <c r="B373" s="46"/>
      <c r="C373" s="31"/>
      <c r="D373" s="38">
        <v>0</v>
      </c>
      <c r="E373" s="50">
        <f t="shared" ref="E373:E429" si="61">ROUND(C373*(1-D373),0)</f>
        <v>0</v>
      </c>
      <c r="F373" s="24"/>
      <c r="G373" s="7">
        <v>0</v>
      </c>
      <c r="H373" s="7">
        <v>0</v>
      </c>
      <c r="I373" s="7">
        <v>0</v>
      </c>
      <c r="J373" s="78">
        <f t="shared" si="54"/>
        <v>0</v>
      </c>
      <c r="K373" s="2">
        <f t="shared" si="55"/>
        <v>0</v>
      </c>
      <c r="L373" s="8">
        <v>0</v>
      </c>
      <c r="M373" s="1">
        <f t="shared" si="60"/>
        <v>0</v>
      </c>
      <c r="N373" s="41">
        <v>0</v>
      </c>
      <c r="O373" s="84" t="s">
        <v>275</v>
      </c>
      <c r="P373" s="24" t="s">
        <v>562</v>
      </c>
      <c r="Q373" s="7" t="s">
        <v>557</v>
      </c>
      <c r="R373" s="7"/>
      <c r="S373" s="81"/>
      <c r="T373" s="7">
        <v>25</v>
      </c>
      <c r="U373" s="82"/>
      <c r="V373" s="83">
        <f>ROUNDUP(E373*S373,2)</f>
        <v>0</v>
      </c>
      <c r="W373" s="83">
        <f>ROUNDUP(E373*0.015,2)</f>
        <v>0</v>
      </c>
      <c r="X373" s="82">
        <f>MAX(MIN(SUMIFS(Логистика!$C$2:$C$38,Логистика!$A$2:$A$38,"&lt;="&amp;K373,Логистика!$B$2:$B$38,"&gt;="&amp;K373)*E373,SUMIFS(Логистика!$E$2:$E$38,Логистика!$A$2:$A$38,"&lt;="&amp;K373,Логистика!$B$2:$B$38,"&gt;="&amp;K373)),SUMIFS(Логистика!$D$2:$D$38,Логистика!$A$2:$A$38,"&lt;="&amp;K373,Логистика!$B$2:$B$38,"&gt;="&amp;K373))</f>
        <v>0</v>
      </c>
      <c r="Y373" s="83">
        <f>IF(AND(E373*0.055&gt;20,E373*0.055&lt;250),ROUNDUP(E373*0.055,2),IF(E373*0.055&lt;=20,20,250))</f>
        <v>20</v>
      </c>
      <c r="Z373" s="83">
        <f>ROUND(M373*0.05,2)</f>
        <v>0</v>
      </c>
      <c r="AA373" s="83">
        <f>IF(N373=0,0,IF(ROUND(E373*N373,2)&gt;5,ROUND(E373*N373,2),5))</f>
        <v>0</v>
      </c>
      <c r="AB373" s="83">
        <f>IF(O373="Да",ROUND(E373*0.1111,2),0)</f>
        <v>0</v>
      </c>
      <c r="AC373" s="53">
        <f>V373+W373+T373+X373+Y373+Z373+AA373+AB373</f>
        <v>45</v>
      </c>
      <c r="AD373" s="8">
        <v>0</v>
      </c>
      <c r="AE373" s="36">
        <f>ROUND(E373*AD373,2)</f>
        <v>0</v>
      </c>
      <c r="AF373" s="6">
        <v>15</v>
      </c>
      <c r="AG373" s="6">
        <v>15</v>
      </c>
      <c r="AH373" s="5"/>
      <c r="AI373" s="57">
        <f>E373-AC373-AE373-AH373</f>
        <v>-45</v>
      </c>
      <c r="AJ373" s="17">
        <f>E373-AC373</f>
        <v>-45</v>
      </c>
      <c r="AK373" s="20" t="e">
        <f>ROUND(AI373/E373,2)</f>
        <v>#DIV/0!</v>
      </c>
      <c r="AL373" s="21" t="e">
        <f t="shared" si="59"/>
        <v>#DIV/0!</v>
      </c>
    </row>
    <row r="374" spans="1:38" x14ac:dyDescent="0.25">
      <c r="A374" s="28"/>
      <c r="B374" s="46"/>
      <c r="C374" s="31"/>
      <c r="D374" s="38">
        <v>0</v>
      </c>
      <c r="E374" s="50">
        <f t="shared" si="61"/>
        <v>0</v>
      </c>
      <c r="F374" s="24"/>
      <c r="G374" s="7">
        <v>0</v>
      </c>
      <c r="H374" s="7">
        <v>0</v>
      </c>
      <c r="I374" s="7">
        <v>0</v>
      </c>
      <c r="J374" s="78">
        <f t="shared" si="54"/>
        <v>0</v>
      </c>
      <c r="K374" s="2">
        <f t="shared" si="55"/>
        <v>0</v>
      </c>
      <c r="L374" s="8">
        <v>0</v>
      </c>
      <c r="M374" s="1">
        <f t="shared" si="60"/>
        <v>0</v>
      </c>
      <c r="N374" s="41">
        <v>0</v>
      </c>
      <c r="O374" s="84" t="s">
        <v>275</v>
      </c>
      <c r="P374" s="24" t="s">
        <v>562</v>
      </c>
      <c r="Q374" s="7" t="s">
        <v>557</v>
      </c>
      <c r="R374" s="7"/>
      <c r="S374" s="81"/>
      <c r="T374" s="7">
        <v>25</v>
      </c>
      <c r="U374" s="82"/>
      <c r="V374" s="83">
        <f>ROUNDUP(E374*S374,2)</f>
        <v>0</v>
      </c>
      <c r="W374" s="83">
        <f>ROUNDUP(E374*0.015,2)</f>
        <v>0</v>
      </c>
      <c r="X374" s="82">
        <f>MAX(MIN(SUMIFS(Логистика!$C$2:$C$38,Логистика!$A$2:$A$38,"&lt;="&amp;K374,Логистика!$B$2:$B$38,"&gt;="&amp;K374)*E374,SUMIFS(Логистика!$E$2:$E$38,Логистика!$A$2:$A$38,"&lt;="&amp;K374,Логистика!$B$2:$B$38,"&gt;="&amp;K374)),SUMIFS(Логистика!$D$2:$D$38,Логистика!$A$2:$A$38,"&lt;="&amp;K374,Логистика!$B$2:$B$38,"&gt;="&amp;K374))</f>
        <v>0</v>
      </c>
      <c r="Y374" s="83">
        <f>IF(AND(E374*0.055&gt;20,E374*0.055&lt;250),ROUNDUP(E374*0.055,2),IF(E374*0.055&lt;=20,20,250))</f>
        <v>20</v>
      </c>
      <c r="Z374" s="83">
        <f>ROUND(M374*0.05,2)</f>
        <v>0</v>
      </c>
      <c r="AA374" s="83">
        <f>IF(N374=0,0,IF(ROUND(E374*N374,2)&gt;5,ROUND(E374*N374,2),5))</f>
        <v>0</v>
      </c>
      <c r="AB374" s="83">
        <f>IF(O374="Да",ROUND(E374*0.1111,2),0)</f>
        <v>0</v>
      </c>
      <c r="AC374" s="53">
        <f>V374+W374+T374+X374+Y374+Z374+AA374+AB374</f>
        <v>45</v>
      </c>
      <c r="AD374" s="8">
        <v>0</v>
      </c>
      <c r="AE374" s="36">
        <f>ROUND(E374*AD374,2)</f>
        <v>0</v>
      </c>
      <c r="AF374" s="6">
        <v>15</v>
      </c>
      <c r="AG374" s="6">
        <v>15</v>
      </c>
      <c r="AH374" s="5"/>
      <c r="AI374" s="57">
        <f>E374-AC374-AE374-AH374</f>
        <v>-45</v>
      </c>
      <c r="AJ374" s="17">
        <f>E374-AC374</f>
        <v>-45</v>
      </c>
      <c r="AK374" s="20" t="e">
        <f>ROUND(AI374/E374,2)</f>
        <v>#DIV/0!</v>
      </c>
      <c r="AL374" s="21" t="e">
        <f t="shared" si="59"/>
        <v>#DIV/0!</v>
      </c>
    </row>
    <row r="375" spans="1:38" x14ac:dyDescent="0.25">
      <c r="A375" s="28"/>
      <c r="B375" s="46" t="s">
        <v>245</v>
      </c>
      <c r="C375" s="31">
        <v>860</v>
      </c>
      <c r="D375" s="38">
        <v>0</v>
      </c>
      <c r="E375" s="50">
        <f t="shared" si="61"/>
        <v>860</v>
      </c>
      <c r="F375" s="24">
        <v>1</v>
      </c>
      <c r="G375" s="7">
        <v>35</v>
      </c>
      <c r="H375" s="7">
        <v>5</v>
      </c>
      <c r="I375" s="7">
        <v>5</v>
      </c>
      <c r="J375" s="78">
        <f t="shared" si="54"/>
        <v>0.875</v>
      </c>
      <c r="K375" s="2">
        <f t="shared" si="55"/>
        <v>1</v>
      </c>
      <c r="L375" s="8">
        <v>0</v>
      </c>
      <c r="M375" s="1">
        <f t="shared" si="60"/>
        <v>0</v>
      </c>
      <c r="N375" s="41">
        <v>0</v>
      </c>
      <c r="O375" s="84" t="s">
        <v>275</v>
      </c>
      <c r="P375" s="24" t="s">
        <v>562</v>
      </c>
      <c r="Q375" s="7" t="s">
        <v>557</v>
      </c>
      <c r="R375" s="7"/>
      <c r="S375" s="81">
        <v>0.09</v>
      </c>
      <c r="T375" s="7">
        <v>25</v>
      </c>
      <c r="U375" s="82"/>
      <c r="V375" s="83">
        <f>ROUNDUP(E375*S375,2)</f>
        <v>77.400000000000006</v>
      </c>
      <c r="W375" s="83">
        <f>ROUNDUP(E375*0.015,2)</f>
        <v>12.9</v>
      </c>
      <c r="X375" s="82">
        <f>MAX(MIN(SUMIFS(Логистика!$C$2:$C$38,Логистика!$A$2:$A$38,"&lt;="&amp;K375,Логистика!$B$2:$B$38,"&gt;="&amp;K375)*E375,SUMIFS(Логистика!$E$2:$E$38,Логистика!$A$2:$A$38,"&lt;="&amp;K375,Логистика!$B$2:$B$38,"&gt;="&amp;K375)),SUMIFS(Логистика!$D$2:$D$38,Логистика!$A$2:$A$38,"&lt;="&amp;K375,Логистика!$B$2:$B$38,"&gt;="&amp;K375))</f>
        <v>51.6</v>
      </c>
      <c r="Y375" s="83">
        <f>IF(AND(E375*0.055&gt;20,E375*0.055&lt;250),ROUNDUP(E375*0.055,2),IF(E375*0.055&lt;=20,20,250))</f>
        <v>47.3</v>
      </c>
      <c r="Z375" s="83">
        <f>ROUND(M375*0.05,2)</f>
        <v>0</v>
      </c>
      <c r="AA375" s="83">
        <f>IF(N375=0,0,IF(ROUND(E375*N375,2)&gt;5,ROUND(E375*N375,2),5))</f>
        <v>0</v>
      </c>
      <c r="AB375" s="83">
        <f>IF(O375="Да",ROUND(E375*0.1111,2),0)</f>
        <v>0</v>
      </c>
      <c r="AC375" s="53">
        <f>V375+W375+T375+X375+Y375+Z375+AA375+AB375</f>
        <v>214.2</v>
      </c>
      <c r="AD375" s="8">
        <v>0</v>
      </c>
      <c r="AE375" s="36">
        <f>ROUND(E375*AD375,2)</f>
        <v>0</v>
      </c>
      <c r="AF375" s="6">
        <v>15</v>
      </c>
      <c r="AG375" s="6">
        <v>15</v>
      </c>
      <c r="AH375" s="5">
        <v>419</v>
      </c>
      <c r="AI375" s="57">
        <f>E375-AC375-AE375-AH375</f>
        <v>226.79999999999995</v>
      </c>
      <c r="AJ375" s="17">
        <f>E375-AC375</f>
        <v>645.79999999999995</v>
      </c>
      <c r="AK375" s="20">
        <f>ROUND(AI375/E375,2)</f>
        <v>0.26</v>
      </c>
      <c r="AL375" s="21">
        <f t="shared" si="58"/>
        <v>0.54</v>
      </c>
    </row>
    <row r="376" spans="1:38" x14ac:dyDescent="0.25">
      <c r="A376" s="28"/>
      <c r="B376" s="46"/>
      <c r="C376" s="31"/>
      <c r="D376" s="38">
        <v>0</v>
      </c>
      <c r="E376" s="50">
        <f t="shared" si="61"/>
        <v>0</v>
      </c>
      <c r="F376" s="24"/>
      <c r="G376" s="7">
        <v>0</v>
      </c>
      <c r="H376" s="7">
        <v>0</v>
      </c>
      <c r="I376" s="7">
        <v>0</v>
      </c>
      <c r="J376" s="78">
        <f t="shared" si="54"/>
        <v>0</v>
      </c>
      <c r="K376" s="2">
        <f t="shared" si="55"/>
        <v>0</v>
      </c>
      <c r="L376" s="8">
        <v>0</v>
      </c>
      <c r="M376" s="1">
        <f t="shared" si="60"/>
        <v>0</v>
      </c>
      <c r="N376" s="41">
        <v>0</v>
      </c>
      <c r="O376" s="84" t="s">
        <v>275</v>
      </c>
      <c r="P376" s="24" t="s">
        <v>562</v>
      </c>
      <c r="Q376" s="7" t="s">
        <v>557</v>
      </c>
      <c r="R376" s="7"/>
      <c r="S376" s="81"/>
      <c r="T376" s="7"/>
      <c r="U376" s="82"/>
      <c r="V376" s="83"/>
      <c r="W376" s="83"/>
      <c r="X376" s="82"/>
      <c r="Y376" s="83"/>
      <c r="Z376" s="83">
        <f>ROUND(M376*0.05,2)</f>
        <v>0</v>
      </c>
      <c r="AA376" s="83">
        <f>IF(N376=0,0,IF(ROUND(E376*N376,2)&gt;5,ROUND(E376*N376,2),5))</f>
        <v>0</v>
      </c>
      <c r="AB376" s="83">
        <f>IF(O376="Да",ROUND(E376*0.1111,2),0)</f>
        <v>0</v>
      </c>
      <c r="AC376" s="53">
        <f>V376+W376+T376+X376+Y376+Z376+AA376+AB376</f>
        <v>0</v>
      </c>
      <c r="AD376" s="8">
        <v>0</v>
      </c>
      <c r="AE376" s="36">
        <f>ROUND(E376*AD376,2)</f>
        <v>0</v>
      </c>
      <c r="AF376" s="6">
        <v>15</v>
      </c>
      <c r="AG376" s="6">
        <v>15</v>
      </c>
      <c r="AH376" s="5"/>
      <c r="AI376" s="57">
        <f>E376-AC376-AE376-AH376</f>
        <v>0</v>
      </c>
      <c r="AJ376" s="17"/>
      <c r="AK376" s="20"/>
      <c r="AL376" s="21"/>
    </row>
    <row r="377" spans="1:38" x14ac:dyDescent="0.25">
      <c r="A377" s="28" t="s">
        <v>240</v>
      </c>
      <c r="B377" s="46" t="s">
        <v>57</v>
      </c>
      <c r="C377" s="31">
        <v>950</v>
      </c>
      <c r="D377" s="38">
        <v>0</v>
      </c>
      <c r="E377" s="50">
        <f t="shared" si="61"/>
        <v>950</v>
      </c>
      <c r="F377" s="24">
        <v>0.35</v>
      </c>
      <c r="G377" s="7">
        <v>18</v>
      </c>
      <c r="H377" s="7">
        <v>10</v>
      </c>
      <c r="I377" s="7">
        <v>10</v>
      </c>
      <c r="J377" s="78">
        <f t="shared" si="54"/>
        <v>1.8</v>
      </c>
      <c r="K377" s="2">
        <f t="shared" si="55"/>
        <v>0.4</v>
      </c>
      <c r="L377" s="8">
        <v>0</v>
      </c>
      <c r="M377" s="1">
        <f t="shared" si="60"/>
        <v>0</v>
      </c>
      <c r="N377" s="41">
        <v>0</v>
      </c>
      <c r="O377" s="84" t="s">
        <v>275</v>
      </c>
      <c r="P377" s="24" t="s">
        <v>562</v>
      </c>
      <c r="Q377" s="7" t="s">
        <v>557</v>
      </c>
      <c r="R377" s="7"/>
      <c r="S377" s="81">
        <v>0.09</v>
      </c>
      <c r="T377" s="7">
        <v>25</v>
      </c>
      <c r="U377" s="82"/>
      <c r="V377" s="83">
        <f>ROUNDUP(E377*S377,2)</f>
        <v>85.5</v>
      </c>
      <c r="W377" s="83">
        <f>ROUNDUP(E377*0.015,2)</f>
        <v>14.25</v>
      </c>
      <c r="X377" s="82">
        <f>MAX(MIN(SUMIFS(Логистика!$C$2:$C$38,Логистика!$A$2:$A$38,"&lt;="&amp;K377,Логистика!$B$2:$B$38,"&gt;="&amp;K377)*E377,SUMIFS(Логистика!$E$2:$E$38,Логистика!$A$2:$A$38,"&lt;="&amp;K377,Логистика!$B$2:$B$38,"&gt;="&amp;K377)),SUMIFS(Логистика!$D$2:$D$38,Логистика!$A$2:$A$38,"&lt;="&amp;K377,Логистика!$B$2:$B$38,"&gt;="&amp;K377))</f>
        <v>47.5</v>
      </c>
      <c r="Y377" s="83">
        <f>IF(AND(E377*0.055&gt;20,E377*0.055&lt;250),ROUNDUP(E377*0.055,2),IF(E377*0.055&lt;=20,20,250))</f>
        <v>52.25</v>
      </c>
      <c r="Z377" s="83">
        <f>ROUND(M377*0.05,2)</f>
        <v>0</v>
      </c>
      <c r="AA377" s="83">
        <f>IF(N377=0,0,IF(ROUND(E377*N377,2)&gt;5,ROUND(E377*N377,2),5))</f>
        <v>0</v>
      </c>
      <c r="AB377" s="83">
        <f>IF(O377="Да",ROUND(E377*0.1111,2),0)</f>
        <v>0</v>
      </c>
      <c r="AC377" s="53">
        <f>V377+W377+T377+X377+Y377+Z377+AA377+AB377</f>
        <v>224.5</v>
      </c>
      <c r="AD377" s="8">
        <v>0</v>
      </c>
      <c r="AE377" s="36">
        <f>ROUND(E377*AD377,2)</f>
        <v>0</v>
      </c>
      <c r="AF377" s="6">
        <v>15</v>
      </c>
      <c r="AG377" s="6">
        <v>15</v>
      </c>
      <c r="AH377" s="5">
        <v>474</v>
      </c>
      <c r="AI377" s="57">
        <f>E377-AC377-AE377-AH377</f>
        <v>251.5</v>
      </c>
      <c r="AJ377" s="17">
        <f>E377-AC377</f>
        <v>725.5</v>
      </c>
      <c r="AK377" s="20">
        <f>ROUND(AI377/E377,2)</f>
        <v>0.26</v>
      </c>
      <c r="AL377" s="21">
        <f t="shared" si="58"/>
        <v>0.53</v>
      </c>
    </row>
    <row r="378" spans="1:38" x14ac:dyDescent="0.25">
      <c r="A378" s="28" t="s">
        <v>241</v>
      </c>
      <c r="B378" s="46" t="s">
        <v>57</v>
      </c>
      <c r="C378" s="31">
        <v>1850</v>
      </c>
      <c r="D378" s="38">
        <v>0</v>
      </c>
      <c r="E378" s="50">
        <f t="shared" si="61"/>
        <v>1850</v>
      </c>
      <c r="F378" s="24">
        <v>0.7</v>
      </c>
      <c r="G378" s="7">
        <v>18</v>
      </c>
      <c r="H378" s="7">
        <v>10</v>
      </c>
      <c r="I378" s="7">
        <v>18</v>
      </c>
      <c r="J378" s="78">
        <f t="shared" si="54"/>
        <v>3.24</v>
      </c>
      <c r="K378" s="2">
        <f t="shared" si="55"/>
        <v>0.7</v>
      </c>
      <c r="L378" s="8">
        <v>0</v>
      </c>
      <c r="M378" s="1">
        <f t="shared" si="60"/>
        <v>0</v>
      </c>
      <c r="N378" s="41">
        <v>0</v>
      </c>
      <c r="O378" s="84" t="s">
        <v>275</v>
      </c>
      <c r="P378" s="24" t="s">
        <v>562</v>
      </c>
      <c r="Q378" s="7" t="s">
        <v>557</v>
      </c>
      <c r="R378" s="7"/>
      <c r="S378" s="81">
        <v>0.09</v>
      </c>
      <c r="T378" s="7">
        <v>25</v>
      </c>
      <c r="U378" s="82"/>
      <c r="V378" s="83">
        <f>ROUNDUP(E378*S378,2)</f>
        <v>166.5</v>
      </c>
      <c r="W378" s="83">
        <f>ROUNDUP(E378*0.015,2)</f>
        <v>27.75</v>
      </c>
      <c r="X378" s="82">
        <f>MAX(MIN(SUMIFS(Логистика!$C$2:$C$38,Логистика!$A$2:$A$38,"&lt;="&amp;K378,Логистика!$B$2:$B$38,"&gt;="&amp;K378)*E378,SUMIFS(Логистика!$E$2:$E$38,Логистика!$A$2:$A$38,"&lt;="&amp;K378,Логистика!$B$2:$B$38,"&gt;="&amp;K378)),SUMIFS(Логистика!$D$2:$D$38,Логистика!$A$2:$A$38,"&lt;="&amp;K378,Логистика!$B$2:$B$38,"&gt;="&amp;K378))</f>
        <v>92.5</v>
      </c>
      <c r="Y378" s="83">
        <f>IF(AND(E378*0.055&gt;20,E378*0.055&lt;250),ROUNDUP(E378*0.055,2),IF(E378*0.055&lt;=20,20,250))</f>
        <v>101.75</v>
      </c>
      <c r="Z378" s="83">
        <f>ROUND(M378*0.05,2)</f>
        <v>0</v>
      </c>
      <c r="AA378" s="83">
        <f>IF(N378=0,0,IF(ROUND(E378*N378,2)&gt;5,ROUND(E378*N378,2),5))</f>
        <v>0</v>
      </c>
      <c r="AB378" s="83">
        <f>IF(O378="Да",ROUND(E378*0.1111,2),0)</f>
        <v>0</v>
      </c>
      <c r="AC378" s="53">
        <f>V378+W378+T378+X378+Y378+Z378+AA378+AB378</f>
        <v>413.5</v>
      </c>
      <c r="AD378" s="8">
        <v>0</v>
      </c>
      <c r="AE378" s="36">
        <f>ROUND(E378*AD378,2)</f>
        <v>0</v>
      </c>
      <c r="AF378" s="6">
        <v>15</v>
      </c>
      <c r="AG378" s="6">
        <v>15</v>
      </c>
      <c r="AH378" s="59">
        <f>AH377*2</f>
        <v>948</v>
      </c>
      <c r="AI378" s="57">
        <f>E378-AC378-AE378-AH378</f>
        <v>488.5</v>
      </c>
      <c r="AJ378" s="17">
        <f>E378-AC378</f>
        <v>1436.5</v>
      </c>
      <c r="AK378" s="20">
        <f>ROUND(AI378/E378,2)</f>
        <v>0.26</v>
      </c>
      <c r="AL378" s="21">
        <f t="shared" si="58"/>
        <v>0.52</v>
      </c>
    </row>
    <row r="379" spans="1:38" x14ac:dyDescent="0.25">
      <c r="A379" s="28" t="s">
        <v>242</v>
      </c>
      <c r="B379" s="46" t="s">
        <v>57</v>
      </c>
      <c r="C379" s="31">
        <v>2750</v>
      </c>
      <c r="D379" s="38">
        <v>0</v>
      </c>
      <c r="E379" s="50">
        <f t="shared" si="61"/>
        <v>2750</v>
      </c>
      <c r="F379" s="24">
        <v>0.105</v>
      </c>
      <c r="G379" s="7">
        <v>18</v>
      </c>
      <c r="H379" s="7">
        <v>10</v>
      </c>
      <c r="I379" s="7">
        <v>26</v>
      </c>
      <c r="J379" s="78">
        <f t="shared" si="54"/>
        <v>4.68</v>
      </c>
      <c r="K379" s="2">
        <f t="shared" si="55"/>
        <v>0.9</v>
      </c>
      <c r="L379" s="8">
        <v>0</v>
      </c>
      <c r="M379" s="1">
        <f t="shared" si="60"/>
        <v>0</v>
      </c>
      <c r="N379" s="41">
        <v>0</v>
      </c>
      <c r="O379" s="84" t="s">
        <v>275</v>
      </c>
      <c r="P379" s="24" t="s">
        <v>562</v>
      </c>
      <c r="Q379" s="7" t="s">
        <v>557</v>
      </c>
      <c r="R379" s="7"/>
      <c r="S379" s="81">
        <v>0.09</v>
      </c>
      <c r="T379" s="7">
        <v>25</v>
      </c>
      <c r="U379" s="82"/>
      <c r="V379" s="83">
        <f>ROUNDUP(E379*S379,2)</f>
        <v>247.5</v>
      </c>
      <c r="W379" s="83">
        <f>ROUNDUP(E379*0.015,2)</f>
        <v>41.25</v>
      </c>
      <c r="X379" s="82">
        <f>MAX(MIN(SUMIFS(Логистика!$C$2:$C$38,Логистика!$A$2:$A$38,"&lt;="&amp;K379,Логистика!$B$2:$B$38,"&gt;="&amp;K379)*E379,SUMIFS(Логистика!$E$2:$E$38,Логистика!$A$2:$A$38,"&lt;="&amp;K379,Логистика!$B$2:$B$38,"&gt;="&amp;K379)),SUMIFS(Логистика!$D$2:$D$38,Логистика!$A$2:$A$38,"&lt;="&amp;K379,Логистика!$B$2:$B$38,"&gt;="&amp;K379))</f>
        <v>137.5</v>
      </c>
      <c r="Y379" s="83">
        <f>IF(AND(E379*0.055&gt;20,E379*0.055&lt;250),ROUNDUP(E379*0.055,2),IF(E379*0.055&lt;=20,20,250))</f>
        <v>151.25</v>
      </c>
      <c r="Z379" s="83">
        <f>ROUND(M379*0.05,2)</f>
        <v>0</v>
      </c>
      <c r="AA379" s="83">
        <f>IF(N379=0,0,IF(ROUND(E379*N379,2)&gt;5,ROUND(E379*N379,2),5))</f>
        <v>0</v>
      </c>
      <c r="AB379" s="83">
        <f>IF(O379="Да",ROUND(E379*0.1111,2),0)</f>
        <v>0</v>
      </c>
      <c r="AC379" s="53">
        <f>V379+W379+T379+X379+Y379+Z379+AA379+AB379</f>
        <v>602.5</v>
      </c>
      <c r="AD379" s="8">
        <v>0</v>
      </c>
      <c r="AE379" s="36">
        <f>ROUND(E379*AD379,2)</f>
        <v>0</v>
      </c>
      <c r="AF379" s="6">
        <v>15</v>
      </c>
      <c r="AG379" s="6">
        <v>15</v>
      </c>
      <c r="AH379" s="59">
        <f>AH377*3</f>
        <v>1422</v>
      </c>
      <c r="AI379" s="57">
        <f>E379-AC379-AE379-AH379</f>
        <v>725.5</v>
      </c>
      <c r="AJ379" s="17">
        <f>E379-AC379</f>
        <v>2147.5</v>
      </c>
      <c r="AK379" s="20">
        <f>ROUND(AI379/E379,2)</f>
        <v>0.26</v>
      </c>
      <c r="AL379" s="21">
        <f t="shared" si="58"/>
        <v>0.51</v>
      </c>
    </row>
    <row r="380" spans="1:38" x14ac:dyDescent="0.25">
      <c r="A380" s="28" t="s">
        <v>243</v>
      </c>
      <c r="B380" s="46" t="s">
        <v>57</v>
      </c>
      <c r="C380" s="31">
        <v>3590</v>
      </c>
      <c r="D380" s="38">
        <v>0</v>
      </c>
      <c r="E380" s="50">
        <f t="shared" si="61"/>
        <v>3590</v>
      </c>
      <c r="F380" s="24">
        <v>0.14000000000000001</v>
      </c>
      <c r="G380" s="7">
        <v>18</v>
      </c>
      <c r="H380" s="7">
        <v>10</v>
      </c>
      <c r="I380" s="7">
        <v>34</v>
      </c>
      <c r="J380" s="78">
        <f t="shared" si="54"/>
        <v>6.12</v>
      </c>
      <c r="K380" s="2">
        <f t="shared" si="55"/>
        <v>1.2</v>
      </c>
      <c r="L380" s="8">
        <v>0</v>
      </c>
      <c r="M380" s="1">
        <f t="shared" si="60"/>
        <v>0</v>
      </c>
      <c r="N380" s="41">
        <v>0</v>
      </c>
      <c r="O380" s="84" t="s">
        <v>275</v>
      </c>
      <c r="P380" s="24" t="s">
        <v>562</v>
      </c>
      <c r="Q380" s="7" t="s">
        <v>557</v>
      </c>
      <c r="R380" s="7"/>
      <c r="S380" s="81">
        <v>0.09</v>
      </c>
      <c r="T380" s="7">
        <v>25</v>
      </c>
      <c r="U380" s="82"/>
      <c r="V380" s="83">
        <f>ROUNDUP(E380*S380,2)</f>
        <v>323.10000000000002</v>
      </c>
      <c r="W380" s="83">
        <f>ROUNDUP(E380*0.015,2)</f>
        <v>53.85</v>
      </c>
      <c r="X380" s="82">
        <f>MAX(MIN(SUMIFS(Логистика!$C$2:$C$38,Логистика!$A$2:$A$38,"&lt;="&amp;K380,Логистика!$B$2:$B$38,"&gt;="&amp;K380)*E380,SUMIFS(Логистика!$E$2:$E$38,Логистика!$A$2:$A$38,"&lt;="&amp;K380,Логистика!$B$2:$B$38,"&gt;="&amp;K380)),SUMIFS(Логистика!$D$2:$D$38,Логистика!$A$2:$A$38,"&lt;="&amp;K380,Логистика!$B$2:$B$38,"&gt;="&amp;K380))</f>
        <v>175</v>
      </c>
      <c r="Y380" s="83">
        <f>IF(AND(E380*0.055&gt;20,E380*0.055&lt;250),ROUNDUP(E380*0.055,2),IF(E380*0.055&lt;=20,20,250))</f>
        <v>197.45</v>
      </c>
      <c r="Z380" s="83">
        <f>ROUND(M380*0.05,2)</f>
        <v>0</v>
      </c>
      <c r="AA380" s="83">
        <f>IF(N380=0,0,IF(ROUND(E380*N380,2)&gt;5,ROUND(E380*N380,2),5))</f>
        <v>0</v>
      </c>
      <c r="AB380" s="83">
        <f>IF(O380="Да",ROUND(E380*0.1111,2),0)</f>
        <v>0</v>
      </c>
      <c r="AC380" s="53">
        <f>V380+W380+T380+X380+Y380+Z380+AA380+AB380</f>
        <v>774.40000000000009</v>
      </c>
      <c r="AD380" s="8">
        <v>0</v>
      </c>
      <c r="AE380" s="36">
        <f>ROUND(E380*AD380,2)</f>
        <v>0</v>
      </c>
      <c r="AF380" s="6">
        <v>15</v>
      </c>
      <c r="AG380" s="6">
        <v>15</v>
      </c>
      <c r="AH380" s="59">
        <f>AH377*4</f>
        <v>1896</v>
      </c>
      <c r="AI380" s="57">
        <f>E380-AC380-AE380-AH380</f>
        <v>919.59999999999991</v>
      </c>
      <c r="AJ380" s="17">
        <f>E380-AC380</f>
        <v>2815.6</v>
      </c>
      <c r="AK380" s="20">
        <f>ROUND(AI380/E380,2)</f>
        <v>0.26</v>
      </c>
      <c r="AL380" s="21">
        <f t="shared" si="58"/>
        <v>0.49</v>
      </c>
    </row>
    <row r="381" spans="1:38" x14ac:dyDescent="0.25">
      <c r="A381" s="28" t="s">
        <v>244</v>
      </c>
      <c r="B381" s="46" t="s">
        <v>57</v>
      </c>
      <c r="C381" s="31">
        <v>4450</v>
      </c>
      <c r="D381" s="38">
        <v>0</v>
      </c>
      <c r="E381" s="50">
        <f t="shared" si="61"/>
        <v>4450</v>
      </c>
      <c r="F381" s="24">
        <v>0.17499999999999999</v>
      </c>
      <c r="G381" s="7">
        <v>18</v>
      </c>
      <c r="H381" s="7">
        <v>10</v>
      </c>
      <c r="I381" s="7">
        <v>42</v>
      </c>
      <c r="J381" s="78">
        <f t="shared" si="54"/>
        <v>7.56</v>
      </c>
      <c r="K381" s="2">
        <f t="shared" si="55"/>
        <v>1.5</v>
      </c>
      <c r="L381" s="8">
        <v>0</v>
      </c>
      <c r="M381" s="1">
        <f t="shared" si="60"/>
        <v>0</v>
      </c>
      <c r="N381" s="41">
        <v>0</v>
      </c>
      <c r="O381" s="84" t="s">
        <v>275</v>
      </c>
      <c r="P381" s="24" t="s">
        <v>562</v>
      </c>
      <c r="Q381" s="7" t="s">
        <v>557</v>
      </c>
      <c r="R381" s="7"/>
      <c r="S381" s="81">
        <v>0.09</v>
      </c>
      <c r="T381" s="7">
        <v>25</v>
      </c>
      <c r="U381" s="82"/>
      <c r="V381" s="83">
        <f>ROUNDUP(E381*S381,2)</f>
        <v>400.5</v>
      </c>
      <c r="W381" s="83">
        <f>ROUNDUP(E381*0.015,2)</f>
        <v>66.75</v>
      </c>
      <c r="X381" s="82">
        <f>MAX(MIN(SUMIFS(Логистика!$C$2:$C$38,Логистика!$A$2:$A$38,"&lt;="&amp;K381,Логистика!$B$2:$B$38,"&gt;="&amp;K381)*E381,SUMIFS(Логистика!$E$2:$E$38,Логистика!$A$2:$A$38,"&lt;="&amp;K381,Логистика!$B$2:$B$38,"&gt;="&amp;K381)),SUMIFS(Логистика!$D$2:$D$38,Логистика!$A$2:$A$38,"&lt;="&amp;K381,Логистика!$B$2:$B$38,"&gt;="&amp;K381))</f>
        <v>225</v>
      </c>
      <c r="Y381" s="83">
        <f>IF(AND(E381*0.055&gt;20,E381*0.055&lt;250),ROUNDUP(E381*0.055,2),IF(E381*0.055&lt;=20,20,250))</f>
        <v>244.75</v>
      </c>
      <c r="Z381" s="83">
        <f>ROUND(M381*0.05,2)</f>
        <v>0</v>
      </c>
      <c r="AA381" s="83">
        <f>IF(N381=0,0,IF(ROUND(E381*N381,2)&gt;5,ROUND(E381*N381,2),5))</f>
        <v>0</v>
      </c>
      <c r="AB381" s="83">
        <f>IF(O381="Да",ROUND(E381*0.1111,2),0)</f>
        <v>0</v>
      </c>
      <c r="AC381" s="53">
        <f>V381+W381+T381+X381+Y381+Z381+AA381+AB381</f>
        <v>962</v>
      </c>
      <c r="AD381" s="8">
        <v>0</v>
      </c>
      <c r="AE381" s="36">
        <f>ROUND(E381*AD381,2)</f>
        <v>0</v>
      </c>
      <c r="AF381" s="6">
        <v>15</v>
      </c>
      <c r="AG381" s="6">
        <v>15</v>
      </c>
      <c r="AH381" s="59">
        <f>AH377*5</f>
        <v>2370</v>
      </c>
      <c r="AI381" s="57">
        <f>E381-AC381-AE381-AH381</f>
        <v>1118</v>
      </c>
      <c r="AJ381" s="17">
        <f>E381-AC381</f>
        <v>3488</v>
      </c>
      <c r="AK381" s="20">
        <f>ROUND(AI381/E381,2)</f>
        <v>0.25</v>
      </c>
      <c r="AL381" s="21">
        <f t="shared" si="58"/>
        <v>0.47</v>
      </c>
    </row>
    <row r="382" spans="1:38" x14ac:dyDescent="0.25">
      <c r="A382" s="28"/>
      <c r="B382" s="46"/>
      <c r="C382" s="31"/>
      <c r="D382" s="38">
        <v>0</v>
      </c>
      <c r="E382" s="50">
        <f t="shared" si="61"/>
        <v>0</v>
      </c>
      <c r="F382" s="24"/>
      <c r="G382" s="7">
        <v>0</v>
      </c>
      <c r="H382" s="7">
        <v>0</v>
      </c>
      <c r="I382" s="7">
        <v>0</v>
      </c>
      <c r="J382" s="78">
        <f t="shared" si="54"/>
        <v>0</v>
      </c>
      <c r="K382" s="2">
        <f t="shared" si="55"/>
        <v>0</v>
      </c>
      <c r="L382" s="8">
        <v>0</v>
      </c>
      <c r="M382" s="1">
        <f t="shared" si="60"/>
        <v>0</v>
      </c>
      <c r="N382" s="41">
        <v>0</v>
      </c>
      <c r="O382" s="84" t="s">
        <v>275</v>
      </c>
      <c r="P382" s="24" t="s">
        <v>562</v>
      </c>
      <c r="Q382" s="7" t="s">
        <v>557</v>
      </c>
      <c r="R382" s="7"/>
      <c r="S382" s="81"/>
      <c r="T382" s="7">
        <v>25</v>
      </c>
      <c r="U382" s="82"/>
      <c r="V382" s="83">
        <f>ROUNDUP(E382*S382,2)</f>
        <v>0</v>
      </c>
      <c r="W382" s="83">
        <f>ROUNDUP(E382*0.015,2)</f>
        <v>0</v>
      </c>
      <c r="X382" s="82">
        <f>MAX(MIN(SUMIFS(Логистика!$C$2:$C$38,Логистика!$A$2:$A$38,"&lt;="&amp;K382,Логистика!$B$2:$B$38,"&gt;="&amp;K382)*E382,SUMIFS(Логистика!$E$2:$E$38,Логистика!$A$2:$A$38,"&lt;="&amp;K382,Логистика!$B$2:$B$38,"&gt;="&amp;K382)),SUMIFS(Логистика!$D$2:$D$38,Логистика!$A$2:$A$38,"&lt;="&amp;K382,Логистика!$B$2:$B$38,"&gt;="&amp;K382))</f>
        <v>0</v>
      </c>
      <c r="Y382" s="83">
        <f>IF(AND(E382*0.055&gt;20,E382*0.055&lt;250),ROUNDUP(E382*0.055,2),IF(E382*0.055&lt;=20,20,250))</f>
        <v>20</v>
      </c>
      <c r="Z382" s="83">
        <f>ROUND(M382*0.05,2)</f>
        <v>0</v>
      </c>
      <c r="AA382" s="83">
        <f>IF(N382=0,0,IF(ROUND(E382*N382,2)&gt;5,ROUND(E382*N382,2),5))</f>
        <v>0</v>
      </c>
      <c r="AB382" s="83">
        <f>IF(O382="Да",ROUND(E382*0.1111,2),0)</f>
        <v>0</v>
      </c>
      <c r="AC382" s="53">
        <f>V382+W382+T382+X382+Y382+Z382+AA382+AB382</f>
        <v>45</v>
      </c>
      <c r="AD382" s="8">
        <v>0</v>
      </c>
      <c r="AE382" s="36">
        <f>ROUND(E382*AD382,2)</f>
        <v>0</v>
      </c>
      <c r="AF382" s="6">
        <v>15</v>
      </c>
      <c r="AG382" s="6">
        <v>15</v>
      </c>
      <c r="AH382" s="5"/>
      <c r="AI382" s="57">
        <f>E382-AC382-AE382-AH382</f>
        <v>-45</v>
      </c>
      <c r="AJ382" s="17">
        <f>E382-AC382</f>
        <v>-45</v>
      </c>
      <c r="AK382" s="20" t="e">
        <f>ROUND(AI382/E382,2)</f>
        <v>#DIV/0!</v>
      </c>
      <c r="AL382" s="21" t="e">
        <f t="shared" si="58"/>
        <v>#DIV/0!</v>
      </c>
    </row>
    <row r="383" spans="1:38" x14ac:dyDescent="0.25">
      <c r="A383" s="28" t="s">
        <v>229</v>
      </c>
      <c r="B383" s="46" t="s">
        <v>235</v>
      </c>
      <c r="C383" s="31">
        <v>1690</v>
      </c>
      <c r="D383" s="38">
        <v>0</v>
      </c>
      <c r="E383" s="50">
        <f t="shared" si="61"/>
        <v>1690</v>
      </c>
      <c r="F383" s="24">
        <v>0.1</v>
      </c>
      <c r="G383" s="7">
        <v>18</v>
      </c>
      <c r="H383" s="7">
        <v>10</v>
      </c>
      <c r="I383" s="7">
        <v>10</v>
      </c>
      <c r="J383" s="78">
        <f t="shared" si="54"/>
        <v>1.8</v>
      </c>
      <c r="K383" s="2">
        <f t="shared" si="55"/>
        <v>0.4</v>
      </c>
      <c r="L383" s="8">
        <v>0</v>
      </c>
      <c r="M383" s="1">
        <f t="shared" si="60"/>
        <v>0</v>
      </c>
      <c r="N383" s="41">
        <v>0</v>
      </c>
      <c r="O383" s="84" t="s">
        <v>275</v>
      </c>
      <c r="P383" s="24" t="s">
        <v>562</v>
      </c>
      <c r="Q383" s="7" t="s">
        <v>557</v>
      </c>
      <c r="R383" s="7"/>
      <c r="S383" s="81">
        <v>0.09</v>
      </c>
      <c r="T383" s="7">
        <v>25</v>
      </c>
      <c r="U383" s="82"/>
      <c r="V383" s="83">
        <f>ROUNDUP(E383*S383,2)</f>
        <v>152.1</v>
      </c>
      <c r="W383" s="83">
        <f>ROUNDUP(E383*0.015,2)</f>
        <v>25.35</v>
      </c>
      <c r="X383" s="82">
        <f>MAX(MIN(SUMIFS(Логистика!$C$2:$C$38,Логистика!$A$2:$A$38,"&lt;="&amp;K383,Логистика!$B$2:$B$38,"&gt;="&amp;K383)*E383,SUMIFS(Логистика!$E$2:$E$38,Логистика!$A$2:$A$38,"&lt;="&amp;K383,Логистика!$B$2:$B$38,"&gt;="&amp;K383)),SUMIFS(Логистика!$D$2:$D$38,Логистика!$A$2:$A$38,"&lt;="&amp;K383,Логистика!$B$2:$B$38,"&gt;="&amp;K383))</f>
        <v>84.5</v>
      </c>
      <c r="Y383" s="83">
        <f>IF(AND(E383*0.055&gt;20,E383*0.055&lt;250),ROUNDUP(E383*0.055,2),IF(E383*0.055&lt;=20,20,250))</f>
        <v>92.95</v>
      </c>
      <c r="Z383" s="83">
        <f>ROUND(M383*0.05,2)</f>
        <v>0</v>
      </c>
      <c r="AA383" s="83">
        <f>IF(N383=0,0,IF(ROUND(E383*N383,2)&gt;5,ROUND(E383*N383,2),5))</f>
        <v>0</v>
      </c>
      <c r="AB383" s="83">
        <f>IF(O383="Да",ROUND(E383*0.1111,2),0)</f>
        <v>0</v>
      </c>
      <c r="AC383" s="53">
        <f>V383+W383+T383+X383+Y383+Z383+AA383+AB383</f>
        <v>379.9</v>
      </c>
      <c r="AD383" s="8">
        <v>0</v>
      </c>
      <c r="AE383" s="36">
        <f>ROUND(E383*AD383,2)</f>
        <v>0</v>
      </c>
      <c r="AF383" s="6">
        <v>15</v>
      </c>
      <c r="AG383" s="6">
        <v>15</v>
      </c>
      <c r="AH383" s="5">
        <v>864</v>
      </c>
      <c r="AI383" s="57">
        <f>E383-AC383-AE383-AH383</f>
        <v>446.09999999999991</v>
      </c>
      <c r="AJ383" s="17">
        <f>E383-AC383</f>
        <v>1310.0999999999999</v>
      </c>
      <c r="AK383" s="20">
        <f>ROUND(AI383/E383,2)</f>
        <v>0.26</v>
      </c>
      <c r="AL383" s="21">
        <f t="shared" si="58"/>
        <v>0.52</v>
      </c>
    </row>
    <row r="384" spans="1:38" x14ac:dyDescent="0.25">
      <c r="A384" s="28" t="s">
        <v>230</v>
      </c>
      <c r="B384" s="46" t="s">
        <v>236</v>
      </c>
      <c r="C384" s="31">
        <v>3250</v>
      </c>
      <c r="D384" s="38">
        <v>0</v>
      </c>
      <c r="E384" s="50">
        <f t="shared" si="61"/>
        <v>3250</v>
      </c>
      <c r="F384" s="24">
        <v>0.2</v>
      </c>
      <c r="G384" s="7">
        <v>18</v>
      </c>
      <c r="H384" s="7">
        <v>10</v>
      </c>
      <c r="I384" s="7">
        <v>18</v>
      </c>
      <c r="J384" s="78">
        <f t="shared" si="54"/>
        <v>3.24</v>
      </c>
      <c r="K384" s="2">
        <f t="shared" si="55"/>
        <v>0.6</v>
      </c>
      <c r="L384" s="8">
        <v>0</v>
      </c>
      <c r="M384" s="1">
        <f t="shared" si="60"/>
        <v>0</v>
      </c>
      <c r="N384" s="41">
        <v>0</v>
      </c>
      <c r="O384" s="84" t="s">
        <v>275</v>
      </c>
      <c r="P384" s="24" t="s">
        <v>562</v>
      </c>
      <c r="Q384" s="7" t="s">
        <v>557</v>
      </c>
      <c r="R384" s="7"/>
      <c r="S384" s="81">
        <v>0.09</v>
      </c>
      <c r="T384" s="7">
        <v>25</v>
      </c>
      <c r="U384" s="82"/>
      <c r="V384" s="83">
        <f>ROUNDUP(E384*S384,2)</f>
        <v>292.5</v>
      </c>
      <c r="W384" s="83">
        <f>ROUNDUP(E384*0.015,2)</f>
        <v>48.75</v>
      </c>
      <c r="X384" s="82">
        <f>MAX(MIN(SUMIFS(Логистика!$C$2:$C$38,Логистика!$A$2:$A$38,"&lt;="&amp;K384,Логистика!$B$2:$B$38,"&gt;="&amp;K384)*E384,SUMIFS(Логистика!$E$2:$E$38,Логистика!$A$2:$A$38,"&lt;="&amp;K384,Логистика!$B$2:$B$38,"&gt;="&amp;K384)),SUMIFS(Логистика!$D$2:$D$38,Логистика!$A$2:$A$38,"&lt;="&amp;K384,Логистика!$B$2:$B$38,"&gt;="&amp;K384))</f>
        <v>130</v>
      </c>
      <c r="Y384" s="83">
        <f>IF(AND(E384*0.055&gt;20,E384*0.055&lt;250),ROUNDUP(E384*0.055,2),IF(E384*0.055&lt;=20,20,250))</f>
        <v>178.75</v>
      </c>
      <c r="Z384" s="83">
        <f>ROUND(M384*0.05,2)</f>
        <v>0</v>
      </c>
      <c r="AA384" s="83">
        <f>IF(N384=0,0,IF(ROUND(E384*N384,2)&gt;5,ROUND(E384*N384,2),5))</f>
        <v>0</v>
      </c>
      <c r="AB384" s="83">
        <f>IF(O384="Да",ROUND(E384*0.1111,2),0)</f>
        <v>0</v>
      </c>
      <c r="AC384" s="53">
        <f>V384+W384+T384+X384+Y384+Z384+AA384+AB384</f>
        <v>675</v>
      </c>
      <c r="AD384" s="8">
        <v>0</v>
      </c>
      <c r="AE384" s="36">
        <f>ROUND(E384*AD384,2)</f>
        <v>0</v>
      </c>
      <c r="AF384" s="6">
        <v>15</v>
      </c>
      <c r="AG384" s="6">
        <v>15</v>
      </c>
      <c r="AH384" s="59">
        <f>AH383*2</f>
        <v>1728</v>
      </c>
      <c r="AI384" s="57">
        <f>E384-AC384-AE384-AH384</f>
        <v>847</v>
      </c>
      <c r="AJ384" s="17">
        <f>E384-AC384</f>
        <v>2575</v>
      </c>
      <c r="AK384" s="20">
        <f>ROUND(AI384/E384,2)</f>
        <v>0.26</v>
      </c>
      <c r="AL384" s="21">
        <f t="shared" si="58"/>
        <v>0.49</v>
      </c>
    </row>
    <row r="385" spans="1:38" x14ac:dyDescent="0.25">
      <c r="A385" s="28" t="s">
        <v>231</v>
      </c>
      <c r="B385" s="46" t="s">
        <v>237</v>
      </c>
      <c r="C385" s="31">
        <v>4750</v>
      </c>
      <c r="D385" s="38">
        <v>0</v>
      </c>
      <c r="E385" s="50">
        <f t="shared" si="61"/>
        <v>4750</v>
      </c>
      <c r="F385" s="24">
        <v>0.3</v>
      </c>
      <c r="G385" s="7">
        <v>18</v>
      </c>
      <c r="H385" s="7">
        <v>10</v>
      </c>
      <c r="I385" s="7">
        <v>26</v>
      </c>
      <c r="J385" s="78">
        <f t="shared" si="54"/>
        <v>4.68</v>
      </c>
      <c r="K385" s="2">
        <f t="shared" si="55"/>
        <v>0.9</v>
      </c>
      <c r="L385" s="8">
        <v>0</v>
      </c>
      <c r="M385" s="1">
        <f t="shared" si="60"/>
        <v>0</v>
      </c>
      <c r="N385" s="41">
        <v>0</v>
      </c>
      <c r="O385" s="84" t="s">
        <v>275</v>
      </c>
      <c r="P385" s="24" t="s">
        <v>562</v>
      </c>
      <c r="Q385" s="7" t="s">
        <v>557</v>
      </c>
      <c r="R385" s="7"/>
      <c r="S385" s="81">
        <v>0.09</v>
      </c>
      <c r="T385" s="7">
        <v>25</v>
      </c>
      <c r="U385" s="82"/>
      <c r="V385" s="83">
        <f>ROUNDUP(E385*S385,2)</f>
        <v>427.5</v>
      </c>
      <c r="W385" s="83">
        <f>ROUNDUP(E385*0.015,2)</f>
        <v>71.25</v>
      </c>
      <c r="X385" s="82">
        <f>MAX(MIN(SUMIFS(Логистика!$C$2:$C$38,Логистика!$A$2:$A$38,"&lt;="&amp;K385,Логистика!$B$2:$B$38,"&gt;="&amp;K385)*E385,SUMIFS(Логистика!$E$2:$E$38,Логистика!$A$2:$A$38,"&lt;="&amp;K385,Логистика!$B$2:$B$38,"&gt;="&amp;K385)),SUMIFS(Логистика!$D$2:$D$38,Логистика!$A$2:$A$38,"&lt;="&amp;K385,Логистика!$B$2:$B$38,"&gt;="&amp;K385))</f>
        <v>145</v>
      </c>
      <c r="Y385" s="83">
        <f>IF(AND(E385*0.055&gt;20,E385*0.055&lt;250),ROUNDUP(E385*0.055,2),IF(E385*0.055&lt;=20,20,250))</f>
        <v>250</v>
      </c>
      <c r="Z385" s="83">
        <f>ROUND(M385*0.05,2)</f>
        <v>0</v>
      </c>
      <c r="AA385" s="83">
        <f>IF(N385=0,0,IF(ROUND(E385*N385,2)&gt;5,ROUND(E385*N385,2),5))</f>
        <v>0</v>
      </c>
      <c r="AB385" s="83">
        <f>IF(O385="Да",ROUND(E385*0.1111,2),0)</f>
        <v>0</v>
      </c>
      <c r="AC385" s="53">
        <f>V385+W385+T385+X385+Y385+Z385+AA385+AB385</f>
        <v>918.75</v>
      </c>
      <c r="AD385" s="8">
        <v>0</v>
      </c>
      <c r="AE385" s="36">
        <f>ROUND(E385*AD385,2)</f>
        <v>0</v>
      </c>
      <c r="AF385" s="6">
        <v>15</v>
      </c>
      <c r="AG385" s="6">
        <v>15</v>
      </c>
      <c r="AH385" s="59">
        <f>AH383*3</f>
        <v>2592</v>
      </c>
      <c r="AI385" s="57">
        <f>E385-AC385-AE385-AH385</f>
        <v>1239.25</v>
      </c>
      <c r="AJ385" s="17">
        <f>E385-AC385</f>
        <v>3831.25</v>
      </c>
      <c r="AK385" s="20">
        <f>ROUND(AI385/E385,2)</f>
        <v>0.26</v>
      </c>
      <c r="AL385" s="21">
        <f t="shared" si="58"/>
        <v>0.48</v>
      </c>
    </row>
    <row r="386" spans="1:38" x14ac:dyDescent="0.25">
      <c r="A386" s="28" t="s">
        <v>232</v>
      </c>
      <c r="B386" s="46" t="s">
        <v>238</v>
      </c>
      <c r="C386" s="31">
        <v>6150</v>
      </c>
      <c r="D386" s="38">
        <v>0</v>
      </c>
      <c r="E386" s="50">
        <f t="shared" si="61"/>
        <v>6150</v>
      </c>
      <c r="F386" s="24">
        <v>0.4</v>
      </c>
      <c r="G386" s="7">
        <v>18</v>
      </c>
      <c r="H386" s="7">
        <v>10</v>
      </c>
      <c r="I386" s="7">
        <v>34</v>
      </c>
      <c r="J386" s="78">
        <f t="shared" si="54"/>
        <v>6.12</v>
      </c>
      <c r="K386" s="2">
        <f t="shared" si="55"/>
        <v>1.2</v>
      </c>
      <c r="L386" s="8">
        <v>0</v>
      </c>
      <c r="M386" s="1">
        <f t="shared" si="60"/>
        <v>0</v>
      </c>
      <c r="N386" s="41">
        <v>0</v>
      </c>
      <c r="O386" s="84" t="s">
        <v>275</v>
      </c>
      <c r="P386" s="24" t="s">
        <v>562</v>
      </c>
      <c r="Q386" s="7" t="s">
        <v>557</v>
      </c>
      <c r="R386" s="7"/>
      <c r="S386" s="81">
        <v>0.09</v>
      </c>
      <c r="T386" s="7">
        <v>25</v>
      </c>
      <c r="U386" s="82"/>
      <c r="V386" s="83">
        <f>ROUNDUP(E386*S386,2)</f>
        <v>553.5</v>
      </c>
      <c r="W386" s="83">
        <f>ROUNDUP(E386*0.015,2)</f>
        <v>92.25</v>
      </c>
      <c r="X386" s="82">
        <f>MAX(MIN(SUMIFS(Логистика!$C$2:$C$38,Логистика!$A$2:$A$38,"&lt;="&amp;K386,Логистика!$B$2:$B$38,"&gt;="&amp;K386)*E386,SUMIFS(Логистика!$E$2:$E$38,Логистика!$A$2:$A$38,"&lt;="&amp;K386,Логистика!$B$2:$B$38,"&gt;="&amp;K386)),SUMIFS(Логистика!$D$2:$D$38,Логистика!$A$2:$A$38,"&lt;="&amp;K386,Логистика!$B$2:$B$38,"&gt;="&amp;K386))</f>
        <v>175</v>
      </c>
      <c r="Y386" s="83">
        <f>IF(AND(E386*0.055&gt;20,E386*0.055&lt;250),ROUNDUP(E386*0.055,2),IF(E386*0.055&lt;=20,20,250))</f>
        <v>250</v>
      </c>
      <c r="Z386" s="83">
        <f>ROUND(M386*0.05,2)</f>
        <v>0</v>
      </c>
      <c r="AA386" s="83">
        <f>IF(N386=0,0,IF(ROUND(E386*N386,2)&gt;5,ROUND(E386*N386,2),5))</f>
        <v>0</v>
      </c>
      <c r="AB386" s="83">
        <f>IF(O386="Да",ROUND(E386*0.1111,2),0)</f>
        <v>0</v>
      </c>
      <c r="AC386" s="53">
        <f>V386+W386+T386+X386+Y386+Z386+AA386+AB386</f>
        <v>1095.75</v>
      </c>
      <c r="AD386" s="8">
        <v>0</v>
      </c>
      <c r="AE386" s="36">
        <f>ROUND(E386*AD386,2)</f>
        <v>0</v>
      </c>
      <c r="AF386" s="6">
        <v>15</v>
      </c>
      <c r="AG386" s="6">
        <v>15</v>
      </c>
      <c r="AH386" s="59">
        <f>AH383*4</f>
        <v>3456</v>
      </c>
      <c r="AI386" s="57">
        <f>E386-AC386-AE386-AH386</f>
        <v>1598.25</v>
      </c>
      <c r="AJ386" s="17">
        <f>E386-AC386</f>
        <v>5054.25</v>
      </c>
      <c r="AK386" s="20">
        <f>ROUND(AI386/E386,2)</f>
        <v>0.26</v>
      </c>
      <c r="AL386" s="21">
        <f t="shared" si="58"/>
        <v>0.46</v>
      </c>
    </row>
    <row r="387" spans="1:38" x14ac:dyDescent="0.25">
      <c r="A387" s="28" t="s">
        <v>233</v>
      </c>
      <c r="B387" s="46" t="s">
        <v>239</v>
      </c>
      <c r="C387" s="31">
        <v>7590</v>
      </c>
      <c r="D387" s="38">
        <v>0</v>
      </c>
      <c r="E387" s="50">
        <f t="shared" si="61"/>
        <v>7590</v>
      </c>
      <c r="F387" s="24">
        <v>0.5</v>
      </c>
      <c r="G387" s="7">
        <v>18</v>
      </c>
      <c r="H387" s="7">
        <v>10</v>
      </c>
      <c r="I387" s="7">
        <v>42</v>
      </c>
      <c r="J387" s="78">
        <f t="shared" si="54"/>
        <v>7.56</v>
      </c>
      <c r="K387" s="2">
        <f t="shared" si="55"/>
        <v>1.5</v>
      </c>
      <c r="L387" s="8">
        <v>0</v>
      </c>
      <c r="M387" s="1">
        <f t="shared" si="60"/>
        <v>0</v>
      </c>
      <c r="N387" s="41">
        <v>0</v>
      </c>
      <c r="O387" s="84" t="s">
        <v>275</v>
      </c>
      <c r="P387" s="24" t="s">
        <v>562</v>
      </c>
      <c r="Q387" s="7" t="s">
        <v>557</v>
      </c>
      <c r="R387" s="7"/>
      <c r="S387" s="81">
        <v>0.09</v>
      </c>
      <c r="T387" s="7">
        <v>25</v>
      </c>
      <c r="U387" s="82"/>
      <c r="V387" s="83">
        <f>ROUNDUP(E387*S387,2)</f>
        <v>683.1</v>
      </c>
      <c r="W387" s="83">
        <f>ROUNDUP(E387*0.015,2)</f>
        <v>113.85</v>
      </c>
      <c r="X387" s="82">
        <f>MAX(MIN(SUMIFS(Логистика!$C$2:$C$38,Логистика!$A$2:$A$38,"&lt;="&amp;K387,Логистика!$B$2:$B$38,"&gt;="&amp;K387)*E387,SUMIFS(Логистика!$E$2:$E$38,Логистика!$A$2:$A$38,"&lt;="&amp;K387,Логистика!$B$2:$B$38,"&gt;="&amp;K387)),SUMIFS(Логистика!$D$2:$D$38,Логистика!$A$2:$A$38,"&lt;="&amp;K387,Логистика!$B$2:$B$38,"&gt;="&amp;K387))</f>
        <v>225</v>
      </c>
      <c r="Y387" s="83">
        <f>IF(AND(E387*0.055&gt;20,E387*0.055&lt;250),ROUNDUP(E387*0.055,2),IF(E387*0.055&lt;=20,20,250))</f>
        <v>250</v>
      </c>
      <c r="Z387" s="83">
        <f>ROUND(M387*0.05,2)</f>
        <v>0</v>
      </c>
      <c r="AA387" s="83">
        <f>IF(N387=0,0,IF(ROUND(E387*N387,2)&gt;5,ROUND(E387*N387,2),5))</f>
        <v>0</v>
      </c>
      <c r="AB387" s="83">
        <f>IF(O387="Да",ROUND(E387*0.1111,2),0)</f>
        <v>0</v>
      </c>
      <c r="AC387" s="53">
        <f>V387+W387+T387+X387+Y387+Z387+AA387+AB387</f>
        <v>1296.95</v>
      </c>
      <c r="AD387" s="8">
        <v>0</v>
      </c>
      <c r="AE387" s="36">
        <f>ROUND(E387*AD387,2)</f>
        <v>0</v>
      </c>
      <c r="AF387" s="6">
        <v>15</v>
      </c>
      <c r="AG387" s="6">
        <v>15</v>
      </c>
      <c r="AH387" s="59">
        <f>AH383*5</f>
        <v>4320</v>
      </c>
      <c r="AI387" s="57">
        <f>E387-AC387-AE387-AH387</f>
        <v>1973.0500000000002</v>
      </c>
      <c r="AJ387" s="17">
        <f>E387-AC387</f>
        <v>6293.05</v>
      </c>
      <c r="AK387" s="20">
        <f>ROUND(AI387/E387,2)</f>
        <v>0.26</v>
      </c>
      <c r="AL387" s="21">
        <f t="shared" si="58"/>
        <v>0.46</v>
      </c>
    </row>
    <row r="388" spans="1:38" x14ac:dyDescent="0.25">
      <c r="A388" s="28"/>
      <c r="B388" s="46"/>
      <c r="C388" s="31"/>
      <c r="D388" s="38">
        <v>0</v>
      </c>
      <c r="E388" s="50">
        <f t="shared" si="61"/>
        <v>0</v>
      </c>
      <c r="F388" s="24"/>
      <c r="G388" s="7">
        <v>0</v>
      </c>
      <c r="H388" s="7">
        <v>0</v>
      </c>
      <c r="I388" s="7">
        <v>0</v>
      </c>
      <c r="J388" s="78">
        <f t="shared" ref="J388:J429" si="62">G388*H388*I388/1000</f>
        <v>0</v>
      </c>
      <c r="K388" s="2">
        <f t="shared" si="55"/>
        <v>0</v>
      </c>
      <c r="L388" s="8">
        <v>0</v>
      </c>
      <c r="M388" s="1">
        <f t="shared" si="60"/>
        <v>0</v>
      </c>
      <c r="N388" s="41">
        <v>0</v>
      </c>
      <c r="O388" s="84" t="s">
        <v>275</v>
      </c>
      <c r="P388" s="24" t="s">
        <v>562</v>
      </c>
      <c r="Q388" s="7" t="s">
        <v>557</v>
      </c>
      <c r="R388" s="7"/>
      <c r="S388" s="81"/>
      <c r="T388" s="7">
        <v>25</v>
      </c>
      <c r="U388" s="82"/>
      <c r="V388" s="83">
        <f>ROUNDUP(E388*S388,2)</f>
        <v>0</v>
      </c>
      <c r="W388" s="83">
        <f>ROUNDUP(E388*0.015,2)</f>
        <v>0</v>
      </c>
      <c r="X388" s="82">
        <f>MAX(MIN(SUMIFS(Логистика!$C$2:$C$38,Логистика!$A$2:$A$38,"&lt;="&amp;K388,Логистика!$B$2:$B$38,"&gt;="&amp;K388)*E388,SUMIFS(Логистика!$E$2:$E$38,Логистика!$A$2:$A$38,"&lt;="&amp;K388,Логистика!$B$2:$B$38,"&gt;="&amp;K388)),SUMIFS(Логистика!$D$2:$D$38,Логистика!$A$2:$A$38,"&lt;="&amp;K388,Логистика!$B$2:$B$38,"&gt;="&amp;K388))</f>
        <v>0</v>
      </c>
      <c r="Y388" s="83">
        <f>IF(AND(E388*0.055&gt;20,E388*0.055&lt;250),ROUNDUP(E388*0.055,2),IF(E388*0.055&lt;=20,20,250))</f>
        <v>20</v>
      </c>
      <c r="Z388" s="83">
        <f>ROUND(M388*0.05,2)</f>
        <v>0</v>
      </c>
      <c r="AA388" s="83">
        <f>IF(N388=0,0,IF(ROUND(E388*N388,2)&gt;5,ROUND(E388*N388,2),5))</f>
        <v>0</v>
      </c>
      <c r="AB388" s="83">
        <f>IF(O388="Да",ROUND(E388*0.1111,2),0)</f>
        <v>0</v>
      </c>
      <c r="AC388" s="53">
        <f>V388+W388+T388+X388+Y388+Z388+AA388+AB388</f>
        <v>45</v>
      </c>
      <c r="AD388" s="8">
        <v>0</v>
      </c>
      <c r="AE388" s="36">
        <f>ROUND(E388*AD388,2)</f>
        <v>0</v>
      </c>
      <c r="AF388" s="6">
        <v>15</v>
      </c>
      <c r="AG388" s="6">
        <v>15</v>
      </c>
      <c r="AH388" s="5"/>
      <c r="AI388" s="57">
        <f>E388-AC388-AE388-AH388</f>
        <v>-45</v>
      </c>
      <c r="AJ388" s="17">
        <f>E388-AC388</f>
        <v>-45</v>
      </c>
      <c r="AK388" s="20" t="e">
        <f>ROUND(AI388/E388,2)</f>
        <v>#DIV/0!</v>
      </c>
      <c r="AL388" s="21" t="e">
        <f t="shared" si="58"/>
        <v>#DIV/0!</v>
      </c>
    </row>
    <row r="389" spans="1:38" x14ac:dyDescent="0.25">
      <c r="A389" s="28" t="s">
        <v>247</v>
      </c>
      <c r="B389" s="46" t="s">
        <v>246</v>
      </c>
      <c r="C389" s="31">
        <v>490</v>
      </c>
      <c r="D389" s="38">
        <v>0</v>
      </c>
      <c r="E389" s="50">
        <f t="shared" si="61"/>
        <v>490</v>
      </c>
      <c r="F389" s="24">
        <v>0.5</v>
      </c>
      <c r="G389" s="7">
        <v>12</v>
      </c>
      <c r="H389" s="7">
        <v>7.0000000000000009</v>
      </c>
      <c r="I389" s="7">
        <v>7.0000000000000009</v>
      </c>
      <c r="J389" s="78">
        <f t="shared" si="62"/>
        <v>0.58800000000000019</v>
      </c>
      <c r="K389" s="2">
        <f t="shared" ref="K389:K429" si="63">ROUND(IF(J389/5&gt;F389,J389/5,F389),1)</f>
        <v>0.5</v>
      </c>
      <c r="L389" s="8">
        <v>0</v>
      </c>
      <c r="M389" s="1">
        <f t="shared" si="60"/>
        <v>0</v>
      </c>
      <c r="N389" s="41">
        <v>0</v>
      </c>
      <c r="O389" s="84" t="s">
        <v>275</v>
      </c>
      <c r="P389" s="24" t="s">
        <v>562</v>
      </c>
      <c r="Q389" s="7" t="s">
        <v>557</v>
      </c>
      <c r="R389" s="7"/>
      <c r="S389" s="81">
        <v>0.09</v>
      </c>
      <c r="T389" s="7">
        <v>25</v>
      </c>
      <c r="U389" s="82"/>
      <c r="V389" s="83">
        <f>ROUNDUP(E389*S389,2)</f>
        <v>44.1</v>
      </c>
      <c r="W389" s="83">
        <f>ROUNDUP(E389*0.015,2)</f>
        <v>7.35</v>
      </c>
      <c r="X389" s="82">
        <f>MAX(MIN(SUMIFS(Логистика!$C$2:$C$38,Логистика!$A$2:$A$38,"&lt;="&amp;K389,Логистика!$B$2:$B$38,"&gt;="&amp;K389)*E389,SUMIFS(Логистика!$E$2:$E$38,Логистика!$A$2:$A$38,"&lt;="&amp;K389,Логистика!$B$2:$B$38,"&gt;="&amp;K389)),SUMIFS(Логистика!$D$2:$D$38,Логистика!$A$2:$A$38,"&lt;="&amp;K389,Логистика!$B$2:$B$38,"&gt;="&amp;K389))</f>
        <v>43</v>
      </c>
      <c r="Y389" s="83">
        <f>IF(AND(E389*0.055&gt;20,E389*0.055&lt;250),ROUNDUP(E389*0.055,2),IF(E389*0.055&lt;=20,20,250))</f>
        <v>26.95</v>
      </c>
      <c r="Z389" s="83">
        <f>ROUND(M389*0.05,2)</f>
        <v>0</v>
      </c>
      <c r="AA389" s="83">
        <f>IF(N389=0,0,IF(ROUND(E389*N389,2)&gt;5,ROUND(E389*N389,2),5))</f>
        <v>0</v>
      </c>
      <c r="AB389" s="83">
        <f>IF(O389="Да",ROUND(E389*0.1111,2),0)</f>
        <v>0</v>
      </c>
      <c r="AC389" s="53">
        <f>V389+W389+T389+X389+Y389+Z389+AA389+AB389</f>
        <v>146.4</v>
      </c>
      <c r="AD389" s="8">
        <v>0</v>
      </c>
      <c r="AE389" s="36">
        <f>ROUND(E389*AD389,2)</f>
        <v>0</v>
      </c>
      <c r="AF389" s="6">
        <v>15</v>
      </c>
      <c r="AG389" s="6">
        <v>15</v>
      </c>
      <c r="AH389" s="5">
        <v>225</v>
      </c>
      <c r="AI389" s="57">
        <f>E389-AC389-AE389-AH389</f>
        <v>118.60000000000002</v>
      </c>
      <c r="AJ389" s="17">
        <f>E389-AC389</f>
        <v>343.6</v>
      </c>
      <c r="AK389" s="20">
        <f>ROUND(AI389/E389,2)</f>
        <v>0.24</v>
      </c>
      <c r="AL389" s="21">
        <f t="shared" si="58"/>
        <v>0.53</v>
      </c>
    </row>
    <row r="390" spans="1:38" x14ac:dyDescent="0.25">
      <c r="A390" s="28" t="s">
        <v>248</v>
      </c>
      <c r="B390" s="46" t="s">
        <v>252</v>
      </c>
      <c r="C390" s="31">
        <v>890</v>
      </c>
      <c r="D390" s="38">
        <v>0</v>
      </c>
      <c r="E390" s="50">
        <f t="shared" si="61"/>
        <v>890</v>
      </c>
      <c r="F390" s="24">
        <v>0.1</v>
      </c>
      <c r="G390" s="7">
        <v>12</v>
      </c>
      <c r="H390" s="7">
        <v>7.0000000000000009</v>
      </c>
      <c r="I390" s="7">
        <v>12</v>
      </c>
      <c r="J390" s="78">
        <f t="shared" si="62"/>
        <v>1.0080000000000002</v>
      </c>
      <c r="K390" s="2">
        <f t="shared" si="63"/>
        <v>0.2</v>
      </c>
      <c r="L390" s="8">
        <v>0</v>
      </c>
      <c r="M390" s="1">
        <f t="shared" si="60"/>
        <v>0</v>
      </c>
      <c r="N390" s="41">
        <v>0</v>
      </c>
      <c r="O390" s="84" t="s">
        <v>275</v>
      </c>
      <c r="P390" s="24" t="s">
        <v>562</v>
      </c>
      <c r="Q390" s="7" t="s">
        <v>557</v>
      </c>
      <c r="R390" s="7"/>
      <c r="S390" s="81">
        <v>0.09</v>
      </c>
      <c r="T390" s="7">
        <v>25</v>
      </c>
      <c r="U390" s="82"/>
      <c r="V390" s="83">
        <f>ROUNDUP(E390*S390,2)</f>
        <v>80.099999999999994</v>
      </c>
      <c r="W390" s="83">
        <f>ROUNDUP(E390*0.015,2)</f>
        <v>13.35</v>
      </c>
      <c r="X390" s="82">
        <f>MAX(MIN(SUMIFS(Логистика!$C$2:$C$38,Логистика!$A$2:$A$38,"&lt;="&amp;K390,Логистика!$B$2:$B$38,"&gt;="&amp;K390)*E390,SUMIFS(Логистика!$E$2:$E$38,Логистика!$A$2:$A$38,"&lt;="&amp;K390,Логистика!$B$2:$B$38,"&gt;="&amp;K390)),SUMIFS(Логистика!$D$2:$D$38,Логистика!$A$2:$A$38,"&lt;="&amp;K390,Логистика!$B$2:$B$38,"&gt;="&amp;K390))</f>
        <v>44.5</v>
      </c>
      <c r="Y390" s="83">
        <f>IF(AND(E390*0.055&gt;20,E390*0.055&lt;250),ROUNDUP(E390*0.055,2),IF(E390*0.055&lt;=20,20,250))</f>
        <v>48.95</v>
      </c>
      <c r="Z390" s="83">
        <f>ROUND(M390*0.05,2)</f>
        <v>0</v>
      </c>
      <c r="AA390" s="83">
        <f>IF(N390=0,0,IF(ROUND(E390*N390,2)&gt;5,ROUND(E390*N390,2),5))</f>
        <v>0</v>
      </c>
      <c r="AB390" s="83">
        <f>IF(O390="Да",ROUND(E390*0.1111,2),0)</f>
        <v>0</v>
      </c>
      <c r="AC390" s="53">
        <f>V390+W390+T390+X390+Y390+Z390+AA390+AB390</f>
        <v>211.89999999999998</v>
      </c>
      <c r="AD390" s="8">
        <v>0</v>
      </c>
      <c r="AE390" s="36">
        <f>ROUND(E390*AD390,2)</f>
        <v>0</v>
      </c>
      <c r="AF390" s="6">
        <v>15</v>
      </c>
      <c r="AG390" s="6">
        <v>15</v>
      </c>
      <c r="AH390" s="59">
        <f>AH389*2</f>
        <v>450</v>
      </c>
      <c r="AI390" s="57">
        <f>E390-AC390-AE390-AH390</f>
        <v>228.10000000000002</v>
      </c>
      <c r="AJ390" s="17">
        <f>E390-AC390</f>
        <v>678.1</v>
      </c>
      <c r="AK390" s="20">
        <f>ROUND(AI390/E390,2)</f>
        <v>0.26</v>
      </c>
      <c r="AL390" s="21">
        <f t="shared" si="58"/>
        <v>0.51</v>
      </c>
    </row>
    <row r="391" spans="1:38" x14ac:dyDescent="0.25">
      <c r="A391" s="28" t="s">
        <v>249</v>
      </c>
      <c r="B391" s="46" t="s">
        <v>253</v>
      </c>
      <c r="C391" s="31">
        <v>1310</v>
      </c>
      <c r="D391" s="38">
        <v>0</v>
      </c>
      <c r="E391" s="50">
        <f t="shared" si="61"/>
        <v>1310</v>
      </c>
      <c r="F391" s="24">
        <v>0.15</v>
      </c>
      <c r="G391" s="7">
        <v>12</v>
      </c>
      <c r="H391" s="7">
        <v>7.0000000000000009</v>
      </c>
      <c r="I391" s="7">
        <v>17</v>
      </c>
      <c r="J391" s="78">
        <f t="shared" si="62"/>
        <v>1.4280000000000002</v>
      </c>
      <c r="K391" s="2">
        <f t="shared" si="63"/>
        <v>0.3</v>
      </c>
      <c r="L391" s="8">
        <v>0</v>
      </c>
      <c r="M391" s="1">
        <f t="shared" si="60"/>
        <v>0</v>
      </c>
      <c r="N391" s="41">
        <v>0</v>
      </c>
      <c r="O391" s="84" t="s">
        <v>275</v>
      </c>
      <c r="P391" s="24" t="s">
        <v>562</v>
      </c>
      <c r="Q391" s="7" t="s">
        <v>557</v>
      </c>
      <c r="R391" s="7"/>
      <c r="S391" s="81">
        <v>0.09</v>
      </c>
      <c r="T391" s="7">
        <v>25</v>
      </c>
      <c r="U391" s="82"/>
      <c r="V391" s="83">
        <f>ROUNDUP(E391*S391,2)</f>
        <v>117.9</v>
      </c>
      <c r="W391" s="83">
        <f>ROUNDUP(E391*0.015,2)</f>
        <v>19.649999999999999</v>
      </c>
      <c r="X391" s="82">
        <f>MAX(MIN(SUMIFS(Логистика!$C$2:$C$38,Логистика!$A$2:$A$38,"&lt;="&amp;K391,Логистика!$B$2:$B$38,"&gt;="&amp;K391)*E391,SUMIFS(Логистика!$E$2:$E$38,Логистика!$A$2:$A$38,"&lt;="&amp;K391,Логистика!$B$2:$B$38,"&gt;="&amp;K391)),SUMIFS(Логистика!$D$2:$D$38,Логистика!$A$2:$A$38,"&lt;="&amp;K391,Логистика!$B$2:$B$38,"&gt;="&amp;K391))</f>
        <v>65.5</v>
      </c>
      <c r="Y391" s="83">
        <f>IF(AND(E391*0.055&gt;20,E391*0.055&lt;250),ROUNDUP(E391*0.055,2),IF(E391*0.055&lt;=20,20,250))</f>
        <v>72.05</v>
      </c>
      <c r="Z391" s="83">
        <f>ROUND(M391*0.05,2)</f>
        <v>0</v>
      </c>
      <c r="AA391" s="83">
        <f>IF(N391=0,0,IF(ROUND(E391*N391,2)&gt;5,ROUND(E391*N391,2),5))</f>
        <v>0</v>
      </c>
      <c r="AB391" s="83">
        <f>IF(O391="Да",ROUND(E391*0.1111,2),0)</f>
        <v>0</v>
      </c>
      <c r="AC391" s="53">
        <f>V391+W391+T391+X391+Y391+Z391+AA391+AB391</f>
        <v>300.10000000000002</v>
      </c>
      <c r="AD391" s="8">
        <v>0</v>
      </c>
      <c r="AE391" s="36">
        <f>ROUND(E391*AD391,2)</f>
        <v>0</v>
      </c>
      <c r="AF391" s="6">
        <v>15</v>
      </c>
      <c r="AG391" s="6">
        <v>15</v>
      </c>
      <c r="AH391" s="59">
        <f>AH389*3</f>
        <v>675</v>
      </c>
      <c r="AI391" s="57">
        <f>E391-AC391-AE391-AH391</f>
        <v>334.9</v>
      </c>
      <c r="AJ391" s="17">
        <f>E391-AC391</f>
        <v>1009.9</v>
      </c>
      <c r="AK391" s="20">
        <f>ROUND(AI391/E391,2)</f>
        <v>0.26</v>
      </c>
      <c r="AL391" s="21">
        <f t="shared" si="58"/>
        <v>0.5</v>
      </c>
    </row>
    <row r="392" spans="1:38" x14ac:dyDescent="0.25">
      <c r="A392" s="28" t="s">
        <v>250</v>
      </c>
      <c r="B392" s="46" t="s">
        <v>254</v>
      </c>
      <c r="C392" s="31">
        <v>1730</v>
      </c>
      <c r="D392" s="38">
        <v>0</v>
      </c>
      <c r="E392" s="50">
        <f t="shared" si="61"/>
        <v>1730</v>
      </c>
      <c r="F392" s="24">
        <v>0.2</v>
      </c>
      <c r="G392" s="7">
        <v>12</v>
      </c>
      <c r="H392" s="7">
        <v>7.0000000000000009</v>
      </c>
      <c r="I392" s="7">
        <v>22</v>
      </c>
      <c r="J392" s="78">
        <f t="shared" si="62"/>
        <v>1.8480000000000003</v>
      </c>
      <c r="K392" s="2">
        <f t="shared" si="63"/>
        <v>0.4</v>
      </c>
      <c r="L392" s="8">
        <v>0</v>
      </c>
      <c r="M392" s="1">
        <f t="shared" si="60"/>
        <v>0</v>
      </c>
      <c r="N392" s="41">
        <v>0</v>
      </c>
      <c r="O392" s="84" t="s">
        <v>275</v>
      </c>
      <c r="P392" s="24" t="s">
        <v>562</v>
      </c>
      <c r="Q392" s="7" t="s">
        <v>557</v>
      </c>
      <c r="R392" s="7"/>
      <c r="S392" s="81">
        <v>0.09</v>
      </c>
      <c r="T392" s="7">
        <v>25</v>
      </c>
      <c r="U392" s="82"/>
      <c r="V392" s="83">
        <f>ROUNDUP(E392*S392,2)</f>
        <v>155.69999999999999</v>
      </c>
      <c r="W392" s="83">
        <f>ROUNDUP(E392*0.015,2)</f>
        <v>25.95</v>
      </c>
      <c r="X392" s="82">
        <f>MAX(MIN(SUMIFS(Логистика!$C$2:$C$38,Логистика!$A$2:$A$38,"&lt;="&amp;K392,Логистика!$B$2:$B$38,"&gt;="&amp;K392)*E392,SUMIFS(Логистика!$E$2:$E$38,Логистика!$A$2:$A$38,"&lt;="&amp;K392,Логистика!$B$2:$B$38,"&gt;="&amp;K392)),SUMIFS(Логистика!$D$2:$D$38,Логистика!$A$2:$A$38,"&lt;="&amp;K392,Логистика!$B$2:$B$38,"&gt;="&amp;K392))</f>
        <v>86.5</v>
      </c>
      <c r="Y392" s="83">
        <f>IF(AND(E392*0.055&gt;20,E392*0.055&lt;250),ROUNDUP(E392*0.055,2),IF(E392*0.055&lt;=20,20,250))</f>
        <v>95.15</v>
      </c>
      <c r="Z392" s="83">
        <f>ROUND(M392*0.05,2)</f>
        <v>0</v>
      </c>
      <c r="AA392" s="83">
        <f>IF(N392=0,0,IF(ROUND(E392*N392,2)&gt;5,ROUND(E392*N392,2),5))</f>
        <v>0</v>
      </c>
      <c r="AB392" s="83">
        <f>IF(O392="Да",ROUND(E392*0.1111,2),0)</f>
        <v>0</v>
      </c>
      <c r="AC392" s="53">
        <f>V392+W392+T392+X392+Y392+Z392+AA392+AB392</f>
        <v>388.29999999999995</v>
      </c>
      <c r="AD392" s="8">
        <v>0</v>
      </c>
      <c r="AE392" s="36">
        <f>ROUND(E392*AD392,2)</f>
        <v>0</v>
      </c>
      <c r="AF392" s="6">
        <v>15</v>
      </c>
      <c r="AG392" s="6">
        <v>15</v>
      </c>
      <c r="AH392" s="59">
        <f>AH389*4</f>
        <v>900</v>
      </c>
      <c r="AI392" s="57">
        <f>E392-AC392-AE392-AH392</f>
        <v>441.70000000000005</v>
      </c>
      <c r="AJ392" s="17">
        <f>E392-AC392</f>
        <v>1341.7</v>
      </c>
      <c r="AK392" s="20">
        <f>ROUND(AI392/E392,2)</f>
        <v>0.26</v>
      </c>
      <c r="AL392" s="21">
        <f t="shared" si="58"/>
        <v>0.49</v>
      </c>
    </row>
    <row r="393" spans="1:38" x14ac:dyDescent="0.25">
      <c r="A393" s="28" t="s">
        <v>251</v>
      </c>
      <c r="B393" s="46" t="s">
        <v>255</v>
      </c>
      <c r="C393" s="31">
        <v>2150</v>
      </c>
      <c r="D393" s="38">
        <v>0</v>
      </c>
      <c r="E393" s="50">
        <f t="shared" si="61"/>
        <v>2150</v>
      </c>
      <c r="F393" s="24">
        <v>0.25</v>
      </c>
      <c r="G393" s="7">
        <v>12</v>
      </c>
      <c r="H393" s="7">
        <v>7.0000000000000009</v>
      </c>
      <c r="I393" s="7">
        <v>27</v>
      </c>
      <c r="J393" s="78">
        <f t="shared" si="62"/>
        <v>2.2680000000000002</v>
      </c>
      <c r="K393" s="2">
        <f t="shared" si="63"/>
        <v>0.5</v>
      </c>
      <c r="L393" s="8">
        <v>0</v>
      </c>
      <c r="M393" s="1">
        <f t="shared" si="60"/>
        <v>0</v>
      </c>
      <c r="N393" s="41">
        <v>0</v>
      </c>
      <c r="O393" s="84" t="s">
        <v>275</v>
      </c>
      <c r="P393" s="24" t="s">
        <v>562</v>
      </c>
      <c r="Q393" s="7" t="s">
        <v>557</v>
      </c>
      <c r="R393" s="7"/>
      <c r="S393" s="81">
        <v>0.09</v>
      </c>
      <c r="T393" s="7">
        <v>25</v>
      </c>
      <c r="U393" s="82"/>
      <c r="V393" s="83">
        <f>ROUNDUP(E393*S393,2)</f>
        <v>193.5</v>
      </c>
      <c r="W393" s="83">
        <f>ROUNDUP(E393*0.015,2)</f>
        <v>32.25</v>
      </c>
      <c r="X393" s="82">
        <f>MAX(MIN(SUMIFS(Логистика!$C$2:$C$38,Логистика!$A$2:$A$38,"&lt;="&amp;K393,Логистика!$B$2:$B$38,"&gt;="&amp;K393)*E393,SUMIFS(Логистика!$E$2:$E$38,Логистика!$A$2:$A$38,"&lt;="&amp;K393,Логистика!$B$2:$B$38,"&gt;="&amp;K393)),SUMIFS(Логистика!$D$2:$D$38,Логистика!$A$2:$A$38,"&lt;="&amp;K393,Логистика!$B$2:$B$38,"&gt;="&amp;K393))</f>
        <v>107.5</v>
      </c>
      <c r="Y393" s="83">
        <f>IF(AND(E393*0.055&gt;20,E393*0.055&lt;250),ROUNDUP(E393*0.055,2),IF(E393*0.055&lt;=20,20,250))</f>
        <v>118.25</v>
      </c>
      <c r="Z393" s="83">
        <f>ROUND(M393*0.05,2)</f>
        <v>0</v>
      </c>
      <c r="AA393" s="83">
        <f>IF(N393=0,0,IF(ROUND(E393*N393,2)&gt;5,ROUND(E393*N393,2),5))</f>
        <v>0</v>
      </c>
      <c r="AB393" s="83">
        <f>IF(O393="Да",ROUND(E393*0.1111,2),0)</f>
        <v>0</v>
      </c>
      <c r="AC393" s="53">
        <f>V393+W393+T393+X393+Y393+Z393+AA393+AB393</f>
        <v>476.5</v>
      </c>
      <c r="AD393" s="8">
        <v>0</v>
      </c>
      <c r="AE393" s="36">
        <f>ROUND(E393*AD393,2)</f>
        <v>0</v>
      </c>
      <c r="AF393" s="6">
        <v>15</v>
      </c>
      <c r="AG393" s="6">
        <v>15</v>
      </c>
      <c r="AH393" s="59">
        <f>AH389*5</f>
        <v>1125</v>
      </c>
      <c r="AI393" s="57">
        <f>E393-AC393-AE393-AH393</f>
        <v>548.5</v>
      </c>
      <c r="AJ393" s="17">
        <f>E393-AC393</f>
        <v>1673.5</v>
      </c>
      <c r="AK393" s="20">
        <f>ROUND(AI393/E393,2)</f>
        <v>0.26</v>
      </c>
      <c r="AL393" s="21">
        <f t="shared" si="58"/>
        <v>0.49</v>
      </c>
    </row>
    <row r="394" spans="1:38" x14ac:dyDescent="0.25">
      <c r="A394" s="28"/>
      <c r="B394" s="46"/>
      <c r="C394" s="47"/>
      <c r="D394" s="38">
        <v>0</v>
      </c>
      <c r="E394" s="50">
        <f t="shared" si="61"/>
        <v>0</v>
      </c>
      <c r="F394" s="24"/>
      <c r="G394" s="7">
        <v>0</v>
      </c>
      <c r="H394" s="7">
        <v>0</v>
      </c>
      <c r="I394" s="7">
        <v>0</v>
      </c>
      <c r="J394" s="78">
        <f t="shared" si="62"/>
        <v>0</v>
      </c>
      <c r="K394" s="2">
        <f t="shared" si="63"/>
        <v>0</v>
      </c>
      <c r="L394" s="8">
        <v>0</v>
      </c>
      <c r="M394" s="1">
        <f t="shared" si="60"/>
        <v>0</v>
      </c>
      <c r="N394" s="41">
        <v>0</v>
      </c>
      <c r="O394" s="84" t="s">
        <v>275</v>
      </c>
      <c r="P394" s="24" t="s">
        <v>562</v>
      </c>
      <c r="Q394" s="7" t="s">
        <v>557</v>
      </c>
      <c r="R394" s="7"/>
      <c r="S394" s="81"/>
      <c r="T394" s="7">
        <v>25</v>
      </c>
      <c r="U394" s="82"/>
      <c r="V394" s="83">
        <f>ROUNDUP(E394*S394,2)</f>
        <v>0</v>
      </c>
      <c r="W394" s="83">
        <f>ROUNDUP(E394*0.015,2)</f>
        <v>0</v>
      </c>
      <c r="X394" s="82">
        <f>MAX(MIN(SUMIFS(Логистика!$C$2:$C$38,Логистика!$A$2:$A$38,"&lt;="&amp;K394,Логистика!$B$2:$B$38,"&gt;="&amp;K394)*E394,SUMIFS(Логистика!$E$2:$E$38,Логистика!$A$2:$A$38,"&lt;="&amp;K394,Логистика!$B$2:$B$38,"&gt;="&amp;K394)),SUMIFS(Логистика!$D$2:$D$38,Логистика!$A$2:$A$38,"&lt;="&amp;K394,Логистика!$B$2:$B$38,"&gt;="&amp;K394))</f>
        <v>0</v>
      </c>
      <c r="Y394" s="83">
        <f>IF(AND(E394*0.055&gt;20,E394*0.055&lt;250),ROUNDUP(E394*0.055,2),IF(E394*0.055&lt;=20,20,250))</f>
        <v>20</v>
      </c>
      <c r="Z394" s="83">
        <f>ROUND(M394*0.05,2)</f>
        <v>0</v>
      </c>
      <c r="AA394" s="83">
        <f>IF(N394=0,0,IF(ROUND(E394*N394,2)&gt;5,ROUND(E394*N394,2),5))</f>
        <v>0</v>
      </c>
      <c r="AB394" s="83">
        <f>IF(O394="Да",ROUND(E394*0.1111,2),0)</f>
        <v>0</v>
      </c>
      <c r="AC394" s="53">
        <f>V394+W394+T394+X394+Y394+Z394+AA394+AB394</f>
        <v>45</v>
      </c>
      <c r="AD394" s="8">
        <v>0</v>
      </c>
      <c r="AE394" s="36">
        <f>ROUND(E394*AD394,2)</f>
        <v>0</v>
      </c>
      <c r="AF394" s="6">
        <v>15</v>
      </c>
      <c r="AG394" s="6">
        <v>15</v>
      </c>
      <c r="AH394" s="5"/>
      <c r="AI394" s="57">
        <f>E394-AC394-AE394-AH394</f>
        <v>-45</v>
      </c>
      <c r="AJ394" s="17">
        <f>E394-AC394</f>
        <v>-45</v>
      </c>
      <c r="AK394" s="20" t="e">
        <f>ROUND(AI394/E394,2)</f>
        <v>#DIV/0!</v>
      </c>
      <c r="AL394" s="21" t="e">
        <f t="shared" si="58"/>
        <v>#DIV/0!</v>
      </c>
    </row>
    <row r="395" spans="1:38" x14ac:dyDescent="0.25">
      <c r="A395" s="28"/>
      <c r="B395" s="46"/>
      <c r="C395" s="47"/>
      <c r="D395" s="38">
        <v>0</v>
      </c>
      <c r="E395" s="50">
        <f t="shared" si="61"/>
        <v>0</v>
      </c>
      <c r="F395" s="24"/>
      <c r="G395" s="7">
        <v>0</v>
      </c>
      <c r="H395" s="7">
        <v>0</v>
      </c>
      <c r="I395" s="7">
        <v>0</v>
      </c>
      <c r="J395" s="78">
        <f t="shared" si="62"/>
        <v>0</v>
      </c>
      <c r="K395" s="2">
        <f t="shared" si="63"/>
        <v>0</v>
      </c>
      <c r="L395" s="8">
        <v>0</v>
      </c>
      <c r="M395" s="1">
        <f t="shared" si="60"/>
        <v>0</v>
      </c>
      <c r="N395" s="41">
        <v>0</v>
      </c>
      <c r="O395" s="84" t="s">
        <v>275</v>
      </c>
      <c r="P395" s="24" t="s">
        <v>562</v>
      </c>
      <c r="Q395" s="7" t="s">
        <v>557</v>
      </c>
      <c r="R395" s="7"/>
      <c r="S395" s="81"/>
      <c r="T395" s="7">
        <v>25</v>
      </c>
      <c r="U395" s="82"/>
      <c r="V395" s="83">
        <f>ROUNDUP(E395*S395,2)</f>
        <v>0</v>
      </c>
      <c r="W395" s="83">
        <f>ROUNDUP(E395*0.015,2)</f>
        <v>0</v>
      </c>
      <c r="X395" s="82">
        <f>MAX(MIN(SUMIFS(Логистика!$C$2:$C$38,Логистика!$A$2:$A$38,"&lt;="&amp;K395,Логистика!$B$2:$B$38,"&gt;="&amp;K395)*E395,SUMIFS(Логистика!$E$2:$E$38,Логистика!$A$2:$A$38,"&lt;="&amp;K395,Логистика!$B$2:$B$38,"&gt;="&amp;K395)),SUMIFS(Логистика!$D$2:$D$38,Логистика!$A$2:$A$38,"&lt;="&amp;K395,Логистика!$B$2:$B$38,"&gt;="&amp;K395))</f>
        <v>0</v>
      </c>
      <c r="Y395" s="83">
        <f>IF(AND(E395*0.055&gt;20,E395*0.055&lt;250),ROUNDUP(E395*0.055,2),IF(E395*0.055&lt;=20,20,250))</f>
        <v>20</v>
      </c>
      <c r="Z395" s="83">
        <f>ROUND(M395*0.05,2)</f>
        <v>0</v>
      </c>
      <c r="AA395" s="83">
        <f>IF(N395=0,0,IF(ROUND(E395*N395,2)&gt;5,ROUND(E395*N395,2),5))</f>
        <v>0</v>
      </c>
      <c r="AB395" s="83">
        <f>IF(O395="Да",ROUND(E395*0.1111,2),0)</f>
        <v>0</v>
      </c>
      <c r="AC395" s="53">
        <f>V395+W395+T395+X395+Y395+Z395+AA395+AB395</f>
        <v>45</v>
      </c>
      <c r="AD395" s="8">
        <v>0</v>
      </c>
      <c r="AE395" s="36">
        <f>ROUND(E395*AD395,2)</f>
        <v>0</v>
      </c>
      <c r="AF395" s="6">
        <v>15</v>
      </c>
      <c r="AG395" s="6">
        <v>15</v>
      </c>
      <c r="AH395" s="5"/>
      <c r="AI395" s="57">
        <f>E395-AC395-AE395-AH395</f>
        <v>-45</v>
      </c>
      <c r="AJ395" s="17">
        <f>E395-AC395</f>
        <v>-45</v>
      </c>
      <c r="AK395" s="20" t="e">
        <f>ROUND(AI395/E395,2)</f>
        <v>#DIV/0!</v>
      </c>
      <c r="AL395" s="21" t="e">
        <f t="shared" si="58"/>
        <v>#DIV/0!</v>
      </c>
    </row>
    <row r="396" spans="1:38" x14ac:dyDescent="0.25">
      <c r="A396" s="28"/>
      <c r="B396" s="46"/>
      <c r="C396" s="47"/>
      <c r="D396" s="38">
        <v>0</v>
      </c>
      <c r="E396" s="50">
        <f t="shared" si="61"/>
        <v>0</v>
      </c>
      <c r="F396" s="24"/>
      <c r="G396" s="7">
        <v>0</v>
      </c>
      <c r="H396" s="7">
        <v>0</v>
      </c>
      <c r="I396" s="7">
        <v>0</v>
      </c>
      <c r="J396" s="78">
        <f t="shared" si="62"/>
        <v>0</v>
      </c>
      <c r="K396" s="2">
        <f t="shared" si="63"/>
        <v>0</v>
      </c>
      <c r="L396" s="8">
        <v>0</v>
      </c>
      <c r="M396" s="1">
        <f t="shared" si="60"/>
        <v>0</v>
      </c>
      <c r="N396" s="41">
        <v>0</v>
      </c>
      <c r="O396" s="84" t="s">
        <v>275</v>
      </c>
      <c r="P396" s="24" t="s">
        <v>562</v>
      </c>
      <c r="Q396" s="7" t="s">
        <v>557</v>
      </c>
      <c r="R396" s="7"/>
      <c r="S396" s="81"/>
      <c r="T396" s="7">
        <v>25</v>
      </c>
      <c r="U396" s="82"/>
      <c r="V396" s="83">
        <f>ROUNDUP(E396*S396,2)</f>
        <v>0</v>
      </c>
      <c r="W396" s="83">
        <f>ROUNDUP(E396*0.015,2)</f>
        <v>0</v>
      </c>
      <c r="X396" s="82">
        <f>MAX(MIN(SUMIFS(Логистика!$C$2:$C$38,Логистика!$A$2:$A$38,"&lt;="&amp;K396,Логистика!$B$2:$B$38,"&gt;="&amp;K396)*E396,SUMIFS(Логистика!$E$2:$E$38,Логистика!$A$2:$A$38,"&lt;="&amp;K396,Логистика!$B$2:$B$38,"&gt;="&amp;K396)),SUMIFS(Логистика!$D$2:$D$38,Логистика!$A$2:$A$38,"&lt;="&amp;K396,Логистика!$B$2:$B$38,"&gt;="&amp;K396))</f>
        <v>0</v>
      </c>
      <c r="Y396" s="83">
        <f>IF(AND(E396*0.055&gt;20,E396*0.055&lt;250),ROUNDUP(E396*0.055,2),IF(E396*0.055&lt;=20,20,250))</f>
        <v>20</v>
      </c>
      <c r="Z396" s="83">
        <f>ROUND(M396*0.05,2)</f>
        <v>0</v>
      </c>
      <c r="AA396" s="83">
        <f>IF(N396=0,0,IF(ROUND(E396*N396,2)&gt;5,ROUND(E396*N396,2),5))</f>
        <v>0</v>
      </c>
      <c r="AB396" s="83">
        <f>IF(O396="Да",ROUND(E396*0.1111,2),0)</f>
        <v>0</v>
      </c>
      <c r="AC396" s="53">
        <f>V396+W396+T396+X396+Y396+Z396+AA396+AB396</f>
        <v>45</v>
      </c>
      <c r="AD396" s="8">
        <v>0</v>
      </c>
      <c r="AE396" s="36">
        <f>ROUND(E396*AD396,2)</f>
        <v>0</v>
      </c>
      <c r="AF396" s="6">
        <v>15</v>
      </c>
      <c r="AG396" s="6">
        <v>15</v>
      </c>
      <c r="AH396" s="5"/>
      <c r="AI396" s="57">
        <f>E396-AC396-AE396-AH396</f>
        <v>-45</v>
      </c>
      <c r="AJ396" s="17">
        <f>E396-AC396</f>
        <v>-45</v>
      </c>
      <c r="AK396" s="20" t="e">
        <f>ROUND(AI396/E396,2)</f>
        <v>#DIV/0!</v>
      </c>
      <c r="AL396" s="21" t="e">
        <f t="shared" si="58"/>
        <v>#DIV/0!</v>
      </c>
    </row>
    <row r="397" spans="1:38" x14ac:dyDescent="0.25">
      <c r="A397" s="28"/>
      <c r="B397" s="46"/>
      <c r="C397" s="47"/>
      <c r="D397" s="38">
        <v>0</v>
      </c>
      <c r="E397" s="50">
        <f t="shared" si="61"/>
        <v>0</v>
      </c>
      <c r="F397" s="24"/>
      <c r="G397" s="7">
        <v>0</v>
      </c>
      <c r="H397" s="7">
        <v>0</v>
      </c>
      <c r="I397" s="7">
        <v>0</v>
      </c>
      <c r="J397" s="78">
        <f t="shared" si="62"/>
        <v>0</v>
      </c>
      <c r="K397" s="2">
        <f t="shared" si="63"/>
        <v>0</v>
      </c>
      <c r="L397" s="8">
        <v>0</v>
      </c>
      <c r="M397" s="1">
        <f t="shared" si="60"/>
        <v>0</v>
      </c>
      <c r="N397" s="41">
        <v>0</v>
      </c>
      <c r="O397" s="84" t="s">
        <v>275</v>
      </c>
      <c r="P397" s="24" t="s">
        <v>562</v>
      </c>
      <c r="Q397" s="7" t="s">
        <v>557</v>
      </c>
      <c r="R397" s="7"/>
      <c r="S397" s="81"/>
      <c r="T397" s="7">
        <v>25</v>
      </c>
      <c r="U397" s="82"/>
      <c r="V397" s="83">
        <f>ROUNDUP(E397*S397,2)</f>
        <v>0</v>
      </c>
      <c r="W397" s="83">
        <f>ROUNDUP(E397*0.015,2)</f>
        <v>0</v>
      </c>
      <c r="X397" s="82">
        <f>MAX(MIN(SUMIFS(Логистика!$C$2:$C$38,Логистика!$A$2:$A$38,"&lt;="&amp;K397,Логистика!$B$2:$B$38,"&gt;="&amp;K397)*E397,SUMIFS(Логистика!$E$2:$E$38,Логистика!$A$2:$A$38,"&lt;="&amp;K397,Логистика!$B$2:$B$38,"&gt;="&amp;K397)),SUMIFS(Логистика!$D$2:$D$38,Логистика!$A$2:$A$38,"&lt;="&amp;K397,Логистика!$B$2:$B$38,"&gt;="&amp;K397))</f>
        <v>0</v>
      </c>
      <c r="Y397" s="83">
        <f>IF(AND(E397*0.055&gt;20,E397*0.055&lt;250),ROUNDUP(E397*0.055,2),IF(E397*0.055&lt;=20,20,250))</f>
        <v>20</v>
      </c>
      <c r="Z397" s="83">
        <f>ROUND(M397*0.05,2)</f>
        <v>0</v>
      </c>
      <c r="AA397" s="83">
        <f>IF(N397=0,0,IF(ROUND(E397*N397,2)&gt;5,ROUND(E397*N397,2),5))</f>
        <v>0</v>
      </c>
      <c r="AB397" s="83">
        <f>IF(O397="Да",ROUND(E397*0.1111,2),0)</f>
        <v>0</v>
      </c>
      <c r="AC397" s="53">
        <f>V397+W397+T397+X397+Y397+Z397+AA397+AB397</f>
        <v>45</v>
      </c>
      <c r="AD397" s="8">
        <v>0</v>
      </c>
      <c r="AE397" s="36">
        <f>ROUND(E397*AD397,2)</f>
        <v>0</v>
      </c>
      <c r="AF397" s="6">
        <v>15</v>
      </c>
      <c r="AG397" s="6">
        <v>15</v>
      </c>
      <c r="AH397" s="5"/>
      <c r="AI397" s="57">
        <f>E397-AC397-AE397-AH397</f>
        <v>-45</v>
      </c>
      <c r="AJ397" s="17">
        <f>E397-AC397</f>
        <v>-45</v>
      </c>
      <c r="AK397" s="20" t="e">
        <f>ROUND(AI397/E397,2)</f>
        <v>#DIV/0!</v>
      </c>
      <c r="AL397" s="21" t="e">
        <f t="shared" si="58"/>
        <v>#DIV/0!</v>
      </c>
    </row>
    <row r="398" spans="1:38" x14ac:dyDescent="0.25">
      <c r="A398" s="28"/>
      <c r="B398" s="46"/>
      <c r="C398" s="47"/>
      <c r="D398" s="38">
        <v>0</v>
      </c>
      <c r="E398" s="50">
        <f t="shared" si="61"/>
        <v>0</v>
      </c>
      <c r="F398" s="24"/>
      <c r="G398" s="7">
        <v>0</v>
      </c>
      <c r="H398" s="7">
        <v>0</v>
      </c>
      <c r="I398" s="7">
        <v>0</v>
      </c>
      <c r="J398" s="78">
        <f t="shared" si="62"/>
        <v>0</v>
      </c>
      <c r="K398" s="2">
        <f t="shared" si="63"/>
        <v>0</v>
      </c>
      <c r="L398" s="8">
        <v>0</v>
      </c>
      <c r="M398" s="1">
        <f t="shared" si="60"/>
        <v>0</v>
      </c>
      <c r="N398" s="41">
        <v>0</v>
      </c>
      <c r="O398" s="84" t="s">
        <v>275</v>
      </c>
      <c r="P398" s="24" t="s">
        <v>562</v>
      </c>
      <c r="Q398" s="7" t="s">
        <v>557</v>
      </c>
      <c r="R398" s="7"/>
      <c r="S398" s="81"/>
      <c r="T398" s="7">
        <v>25</v>
      </c>
      <c r="U398" s="82"/>
      <c r="V398" s="83">
        <f>ROUNDUP(E398*S398,2)</f>
        <v>0</v>
      </c>
      <c r="W398" s="83">
        <f>ROUNDUP(E398*0.015,2)</f>
        <v>0</v>
      </c>
      <c r="X398" s="82">
        <f>MAX(MIN(SUMIFS(Логистика!$C$2:$C$38,Логистика!$A$2:$A$38,"&lt;="&amp;K398,Логистика!$B$2:$B$38,"&gt;="&amp;K398)*E398,SUMIFS(Логистика!$E$2:$E$38,Логистика!$A$2:$A$38,"&lt;="&amp;K398,Логистика!$B$2:$B$38,"&gt;="&amp;K398)),SUMIFS(Логистика!$D$2:$D$38,Логистика!$A$2:$A$38,"&lt;="&amp;K398,Логистика!$B$2:$B$38,"&gt;="&amp;K398))</f>
        <v>0</v>
      </c>
      <c r="Y398" s="83">
        <f>IF(AND(E398*0.055&gt;20,E398*0.055&lt;250),ROUNDUP(E398*0.055,2),IF(E398*0.055&lt;=20,20,250))</f>
        <v>20</v>
      </c>
      <c r="Z398" s="83">
        <f>ROUND(M398*0.05,2)</f>
        <v>0</v>
      </c>
      <c r="AA398" s="83">
        <f>IF(N398=0,0,IF(ROUND(E398*N398,2)&gt;5,ROUND(E398*N398,2),5))</f>
        <v>0</v>
      </c>
      <c r="AB398" s="83">
        <f>IF(O398="Да",ROUND(E398*0.1111,2),0)</f>
        <v>0</v>
      </c>
      <c r="AC398" s="53">
        <f>V398+W398+T398+X398+Y398+Z398+AA398+AB398</f>
        <v>45</v>
      </c>
      <c r="AD398" s="8">
        <v>0</v>
      </c>
      <c r="AE398" s="36">
        <f>ROUND(E398*AD398,2)</f>
        <v>0</v>
      </c>
      <c r="AF398" s="6">
        <v>15</v>
      </c>
      <c r="AG398" s="6">
        <v>15</v>
      </c>
      <c r="AH398" s="5"/>
      <c r="AI398" s="57">
        <f>E398-AC398-AE398-AH398</f>
        <v>-45</v>
      </c>
      <c r="AJ398" s="17">
        <f>E398-AC398</f>
        <v>-45</v>
      </c>
      <c r="AK398" s="20" t="e">
        <f>ROUND(AI398/E398,2)</f>
        <v>#DIV/0!</v>
      </c>
      <c r="AL398" s="21" t="e">
        <f t="shared" si="58"/>
        <v>#DIV/0!</v>
      </c>
    </row>
    <row r="399" spans="1:38" x14ac:dyDescent="0.25">
      <c r="A399" s="28"/>
      <c r="B399" s="46"/>
      <c r="C399" s="47"/>
      <c r="D399" s="38">
        <v>0</v>
      </c>
      <c r="E399" s="50">
        <f t="shared" si="61"/>
        <v>0</v>
      </c>
      <c r="F399" s="24"/>
      <c r="G399" s="7">
        <v>0</v>
      </c>
      <c r="H399" s="7">
        <v>0</v>
      </c>
      <c r="I399" s="7">
        <v>0</v>
      </c>
      <c r="J399" s="78">
        <f t="shared" si="62"/>
        <v>0</v>
      </c>
      <c r="K399" s="2">
        <f t="shared" si="63"/>
        <v>0</v>
      </c>
      <c r="L399" s="8">
        <v>0</v>
      </c>
      <c r="M399" s="1">
        <f t="shared" si="60"/>
        <v>0</v>
      </c>
      <c r="N399" s="41">
        <v>0</v>
      </c>
      <c r="O399" s="84" t="s">
        <v>275</v>
      </c>
      <c r="P399" s="24" t="s">
        <v>562</v>
      </c>
      <c r="Q399" s="7" t="s">
        <v>557</v>
      </c>
      <c r="R399" s="7"/>
      <c r="S399" s="81"/>
      <c r="T399" s="7">
        <v>25</v>
      </c>
      <c r="U399" s="82"/>
      <c r="V399" s="83">
        <f>ROUNDUP(E399*S399,2)</f>
        <v>0</v>
      </c>
      <c r="W399" s="83">
        <f>ROUNDUP(E399*0.015,2)</f>
        <v>0</v>
      </c>
      <c r="X399" s="82">
        <f>MAX(MIN(SUMIFS(Логистика!$C$2:$C$38,Логистика!$A$2:$A$38,"&lt;="&amp;K399,Логистика!$B$2:$B$38,"&gt;="&amp;K399)*E399,SUMIFS(Логистика!$E$2:$E$38,Логистика!$A$2:$A$38,"&lt;="&amp;K399,Логистика!$B$2:$B$38,"&gt;="&amp;K399)),SUMIFS(Логистика!$D$2:$D$38,Логистика!$A$2:$A$38,"&lt;="&amp;K399,Логистика!$B$2:$B$38,"&gt;="&amp;K399))</f>
        <v>0</v>
      </c>
      <c r="Y399" s="83">
        <f>IF(AND(E399*0.055&gt;20,E399*0.055&lt;250),ROUNDUP(E399*0.055,2),IF(E399*0.055&lt;=20,20,250))</f>
        <v>20</v>
      </c>
      <c r="Z399" s="83">
        <f>ROUND(M399*0.05,2)</f>
        <v>0</v>
      </c>
      <c r="AA399" s="83">
        <f>IF(N399=0,0,IF(ROUND(E399*N399,2)&gt;5,ROUND(E399*N399,2),5))</f>
        <v>0</v>
      </c>
      <c r="AB399" s="83">
        <f>IF(O399="Да",ROUND(E399*0.1111,2),0)</f>
        <v>0</v>
      </c>
      <c r="AC399" s="53">
        <f>V399+W399+T399+X399+Y399+Z399+AA399+AB399</f>
        <v>45</v>
      </c>
      <c r="AD399" s="8">
        <v>0</v>
      </c>
      <c r="AE399" s="36">
        <f>ROUND(E399*AD399,2)</f>
        <v>0</v>
      </c>
      <c r="AF399" s="6">
        <v>15</v>
      </c>
      <c r="AG399" s="6">
        <v>15</v>
      </c>
      <c r="AH399" s="5"/>
      <c r="AI399" s="57">
        <f>E399-AC399-AE399-AH399</f>
        <v>-45</v>
      </c>
      <c r="AJ399" s="17">
        <f>E399-AC399</f>
        <v>-45</v>
      </c>
      <c r="AK399" s="20" t="e">
        <f>ROUND(AI399/E399,2)</f>
        <v>#DIV/0!</v>
      </c>
      <c r="AL399" s="21" t="e">
        <f t="shared" si="58"/>
        <v>#DIV/0!</v>
      </c>
    </row>
    <row r="400" spans="1:38" x14ac:dyDescent="0.25">
      <c r="A400" s="28"/>
      <c r="B400" s="46"/>
      <c r="C400" s="47"/>
      <c r="D400" s="38">
        <v>0</v>
      </c>
      <c r="E400" s="50">
        <f t="shared" si="61"/>
        <v>0</v>
      </c>
      <c r="F400" s="24"/>
      <c r="G400" s="7">
        <v>0</v>
      </c>
      <c r="H400" s="7">
        <v>0</v>
      </c>
      <c r="I400" s="7">
        <v>0</v>
      </c>
      <c r="J400" s="78">
        <f t="shared" si="62"/>
        <v>0</v>
      </c>
      <c r="K400" s="2">
        <f t="shared" si="63"/>
        <v>0</v>
      </c>
      <c r="L400" s="8">
        <v>0</v>
      </c>
      <c r="M400" s="1">
        <f t="shared" si="60"/>
        <v>0</v>
      </c>
      <c r="N400" s="41">
        <v>0</v>
      </c>
      <c r="O400" s="84" t="s">
        <v>275</v>
      </c>
      <c r="P400" s="24" t="s">
        <v>562</v>
      </c>
      <c r="Q400" s="7" t="s">
        <v>557</v>
      </c>
      <c r="R400" s="7"/>
      <c r="S400" s="81"/>
      <c r="T400" s="7">
        <v>25</v>
      </c>
      <c r="U400" s="82"/>
      <c r="V400" s="83">
        <f>ROUNDUP(E400*S400,2)</f>
        <v>0</v>
      </c>
      <c r="W400" s="83">
        <f>ROUNDUP(E400*0.015,2)</f>
        <v>0</v>
      </c>
      <c r="X400" s="82">
        <f>MAX(MIN(SUMIFS(Логистика!$C$2:$C$38,Логистика!$A$2:$A$38,"&lt;="&amp;K400,Логистика!$B$2:$B$38,"&gt;="&amp;K400)*E400,SUMIFS(Логистика!$E$2:$E$38,Логистика!$A$2:$A$38,"&lt;="&amp;K400,Логистика!$B$2:$B$38,"&gt;="&amp;K400)),SUMIFS(Логистика!$D$2:$D$38,Логистика!$A$2:$A$38,"&lt;="&amp;K400,Логистика!$B$2:$B$38,"&gt;="&amp;K400))</f>
        <v>0</v>
      </c>
      <c r="Y400" s="83">
        <f>IF(AND(E400*0.055&gt;20,E400*0.055&lt;250),ROUNDUP(E400*0.055,2),IF(E400*0.055&lt;=20,20,250))</f>
        <v>20</v>
      </c>
      <c r="Z400" s="83">
        <f>ROUND(M400*0.05,2)</f>
        <v>0</v>
      </c>
      <c r="AA400" s="83">
        <f>IF(N400=0,0,IF(ROUND(E400*N400,2)&gt;5,ROUND(E400*N400,2),5))</f>
        <v>0</v>
      </c>
      <c r="AB400" s="83">
        <f>IF(O400="Да",ROUND(E400*0.1111,2),0)</f>
        <v>0</v>
      </c>
      <c r="AC400" s="53">
        <f>V400+W400+T400+X400+Y400+Z400+AA400+AB400</f>
        <v>45</v>
      </c>
      <c r="AD400" s="8">
        <v>0</v>
      </c>
      <c r="AE400" s="36">
        <f>ROUND(E400*AD400,2)</f>
        <v>0</v>
      </c>
      <c r="AF400" s="6">
        <v>15</v>
      </c>
      <c r="AG400" s="6">
        <v>15</v>
      </c>
      <c r="AH400" s="5"/>
      <c r="AI400" s="57">
        <f>E400-AC400-AE400-AH400</f>
        <v>-45</v>
      </c>
      <c r="AJ400" s="17">
        <f>E400-AC400</f>
        <v>-45</v>
      </c>
      <c r="AK400" s="20" t="e">
        <f>ROUND(AI400/E400,2)</f>
        <v>#DIV/0!</v>
      </c>
      <c r="AL400" s="21" t="e">
        <f t="shared" si="58"/>
        <v>#DIV/0!</v>
      </c>
    </row>
    <row r="401" spans="1:38" x14ac:dyDescent="0.25">
      <c r="A401" s="28"/>
      <c r="B401" s="46"/>
      <c r="C401" s="47"/>
      <c r="D401" s="38">
        <v>0</v>
      </c>
      <c r="E401" s="50">
        <f t="shared" si="61"/>
        <v>0</v>
      </c>
      <c r="F401" s="24"/>
      <c r="G401" s="7">
        <v>0</v>
      </c>
      <c r="H401" s="7">
        <v>0</v>
      </c>
      <c r="I401" s="7">
        <v>0</v>
      </c>
      <c r="J401" s="78">
        <f t="shared" si="62"/>
        <v>0</v>
      </c>
      <c r="K401" s="2">
        <f t="shared" si="63"/>
        <v>0</v>
      </c>
      <c r="L401" s="8">
        <v>0</v>
      </c>
      <c r="M401" s="1">
        <f t="shared" si="60"/>
        <v>0</v>
      </c>
      <c r="N401" s="41">
        <v>0</v>
      </c>
      <c r="O401" s="84" t="s">
        <v>275</v>
      </c>
      <c r="P401" s="24" t="s">
        <v>562</v>
      </c>
      <c r="Q401" s="7" t="s">
        <v>557</v>
      </c>
      <c r="R401" s="7"/>
      <c r="S401" s="81"/>
      <c r="T401" s="7">
        <v>25</v>
      </c>
      <c r="U401" s="82"/>
      <c r="V401" s="83">
        <f>ROUNDUP(E401*S401,2)</f>
        <v>0</v>
      </c>
      <c r="W401" s="83">
        <f>ROUNDUP(E401*0.015,2)</f>
        <v>0</v>
      </c>
      <c r="X401" s="82">
        <f>MAX(MIN(SUMIFS(Логистика!$C$2:$C$38,Логистика!$A$2:$A$38,"&lt;="&amp;K401,Логистика!$B$2:$B$38,"&gt;="&amp;K401)*E401,SUMIFS(Логистика!$E$2:$E$38,Логистика!$A$2:$A$38,"&lt;="&amp;K401,Логистика!$B$2:$B$38,"&gt;="&amp;K401)),SUMIFS(Логистика!$D$2:$D$38,Логистика!$A$2:$A$38,"&lt;="&amp;K401,Логистика!$B$2:$B$38,"&gt;="&amp;K401))</f>
        <v>0</v>
      </c>
      <c r="Y401" s="83">
        <f>IF(AND(E401*0.055&gt;20,E401*0.055&lt;250),ROUNDUP(E401*0.055,2),IF(E401*0.055&lt;=20,20,250))</f>
        <v>20</v>
      </c>
      <c r="Z401" s="83">
        <f>ROUND(M401*0.05,2)</f>
        <v>0</v>
      </c>
      <c r="AA401" s="83">
        <f>IF(N401=0,0,IF(ROUND(E401*N401,2)&gt;5,ROUND(E401*N401,2),5))</f>
        <v>0</v>
      </c>
      <c r="AB401" s="83">
        <f>IF(O401="Да",ROUND(E401*0.1111,2),0)</f>
        <v>0</v>
      </c>
      <c r="AC401" s="53">
        <f>V401+W401+T401+X401+Y401+Z401+AA401+AB401</f>
        <v>45</v>
      </c>
      <c r="AD401" s="8">
        <v>0</v>
      </c>
      <c r="AE401" s="36">
        <f>ROUND(E401*AD401,2)</f>
        <v>0</v>
      </c>
      <c r="AF401" s="6">
        <v>15</v>
      </c>
      <c r="AG401" s="6">
        <v>15</v>
      </c>
      <c r="AH401" s="5"/>
      <c r="AI401" s="57">
        <f>E401-AC401-AE401-AH401</f>
        <v>-45</v>
      </c>
      <c r="AJ401" s="17">
        <f>E401-AC401</f>
        <v>-45</v>
      </c>
      <c r="AK401" s="20" t="e">
        <f>ROUND(AI401/E401,2)</f>
        <v>#DIV/0!</v>
      </c>
      <c r="AL401" s="21" t="e">
        <f t="shared" si="58"/>
        <v>#DIV/0!</v>
      </c>
    </row>
    <row r="402" spans="1:38" x14ac:dyDescent="0.25">
      <c r="A402" s="28"/>
      <c r="B402" s="46"/>
      <c r="C402" s="47"/>
      <c r="D402" s="38">
        <v>0</v>
      </c>
      <c r="E402" s="50">
        <f t="shared" si="61"/>
        <v>0</v>
      </c>
      <c r="F402" s="24"/>
      <c r="G402" s="7">
        <v>0</v>
      </c>
      <c r="H402" s="7">
        <v>0</v>
      </c>
      <c r="I402" s="7">
        <v>0</v>
      </c>
      <c r="J402" s="78">
        <f t="shared" si="62"/>
        <v>0</v>
      </c>
      <c r="K402" s="2">
        <f t="shared" si="63"/>
        <v>0</v>
      </c>
      <c r="L402" s="8">
        <v>0</v>
      </c>
      <c r="M402" s="1">
        <f t="shared" si="60"/>
        <v>0</v>
      </c>
      <c r="N402" s="41">
        <v>0</v>
      </c>
      <c r="O402" s="84" t="s">
        <v>275</v>
      </c>
      <c r="P402" s="24" t="s">
        <v>562</v>
      </c>
      <c r="Q402" s="7" t="s">
        <v>557</v>
      </c>
      <c r="R402" s="7"/>
      <c r="S402" s="81"/>
      <c r="T402" s="7">
        <v>25</v>
      </c>
      <c r="U402" s="82"/>
      <c r="V402" s="83">
        <f>ROUNDUP(E402*S402,2)</f>
        <v>0</v>
      </c>
      <c r="W402" s="83">
        <f>ROUNDUP(E402*0.015,2)</f>
        <v>0</v>
      </c>
      <c r="X402" s="82">
        <f>MAX(MIN(SUMIFS(Логистика!$C$2:$C$38,Логистика!$A$2:$A$38,"&lt;="&amp;K402,Логистика!$B$2:$B$38,"&gt;="&amp;K402)*E402,SUMIFS(Логистика!$E$2:$E$38,Логистика!$A$2:$A$38,"&lt;="&amp;K402,Логистика!$B$2:$B$38,"&gt;="&amp;K402)),SUMIFS(Логистика!$D$2:$D$38,Логистика!$A$2:$A$38,"&lt;="&amp;K402,Логистика!$B$2:$B$38,"&gt;="&amp;K402))</f>
        <v>0</v>
      </c>
      <c r="Y402" s="83">
        <f>IF(AND(E402*0.055&gt;20,E402*0.055&lt;250),ROUNDUP(E402*0.055,2),IF(E402*0.055&lt;=20,20,250))</f>
        <v>20</v>
      </c>
      <c r="Z402" s="83">
        <f>ROUND(M402*0.05,2)</f>
        <v>0</v>
      </c>
      <c r="AA402" s="83">
        <f>IF(N402=0,0,IF(ROUND(E402*N402,2)&gt;5,ROUND(E402*N402,2),5))</f>
        <v>0</v>
      </c>
      <c r="AB402" s="83">
        <f>IF(O402="Да",ROUND(E402*0.1111,2),0)</f>
        <v>0</v>
      </c>
      <c r="AC402" s="53">
        <f>V402+W402+T402+X402+Y402+Z402+AA402+AB402</f>
        <v>45</v>
      </c>
      <c r="AD402" s="8">
        <v>0</v>
      </c>
      <c r="AE402" s="36">
        <f>ROUND(E402*AD402,2)</f>
        <v>0</v>
      </c>
      <c r="AF402" s="6">
        <v>15</v>
      </c>
      <c r="AG402" s="6">
        <v>15</v>
      </c>
      <c r="AH402" s="5"/>
      <c r="AI402" s="57">
        <f>E402-AC402-AE402-AH402</f>
        <v>-45</v>
      </c>
      <c r="AJ402" s="17">
        <f>E402-AC402</f>
        <v>-45</v>
      </c>
      <c r="AK402" s="20" t="e">
        <f>ROUND(AI402/E402,2)</f>
        <v>#DIV/0!</v>
      </c>
      <c r="AL402" s="21" t="e">
        <f t="shared" si="58"/>
        <v>#DIV/0!</v>
      </c>
    </row>
    <row r="403" spans="1:38" x14ac:dyDescent="0.25">
      <c r="A403" s="28"/>
      <c r="B403" s="46"/>
      <c r="C403" s="47"/>
      <c r="D403" s="38">
        <v>0</v>
      </c>
      <c r="E403" s="50">
        <f t="shared" si="61"/>
        <v>0</v>
      </c>
      <c r="F403" s="24"/>
      <c r="G403" s="7">
        <v>0</v>
      </c>
      <c r="H403" s="7">
        <v>0</v>
      </c>
      <c r="I403" s="7">
        <v>0</v>
      </c>
      <c r="J403" s="78">
        <f t="shared" si="62"/>
        <v>0</v>
      </c>
      <c r="K403" s="2">
        <f t="shared" si="63"/>
        <v>0</v>
      </c>
      <c r="L403" s="8">
        <v>0</v>
      </c>
      <c r="M403" s="1">
        <f t="shared" si="60"/>
        <v>0</v>
      </c>
      <c r="N403" s="41">
        <v>0</v>
      </c>
      <c r="O403" s="84" t="s">
        <v>275</v>
      </c>
      <c r="P403" s="24" t="s">
        <v>562</v>
      </c>
      <c r="Q403" s="7" t="s">
        <v>557</v>
      </c>
      <c r="R403" s="7"/>
      <c r="S403" s="81"/>
      <c r="T403" s="7">
        <v>25</v>
      </c>
      <c r="U403" s="82"/>
      <c r="V403" s="83">
        <f>ROUNDUP(E403*S403,2)</f>
        <v>0</v>
      </c>
      <c r="W403" s="83">
        <f>ROUNDUP(E403*0.015,2)</f>
        <v>0</v>
      </c>
      <c r="X403" s="82">
        <f>MAX(MIN(SUMIFS(Логистика!$C$2:$C$38,Логистика!$A$2:$A$38,"&lt;="&amp;K403,Логистика!$B$2:$B$38,"&gt;="&amp;K403)*E403,SUMIFS(Логистика!$E$2:$E$38,Логистика!$A$2:$A$38,"&lt;="&amp;K403,Логистика!$B$2:$B$38,"&gt;="&amp;K403)),SUMIFS(Логистика!$D$2:$D$38,Логистика!$A$2:$A$38,"&lt;="&amp;K403,Логистика!$B$2:$B$38,"&gt;="&amp;K403))</f>
        <v>0</v>
      </c>
      <c r="Y403" s="83">
        <f>IF(AND(E403*0.055&gt;20,E403*0.055&lt;250),ROUNDUP(E403*0.055,2),IF(E403*0.055&lt;=20,20,250))</f>
        <v>20</v>
      </c>
      <c r="Z403" s="83">
        <f>ROUND(M403*0.05,2)</f>
        <v>0</v>
      </c>
      <c r="AA403" s="83">
        <f>IF(N403=0,0,IF(ROUND(E403*N403,2)&gt;5,ROUND(E403*N403,2),5))</f>
        <v>0</v>
      </c>
      <c r="AB403" s="83">
        <f>IF(O403="Да",ROUND(E403*0.1111,2),0)</f>
        <v>0</v>
      </c>
      <c r="AC403" s="53">
        <f>V403+W403+T403+X403+Y403+Z403+AA403+AB403</f>
        <v>45</v>
      </c>
      <c r="AD403" s="8">
        <v>0</v>
      </c>
      <c r="AE403" s="36">
        <f>ROUND(E403*AD403,2)</f>
        <v>0</v>
      </c>
      <c r="AF403" s="6">
        <v>15</v>
      </c>
      <c r="AG403" s="6">
        <v>15</v>
      </c>
      <c r="AH403" s="5"/>
      <c r="AI403" s="57">
        <f>E403-AC403-AE403-AH403</f>
        <v>-45</v>
      </c>
      <c r="AJ403" s="17">
        <f>E403-AC403</f>
        <v>-45</v>
      </c>
      <c r="AK403" s="20" t="e">
        <f>ROUND(AI403/E403,2)</f>
        <v>#DIV/0!</v>
      </c>
      <c r="AL403" s="21" t="e">
        <f t="shared" si="58"/>
        <v>#DIV/0!</v>
      </c>
    </row>
    <row r="404" spans="1:38" x14ac:dyDescent="0.25">
      <c r="A404" s="28"/>
      <c r="B404" s="46"/>
      <c r="C404" s="47"/>
      <c r="D404" s="38">
        <v>0</v>
      </c>
      <c r="E404" s="50">
        <f t="shared" si="61"/>
        <v>0</v>
      </c>
      <c r="F404" s="24"/>
      <c r="G404" s="7">
        <v>0</v>
      </c>
      <c r="H404" s="7">
        <v>0</v>
      </c>
      <c r="I404" s="7">
        <v>0</v>
      </c>
      <c r="J404" s="78">
        <f t="shared" si="62"/>
        <v>0</v>
      </c>
      <c r="K404" s="2">
        <f t="shared" si="63"/>
        <v>0</v>
      </c>
      <c r="L404" s="8">
        <v>0</v>
      </c>
      <c r="M404" s="1">
        <f t="shared" si="60"/>
        <v>0</v>
      </c>
      <c r="N404" s="41">
        <v>0</v>
      </c>
      <c r="O404" s="84" t="s">
        <v>275</v>
      </c>
      <c r="P404" s="24" t="s">
        <v>562</v>
      </c>
      <c r="Q404" s="7" t="s">
        <v>557</v>
      </c>
      <c r="R404" s="7"/>
      <c r="S404" s="81"/>
      <c r="T404" s="7">
        <v>25</v>
      </c>
      <c r="U404" s="82"/>
      <c r="V404" s="83">
        <f>ROUNDUP(E404*S404,2)</f>
        <v>0</v>
      </c>
      <c r="W404" s="83">
        <f>ROUNDUP(E404*0.015,2)</f>
        <v>0</v>
      </c>
      <c r="X404" s="82">
        <f>MAX(MIN(SUMIFS(Логистика!$C$2:$C$38,Логистика!$A$2:$A$38,"&lt;="&amp;K404,Логистика!$B$2:$B$38,"&gt;="&amp;K404)*E404,SUMIFS(Логистика!$E$2:$E$38,Логистика!$A$2:$A$38,"&lt;="&amp;K404,Логистика!$B$2:$B$38,"&gt;="&amp;K404)),SUMIFS(Логистика!$D$2:$D$38,Логистика!$A$2:$A$38,"&lt;="&amp;K404,Логистика!$B$2:$B$38,"&gt;="&amp;K404))</f>
        <v>0</v>
      </c>
      <c r="Y404" s="83">
        <f>IF(AND(E404*0.055&gt;20,E404*0.055&lt;250),ROUNDUP(E404*0.055,2),IF(E404*0.055&lt;=20,20,250))</f>
        <v>20</v>
      </c>
      <c r="Z404" s="83">
        <f>ROUND(M404*0.05,2)</f>
        <v>0</v>
      </c>
      <c r="AA404" s="83">
        <f>IF(N404=0,0,IF(ROUND(E404*N404,2)&gt;5,ROUND(E404*N404,2),5))</f>
        <v>0</v>
      </c>
      <c r="AB404" s="83">
        <f>IF(O404="Да",ROUND(E404*0.1111,2),0)</f>
        <v>0</v>
      </c>
      <c r="AC404" s="53">
        <f>V404+W404+T404+X404+Y404+Z404+AA404+AB404</f>
        <v>45</v>
      </c>
      <c r="AD404" s="8">
        <v>0</v>
      </c>
      <c r="AE404" s="36">
        <f>ROUND(E404*AD404,2)</f>
        <v>0</v>
      </c>
      <c r="AF404" s="6">
        <v>15</v>
      </c>
      <c r="AG404" s="6">
        <v>15</v>
      </c>
      <c r="AH404" s="5"/>
      <c r="AI404" s="57">
        <f>E404-AC404-AE404-AH404</f>
        <v>-45</v>
      </c>
      <c r="AJ404" s="17">
        <f>E404-AC404</f>
        <v>-45</v>
      </c>
      <c r="AK404" s="20" t="e">
        <f>ROUND(AI404/E404,2)</f>
        <v>#DIV/0!</v>
      </c>
      <c r="AL404" s="21" t="e">
        <f t="shared" si="58"/>
        <v>#DIV/0!</v>
      </c>
    </row>
    <row r="405" spans="1:38" x14ac:dyDescent="0.25">
      <c r="A405" s="28"/>
      <c r="B405" s="46"/>
      <c r="C405" s="47"/>
      <c r="D405" s="38">
        <v>0</v>
      </c>
      <c r="E405" s="50">
        <f t="shared" si="61"/>
        <v>0</v>
      </c>
      <c r="F405" s="24"/>
      <c r="G405" s="7">
        <v>0</v>
      </c>
      <c r="H405" s="7">
        <v>0</v>
      </c>
      <c r="I405" s="7">
        <v>0</v>
      </c>
      <c r="J405" s="78">
        <f t="shared" si="62"/>
        <v>0</v>
      </c>
      <c r="K405" s="2">
        <f t="shared" si="63"/>
        <v>0</v>
      </c>
      <c r="L405" s="8">
        <v>0</v>
      </c>
      <c r="M405" s="1">
        <f t="shared" si="60"/>
        <v>0</v>
      </c>
      <c r="N405" s="41">
        <v>0</v>
      </c>
      <c r="O405" s="84" t="s">
        <v>275</v>
      </c>
      <c r="P405" s="24" t="s">
        <v>562</v>
      </c>
      <c r="Q405" s="7" t="s">
        <v>557</v>
      </c>
      <c r="R405" s="7"/>
      <c r="S405" s="81"/>
      <c r="T405" s="7">
        <v>25</v>
      </c>
      <c r="U405" s="82"/>
      <c r="V405" s="83">
        <f>ROUNDUP(E405*S405,2)</f>
        <v>0</v>
      </c>
      <c r="W405" s="83">
        <f>ROUNDUP(E405*0.015,2)</f>
        <v>0</v>
      </c>
      <c r="X405" s="82">
        <f>MAX(MIN(SUMIFS(Логистика!$C$2:$C$38,Логистика!$A$2:$A$38,"&lt;="&amp;K405,Логистика!$B$2:$B$38,"&gt;="&amp;K405)*E405,SUMIFS(Логистика!$E$2:$E$38,Логистика!$A$2:$A$38,"&lt;="&amp;K405,Логистика!$B$2:$B$38,"&gt;="&amp;K405)),SUMIFS(Логистика!$D$2:$D$38,Логистика!$A$2:$A$38,"&lt;="&amp;K405,Логистика!$B$2:$B$38,"&gt;="&amp;K405))</f>
        <v>0</v>
      </c>
      <c r="Y405" s="83">
        <f>IF(AND(E405*0.055&gt;20,E405*0.055&lt;250),ROUNDUP(E405*0.055,2),IF(E405*0.055&lt;=20,20,250))</f>
        <v>20</v>
      </c>
      <c r="Z405" s="83">
        <f>ROUND(M405*0.05,2)</f>
        <v>0</v>
      </c>
      <c r="AA405" s="83">
        <f>IF(N405=0,0,IF(ROUND(E405*N405,2)&gt;5,ROUND(E405*N405,2),5))</f>
        <v>0</v>
      </c>
      <c r="AB405" s="83">
        <f>IF(O405="Да",ROUND(E405*0.1111,2),0)</f>
        <v>0</v>
      </c>
      <c r="AC405" s="53">
        <f>V405+W405+T405+X405+Y405+Z405+AA405+AB405</f>
        <v>45</v>
      </c>
      <c r="AD405" s="8">
        <v>0</v>
      </c>
      <c r="AE405" s="36">
        <f>ROUND(E405*AD405,2)</f>
        <v>0</v>
      </c>
      <c r="AF405" s="6">
        <v>15</v>
      </c>
      <c r="AG405" s="6">
        <v>15</v>
      </c>
      <c r="AH405" s="5"/>
      <c r="AI405" s="57">
        <f>E405-AC405-AE405-AH405</f>
        <v>-45</v>
      </c>
      <c r="AJ405" s="17">
        <f>E405-AC405</f>
        <v>-45</v>
      </c>
      <c r="AK405" s="20" t="e">
        <f>ROUND(AI405/E405,2)</f>
        <v>#DIV/0!</v>
      </c>
      <c r="AL405" s="21" t="e">
        <f t="shared" si="58"/>
        <v>#DIV/0!</v>
      </c>
    </row>
    <row r="406" spans="1:38" x14ac:dyDescent="0.25">
      <c r="A406" s="28"/>
      <c r="B406" s="46"/>
      <c r="C406" s="47"/>
      <c r="D406" s="38">
        <v>0</v>
      </c>
      <c r="E406" s="50">
        <f t="shared" si="61"/>
        <v>0</v>
      </c>
      <c r="F406" s="24"/>
      <c r="G406" s="7">
        <v>0</v>
      </c>
      <c r="H406" s="7">
        <v>0</v>
      </c>
      <c r="I406" s="7">
        <v>0</v>
      </c>
      <c r="J406" s="78">
        <f t="shared" si="62"/>
        <v>0</v>
      </c>
      <c r="K406" s="2">
        <f t="shared" si="63"/>
        <v>0</v>
      </c>
      <c r="L406" s="8">
        <v>0</v>
      </c>
      <c r="M406" s="1">
        <f t="shared" si="60"/>
        <v>0</v>
      </c>
      <c r="N406" s="41">
        <v>0</v>
      </c>
      <c r="O406" s="84" t="s">
        <v>275</v>
      </c>
      <c r="P406" s="24" t="s">
        <v>562</v>
      </c>
      <c r="Q406" s="7" t="s">
        <v>557</v>
      </c>
      <c r="R406" s="7"/>
      <c r="S406" s="81"/>
      <c r="T406" s="7">
        <v>25</v>
      </c>
      <c r="U406" s="82"/>
      <c r="V406" s="83">
        <f>ROUNDUP(E406*S406,2)</f>
        <v>0</v>
      </c>
      <c r="W406" s="83">
        <f>ROUNDUP(E406*0.015,2)</f>
        <v>0</v>
      </c>
      <c r="X406" s="82">
        <f>MAX(MIN(SUMIFS(Логистика!$C$2:$C$38,Логистика!$A$2:$A$38,"&lt;="&amp;K406,Логистика!$B$2:$B$38,"&gt;="&amp;K406)*E406,SUMIFS(Логистика!$E$2:$E$38,Логистика!$A$2:$A$38,"&lt;="&amp;K406,Логистика!$B$2:$B$38,"&gt;="&amp;K406)),SUMIFS(Логистика!$D$2:$D$38,Логистика!$A$2:$A$38,"&lt;="&amp;K406,Логистика!$B$2:$B$38,"&gt;="&amp;K406))</f>
        <v>0</v>
      </c>
      <c r="Y406" s="83">
        <f>IF(AND(E406*0.055&gt;20,E406*0.055&lt;250),ROUNDUP(E406*0.055,2),IF(E406*0.055&lt;=20,20,250))</f>
        <v>20</v>
      </c>
      <c r="Z406" s="83">
        <f>ROUND(M406*0.05,2)</f>
        <v>0</v>
      </c>
      <c r="AA406" s="83">
        <f>IF(N406=0,0,IF(ROUND(E406*N406,2)&gt;5,ROUND(E406*N406,2),5))</f>
        <v>0</v>
      </c>
      <c r="AB406" s="83">
        <f>IF(O406="Да",ROUND(E406*0.1111,2),0)</f>
        <v>0</v>
      </c>
      <c r="AC406" s="53">
        <f>V406+W406+T406+X406+Y406+Z406+AA406+AB406</f>
        <v>45</v>
      </c>
      <c r="AD406" s="8">
        <v>0</v>
      </c>
      <c r="AE406" s="36">
        <f>ROUND(E406*AD406,2)</f>
        <v>0</v>
      </c>
      <c r="AF406" s="6">
        <v>15</v>
      </c>
      <c r="AG406" s="6">
        <v>15</v>
      </c>
      <c r="AH406" s="5"/>
      <c r="AI406" s="57">
        <f>E406-AC406-AE406-AH406</f>
        <v>-45</v>
      </c>
      <c r="AJ406" s="17">
        <f>E406-AC406</f>
        <v>-45</v>
      </c>
      <c r="AK406" s="20" t="e">
        <f>ROUND(AI406/E406,2)</f>
        <v>#DIV/0!</v>
      </c>
      <c r="AL406" s="21" t="e">
        <f t="shared" si="58"/>
        <v>#DIV/0!</v>
      </c>
    </row>
    <row r="407" spans="1:38" x14ac:dyDescent="0.25">
      <c r="A407" s="28"/>
      <c r="B407" s="46"/>
      <c r="C407" s="47"/>
      <c r="D407" s="38">
        <v>0</v>
      </c>
      <c r="E407" s="50">
        <f t="shared" si="61"/>
        <v>0</v>
      </c>
      <c r="F407" s="24"/>
      <c r="G407" s="7">
        <v>0</v>
      </c>
      <c r="H407" s="7">
        <v>0</v>
      </c>
      <c r="I407" s="7">
        <v>0</v>
      </c>
      <c r="J407" s="78">
        <f t="shared" si="62"/>
        <v>0</v>
      </c>
      <c r="K407" s="2">
        <f t="shared" si="63"/>
        <v>0</v>
      </c>
      <c r="L407" s="8">
        <v>0</v>
      </c>
      <c r="M407" s="1">
        <f t="shared" si="60"/>
        <v>0</v>
      </c>
      <c r="N407" s="41">
        <v>0</v>
      </c>
      <c r="O407" s="84" t="s">
        <v>275</v>
      </c>
      <c r="P407" s="24" t="s">
        <v>562</v>
      </c>
      <c r="Q407" s="7" t="s">
        <v>557</v>
      </c>
      <c r="R407" s="7"/>
      <c r="S407" s="81"/>
      <c r="T407" s="7">
        <v>25</v>
      </c>
      <c r="U407" s="82"/>
      <c r="V407" s="83">
        <f>ROUNDUP(E407*S407,2)</f>
        <v>0</v>
      </c>
      <c r="W407" s="83">
        <f>ROUNDUP(E407*0.015,2)</f>
        <v>0</v>
      </c>
      <c r="X407" s="82">
        <f>MAX(MIN(SUMIFS(Логистика!$C$2:$C$38,Логистика!$A$2:$A$38,"&lt;="&amp;K407,Логистика!$B$2:$B$38,"&gt;="&amp;K407)*E407,SUMIFS(Логистика!$E$2:$E$38,Логистика!$A$2:$A$38,"&lt;="&amp;K407,Логистика!$B$2:$B$38,"&gt;="&amp;K407)),SUMIFS(Логистика!$D$2:$D$38,Логистика!$A$2:$A$38,"&lt;="&amp;K407,Логистика!$B$2:$B$38,"&gt;="&amp;K407))</f>
        <v>0</v>
      </c>
      <c r="Y407" s="83">
        <f>IF(AND(E407*0.055&gt;20,E407*0.055&lt;250),ROUNDUP(E407*0.055,2),IF(E407*0.055&lt;=20,20,250))</f>
        <v>20</v>
      </c>
      <c r="Z407" s="83">
        <f>ROUND(M407*0.05,2)</f>
        <v>0</v>
      </c>
      <c r="AA407" s="83">
        <f>IF(N407=0,0,IF(ROUND(E407*N407,2)&gt;5,ROUND(E407*N407,2),5))</f>
        <v>0</v>
      </c>
      <c r="AB407" s="83">
        <f>IF(O407="Да",ROUND(E407*0.1111,2),0)</f>
        <v>0</v>
      </c>
      <c r="AC407" s="53">
        <f>V407+W407+T407+X407+Y407+Z407+AA407+AB407</f>
        <v>45</v>
      </c>
      <c r="AD407" s="8">
        <v>0</v>
      </c>
      <c r="AE407" s="36">
        <f>ROUND(E407*AD407,2)</f>
        <v>0</v>
      </c>
      <c r="AF407" s="6">
        <v>15</v>
      </c>
      <c r="AG407" s="6">
        <v>15</v>
      </c>
      <c r="AH407" s="5"/>
      <c r="AI407" s="57">
        <f>E407-AC407-AE407-AH407</f>
        <v>-45</v>
      </c>
      <c r="AJ407" s="17">
        <f>E407-AC407</f>
        <v>-45</v>
      </c>
      <c r="AK407" s="20" t="e">
        <f>ROUND(AI407/E407,2)</f>
        <v>#DIV/0!</v>
      </c>
      <c r="AL407" s="21" t="e">
        <f t="shared" si="58"/>
        <v>#DIV/0!</v>
      </c>
    </row>
    <row r="408" spans="1:38" x14ac:dyDescent="0.25">
      <c r="A408" s="28"/>
      <c r="B408" s="46"/>
      <c r="C408" s="47"/>
      <c r="D408" s="38">
        <v>0</v>
      </c>
      <c r="E408" s="50">
        <f t="shared" si="61"/>
        <v>0</v>
      </c>
      <c r="F408" s="24"/>
      <c r="G408" s="7">
        <v>0</v>
      </c>
      <c r="H408" s="7">
        <v>0</v>
      </c>
      <c r="I408" s="7">
        <v>0</v>
      </c>
      <c r="J408" s="78">
        <f t="shared" si="62"/>
        <v>0</v>
      </c>
      <c r="K408" s="2">
        <f t="shared" si="63"/>
        <v>0</v>
      </c>
      <c r="L408" s="8">
        <v>0</v>
      </c>
      <c r="M408" s="1">
        <f t="shared" si="60"/>
        <v>0</v>
      </c>
      <c r="N408" s="41">
        <v>0</v>
      </c>
      <c r="O408" s="84" t="s">
        <v>275</v>
      </c>
      <c r="P408" s="24" t="s">
        <v>562</v>
      </c>
      <c r="Q408" s="7" t="s">
        <v>557</v>
      </c>
      <c r="R408" s="7"/>
      <c r="S408" s="81"/>
      <c r="T408" s="7">
        <v>25</v>
      </c>
      <c r="U408" s="82"/>
      <c r="V408" s="83">
        <f>ROUNDUP(E408*S408,2)</f>
        <v>0</v>
      </c>
      <c r="W408" s="83">
        <f>ROUNDUP(E408*0.015,2)</f>
        <v>0</v>
      </c>
      <c r="X408" s="82">
        <f>MAX(MIN(SUMIFS(Логистика!$C$2:$C$38,Логистика!$A$2:$A$38,"&lt;="&amp;K408,Логистика!$B$2:$B$38,"&gt;="&amp;K408)*E408,SUMIFS(Логистика!$E$2:$E$38,Логистика!$A$2:$A$38,"&lt;="&amp;K408,Логистика!$B$2:$B$38,"&gt;="&amp;K408)),SUMIFS(Логистика!$D$2:$D$38,Логистика!$A$2:$A$38,"&lt;="&amp;K408,Логистика!$B$2:$B$38,"&gt;="&amp;K408))</f>
        <v>0</v>
      </c>
      <c r="Y408" s="83">
        <f>IF(AND(E408*0.055&gt;20,E408*0.055&lt;250),ROUNDUP(E408*0.055,2),IF(E408*0.055&lt;=20,20,250))</f>
        <v>20</v>
      </c>
      <c r="Z408" s="83">
        <f>ROUND(M408*0.05,2)</f>
        <v>0</v>
      </c>
      <c r="AA408" s="83">
        <f>IF(N408=0,0,IF(ROUND(E408*N408,2)&gt;5,ROUND(E408*N408,2),5))</f>
        <v>0</v>
      </c>
      <c r="AB408" s="83">
        <f>IF(O408="Да",ROUND(E408*0.1111,2),0)</f>
        <v>0</v>
      </c>
      <c r="AC408" s="53">
        <f>V408+W408+T408+X408+Y408+Z408+AA408+AB408</f>
        <v>45</v>
      </c>
      <c r="AD408" s="8">
        <v>0</v>
      </c>
      <c r="AE408" s="36">
        <f>ROUND(E408*AD408,2)</f>
        <v>0</v>
      </c>
      <c r="AF408" s="6">
        <v>15</v>
      </c>
      <c r="AG408" s="6">
        <v>15</v>
      </c>
      <c r="AH408" s="5"/>
      <c r="AI408" s="57">
        <f>E408-AC408-AE408-AH408</f>
        <v>-45</v>
      </c>
      <c r="AJ408" s="17">
        <f>E408-AC408</f>
        <v>-45</v>
      </c>
      <c r="AK408" s="20" t="e">
        <f>ROUND(AI408/E408,2)</f>
        <v>#DIV/0!</v>
      </c>
      <c r="AL408" s="21" t="e">
        <f t="shared" si="58"/>
        <v>#DIV/0!</v>
      </c>
    </row>
    <row r="409" spans="1:38" x14ac:dyDescent="0.25">
      <c r="A409" s="28"/>
      <c r="B409" s="46"/>
      <c r="C409" s="47"/>
      <c r="D409" s="38">
        <v>0</v>
      </c>
      <c r="E409" s="50">
        <f t="shared" si="61"/>
        <v>0</v>
      </c>
      <c r="F409" s="24"/>
      <c r="G409" s="7">
        <v>0</v>
      </c>
      <c r="H409" s="7">
        <v>0</v>
      </c>
      <c r="I409" s="7">
        <v>0</v>
      </c>
      <c r="J409" s="78">
        <f t="shared" si="62"/>
        <v>0</v>
      </c>
      <c r="K409" s="2">
        <f t="shared" si="63"/>
        <v>0</v>
      </c>
      <c r="L409" s="8">
        <v>0</v>
      </c>
      <c r="M409" s="1">
        <f t="shared" si="60"/>
        <v>0</v>
      </c>
      <c r="N409" s="41">
        <v>0</v>
      </c>
      <c r="O409" s="84" t="s">
        <v>275</v>
      </c>
      <c r="P409" s="24" t="s">
        <v>562</v>
      </c>
      <c r="Q409" s="7" t="s">
        <v>557</v>
      </c>
      <c r="R409" s="7"/>
      <c r="S409" s="81"/>
      <c r="T409" s="7">
        <v>25</v>
      </c>
      <c r="U409" s="82"/>
      <c r="V409" s="83">
        <f>ROUNDUP(E409*S409,2)</f>
        <v>0</v>
      </c>
      <c r="W409" s="83">
        <f>ROUNDUP(E409*0.015,2)</f>
        <v>0</v>
      </c>
      <c r="X409" s="82">
        <f>MAX(MIN(SUMIFS(Логистика!$C$2:$C$38,Логистика!$A$2:$A$38,"&lt;="&amp;K409,Логистика!$B$2:$B$38,"&gt;="&amp;K409)*E409,SUMIFS(Логистика!$E$2:$E$38,Логистика!$A$2:$A$38,"&lt;="&amp;K409,Логистика!$B$2:$B$38,"&gt;="&amp;K409)),SUMIFS(Логистика!$D$2:$D$38,Логистика!$A$2:$A$38,"&lt;="&amp;K409,Логистика!$B$2:$B$38,"&gt;="&amp;K409))</f>
        <v>0</v>
      </c>
      <c r="Y409" s="83">
        <f>IF(AND(E409*0.055&gt;20,E409*0.055&lt;250),ROUNDUP(E409*0.055,2),IF(E409*0.055&lt;=20,20,250))</f>
        <v>20</v>
      </c>
      <c r="Z409" s="83">
        <f>ROUND(M409*0.05,2)</f>
        <v>0</v>
      </c>
      <c r="AA409" s="83">
        <f>IF(N409=0,0,IF(ROUND(E409*N409,2)&gt;5,ROUND(E409*N409,2),5))</f>
        <v>0</v>
      </c>
      <c r="AB409" s="83">
        <f>IF(O409="Да",ROUND(E409*0.1111,2),0)</f>
        <v>0</v>
      </c>
      <c r="AC409" s="53">
        <f>V409+W409+T409+X409+Y409+Z409+AA409+AB409</f>
        <v>45</v>
      </c>
      <c r="AD409" s="8">
        <v>0</v>
      </c>
      <c r="AE409" s="36">
        <f>ROUND(E409*AD409,2)</f>
        <v>0</v>
      </c>
      <c r="AF409" s="6">
        <v>15</v>
      </c>
      <c r="AG409" s="6">
        <v>15</v>
      </c>
      <c r="AH409" s="5"/>
      <c r="AI409" s="57">
        <f>E409-AC409-AE409-AH409</f>
        <v>-45</v>
      </c>
      <c r="AJ409" s="17">
        <f>E409-AC409</f>
        <v>-45</v>
      </c>
      <c r="AK409" s="20" t="e">
        <f>ROUND(AI409/E409,2)</f>
        <v>#DIV/0!</v>
      </c>
      <c r="AL409" s="21" t="e">
        <f t="shared" si="58"/>
        <v>#DIV/0!</v>
      </c>
    </row>
    <row r="410" spans="1:38" x14ac:dyDescent="0.25">
      <c r="A410" s="28"/>
      <c r="B410" s="46"/>
      <c r="C410" s="47"/>
      <c r="D410" s="38">
        <v>0</v>
      </c>
      <c r="E410" s="50">
        <f t="shared" si="61"/>
        <v>0</v>
      </c>
      <c r="F410" s="24"/>
      <c r="G410" s="7">
        <v>0</v>
      </c>
      <c r="H410" s="7">
        <v>0</v>
      </c>
      <c r="I410" s="7">
        <v>0</v>
      </c>
      <c r="J410" s="78">
        <f t="shared" si="62"/>
        <v>0</v>
      </c>
      <c r="K410" s="2">
        <f t="shared" si="63"/>
        <v>0</v>
      </c>
      <c r="L410" s="8">
        <v>0</v>
      </c>
      <c r="M410" s="1">
        <f t="shared" si="60"/>
        <v>0</v>
      </c>
      <c r="N410" s="41">
        <v>0</v>
      </c>
      <c r="O410" s="84" t="s">
        <v>275</v>
      </c>
      <c r="P410" s="24" t="s">
        <v>562</v>
      </c>
      <c r="Q410" s="7" t="s">
        <v>557</v>
      </c>
      <c r="R410" s="7"/>
      <c r="S410" s="81"/>
      <c r="T410" s="7">
        <v>25</v>
      </c>
      <c r="U410" s="82"/>
      <c r="V410" s="83">
        <f>ROUNDUP(E410*S410,2)</f>
        <v>0</v>
      </c>
      <c r="W410" s="83">
        <f>ROUNDUP(E410*0.015,2)</f>
        <v>0</v>
      </c>
      <c r="X410" s="82">
        <f>MAX(MIN(SUMIFS(Логистика!$C$2:$C$38,Логистика!$A$2:$A$38,"&lt;="&amp;K410,Логистика!$B$2:$B$38,"&gt;="&amp;K410)*E410,SUMIFS(Логистика!$E$2:$E$38,Логистика!$A$2:$A$38,"&lt;="&amp;K410,Логистика!$B$2:$B$38,"&gt;="&amp;K410)),SUMIFS(Логистика!$D$2:$D$38,Логистика!$A$2:$A$38,"&lt;="&amp;K410,Логистика!$B$2:$B$38,"&gt;="&amp;K410))</f>
        <v>0</v>
      </c>
      <c r="Y410" s="83">
        <f>IF(AND(E410*0.055&gt;20,E410*0.055&lt;250),ROUNDUP(E410*0.055,2),IF(E410*0.055&lt;=20,20,250))</f>
        <v>20</v>
      </c>
      <c r="Z410" s="83">
        <f>ROUND(M410*0.05,2)</f>
        <v>0</v>
      </c>
      <c r="AA410" s="83">
        <f>IF(N410=0,0,IF(ROUND(E410*N410,2)&gt;5,ROUND(E410*N410,2),5))</f>
        <v>0</v>
      </c>
      <c r="AB410" s="83">
        <f>IF(O410="Да",ROUND(E410*0.1111,2),0)</f>
        <v>0</v>
      </c>
      <c r="AC410" s="53">
        <f>V410+W410+T410+X410+Y410+Z410+AA410+AB410</f>
        <v>45</v>
      </c>
      <c r="AD410" s="8">
        <v>0</v>
      </c>
      <c r="AE410" s="36">
        <f>ROUND(E410*AD410,2)</f>
        <v>0</v>
      </c>
      <c r="AF410" s="6">
        <v>15</v>
      </c>
      <c r="AG410" s="6">
        <v>15</v>
      </c>
      <c r="AH410" s="5"/>
      <c r="AI410" s="57">
        <f>E410-AC410-AE410-AH410</f>
        <v>-45</v>
      </c>
      <c r="AJ410" s="17">
        <f>E410-AC410</f>
        <v>-45</v>
      </c>
      <c r="AK410" s="20" t="e">
        <f>ROUND(AI410/E410,2)</f>
        <v>#DIV/0!</v>
      </c>
      <c r="AL410" s="21" t="e">
        <f t="shared" si="58"/>
        <v>#DIV/0!</v>
      </c>
    </row>
    <row r="411" spans="1:38" x14ac:dyDescent="0.25">
      <c r="A411" s="28"/>
      <c r="B411" s="46"/>
      <c r="C411" s="47"/>
      <c r="D411" s="38">
        <v>0</v>
      </c>
      <c r="E411" s="50">
        <f t="shared" si="61"/>
        <v>0</v>
      </c>
      <c r="F411" s="24"/>
      <c r="G411" s="7">
        <v>0</v>
      </c>
      <c r="H411" s="7">
        <v>0</v>
      </c>
      <c r="I411" s="7">
        <v>0</v>
      </c>
      <c r="J411" s="78">
        <f t="shared" si="62"/>
        <v>0</v>
      </c>
      <c r="K411" s="2">
        <f t="shared" si="63"/>
        <v>0</v>
      </c>
      <c r="L411" s="8">
        <v>0</v>
      </c>
      <c r="M411" s="1">
        <f t="shared" si="60"/>
        <v>0</v>
      </c>
      <c r="N411" s="41">
        <v>0</v>
      </c>
      <c r="O411" s="84" t="s">
        <v>275</v>
      </c>
      <c r="P411" s="24" t="s">
        <v>562</v>
      </c>
      <c r="Q411" s="7" t="s">
        <v>557</v>
      </c>
      <c r="R411" s="7"/>
      <c r="S411" s="81"/>
      <c r="T411" s="7">
        <v>25</v>
      </c>
      <c r="U411" s="82"/>
      <c r="V411" s="83">
        <f>ROUNDUP(E411*S411,2)</f>
        <v>0</v>
      </c>
      <c r="W411" s="83">
        <f>ROUNDUP(E411*0.015,2)</f>
        <v>0</v>
      </c>
      <c r="X411" s="82">
        <f>MAX(MIN(SUMIFS(Логистика!$C$2:$C$38,Логистика!$A$2:$A$38,"&lt;="&amp;K411,Логистика!$B$2:$B$38,"&gt;="&amp;K411)*E411,SUMIFS(Логистика!$E$2:$E$38,Логистика!$A$2:$A$38,"&lt;="&amp;K411,Логистика!$B$2:$B$38,"&gt;="&amp;K411)),SUMIFS(Логистика!$D$2:$D$38,Логистика!$A$2:$A$38,"&lt;="&amp;K411,Логистика!$B$2:$B$38,"&gt;="&amp;K411))</f>
        <v>0</v>
      </c>
      <c r="Y411" s="83">
        <f>IF(AND(E411*0.055&gt;20,E411*0.055&lt;250),ROUNDUP(E411*0.055,2),IF(E411*0.055&lt;=20,20,250))</f>
        <v>20</v>
      </c>
      <c r="Z411" s="83">
        <f>ROUND(M411*0.05,2)</f>
        <v>0</v>
      </c>
      <c r="AA411" s="83">
        <f>IF(N411=0,0,IF(ROUND(E411*N411,2)&gt;5,ROUND(E411*N411,2),5))</f>
        <v>0</v>
      </c>
      <c r="AB411" s="83">
        <f>IF(O411="Да",ROUND(E411*0.1111,2),0)</f>
        <v>0</v>
      </c>
      <c r="AC411" s="53">
        <f>V411+W411+T411+X411+Y411+Z411+AA411+AB411</f>
        <v>45</v>
      </c>
      <c r="AD411" s="8">
        <v>0</v>
      </c>
      <c r="AE411" s="36">
        <f>ROUND(E411*AD411,2)</f>
        <v>0</v>
      </c>
      <c r="AF411" s="6">
        <v>15</v>
      </c>
      <c r="AG411" s="6">
        <v>15</v>
      </c>
      <c r="AH411" s="5"/>
      <c r="AI411" s="57">
        <f>E411-AC411-AE411-AH411</f>
        <v>-45</v>
      </c>
      <c r="AJ411" s="17">
        <f>E411-AC411</f>
        <v>-45</v>
      </c>
      <c r="AK411" s="20" t="e">
        <f>ROUND(AI411/E411,2)</f>
        <v>#DIV/0!</v>
      </c>
      <c r="AL411" s="21" t="e">
        <f t="shared" si="58"/>
        <v>#DIV/0!</v>
      </c>
    </row>
    <row r="412" spans="1:38" x14ac:dyDescent="0.25">
      <c r="A412" s="28"/>
      <c r="B412" s="46"/>
      <c r="C412" s="47"/>
      <c r="D412" s="38">
        <v>0</v>
      </c>
      <c r="E412" s="50">
        <f t="shared" si="61"/>
        <v>0</v>
      </c>
      <c r="F412" s="24"/>
      <c r="G412" s="7">
        <v>0</v>
      </c>
      <c r="H412" s="7">
        <v>0</v>
      </c>
      <c r="I412" s="7">
        <v>0</v>
      </c>
      <c r="J412" s="78">
        <f t="shared" si="62"/>
        <v>0</v>
      </c>
      <c r="K412" s="2">
        <f t="shared" si="63"/>
        <v>0</v>
      </c>
      <c r="L412" s="8">
        <v>0</v>
      </c>
      <c r="M412" s="1">
        <f t="shared" si="60"/>
        <v>0</v>
      </c>
      <c r="N412" s="41">
        <v>0</v>
      </c>
      <c r="O412" s="84" t="s">
        <v>275</v>
      </c>
      <c r="P412" s="24" t="s">
        <v>562</v>
      </c>
      <c r="Q412" s="7" t="s">
        <v>557</v>
      </c>
      <c r="R412" s="7"/>
      <c r="S412" s="81"/>
      <c r="T412" s="7">
        <v>25</v>
      </c>
      <c r="U412" s="82"/>
      <c r="V412" s="83">
        <f>ROUNDUP(E412*S412,2)</f>
        <v>0</v>
      </c>
      <c r="W412" s="83">
        <f>ROUNDUP(E412*0.015,2)</f>
        <v>0</v>
      </c>
      <c r="X412" s="82">
        <f>MAX(MIN(SUMIFS(Логистика!$C$2:$C$38,Логистика!$A$2:$A$38,"&lt;="&amp;K412,Логистика!$B$2:$B$38,"&gt;="&amp;K412)*E412,SUMIFS(Логистика!$E$2:$E$38,Логистика!$A$2:$A$38,"&lt;="&amp;K412,Логистика!$B$2:$B$38,"&gt;="&amp;K412)),SUMIFS(Логистика!$D$2:$D$38,Логистика!$A$2:$A$38,"&lt;="&amp;K412,Логистика!$B$2:$B$38,"&gt;="&amp;K412))</f>
        <v>0</v>
      </c>
      <c r="Y412" s="83">
        <f>IF(AND(E412*0.055&gt;20,E412*0.055&lt;250),ROUNDUP(E412*0.055,2),IF(E412*0.055&lt;=20,20,250))</f>
        <v>20</v>
      </c>
      <c r="Z412" s="83">
        <f>ROUND(M412*0.05,2)</f>
        <v>0</v>
      </c>
      <c r="AA412" s="83">
        <f>IF(N412=0,0,IF(ROUND(E412*N412,2)&gt;5,ROUND(E412*N412,2),5))</f>
        <v>0</v>
      </c>
      <c r="AB412" s="83">
        <f>IF(O412="Да",ROUND(E412*0.1111,2),0)</f>
        <v>0</v>
      </c>
      <c r="AC412" s="53">
        <f>V412+W412+T412+X412+Y412+Z412+AA412+AB412</f>
        <v>45</v>
      </c>
      <c r="AD412" s="8">
        <v>0</v>
      </c>
      <c r="AE412" s="36">
        <f>ROUND(E412*AD412,2)</f>
        <v>0</v>
      </c>
      <c r="AF412" s="6">
        <v>15</v>
      </c>
      <c r="AG412" s="6">
        <v>15</v>
      </c>
      <c r="AH412" s="5"/>
      <c r="AI412" s="57">
        <f>E412-AC412-AE412-AH412</f>
        <v>-45</v>
      </c>
      <c r="AJ412" s="17">
        <f>E412-AC412</f>
        <v>-45</v>
      </c>
      <c r="AK412" s="20" t="e">
        <f>ROUND(AI412/E412,2)</f>
        <v>#DIV/0!</v>
      </c>
      <c r="AL412" s="21" t="e">
        <f t="shared" si="58"/>
        <v>#DIV/0!</v>
      </c>
    </row>
    <row r="413" spans="1:38" x14ac:dyDescent="0.25">
      <c r="A413" s="28"/>
      <c r="B413" s="46"/>
      <c r="C413" s="47"/>
      <c r="D413" s="38">
        <v>0</v>
      </c>
      <c r="E413" s="50">
        <f t="shared" si="61"/>
        <v>0</v>
      </c>
      <c r="F413" s="24"/>
      <c r="G413" s="7">
        <v>0</v>
      </c>
      <c r="H413" s="7">
        <v>0</v>
      </c>
      <c r="I413" s="7">
        <v>0</v>
      </c>
      <c r="J413" s="78">
        <f t="shared" si="62"/>
        <v>0</v>
      </c>
      <c r="K413" s="2">
        <f t="shared" si="63"/>
        <v>0</v>
      </c>
      <c r="L413" s="8">
        <v>0</v>
      </c>
      <c r="M413" s="1">
        <f t="shared" si="60"/>
        <v>0</v>
      </c>
      <c r="N413" s="41">
        <v>0</v>
      </c>
      <c r="O413" s="84" t="s">
        <v>275</v>
      </c>
      <c r="P413" s="24" t="s">
        <v>562</v>
      </c>
      <c r="Q413" s="7" t="s">
        <v>557</v>
      </c>
      <c r="R413" s="7"/>
      <c r="S413" s="81"/>
      <c r="T413" s="7">
        <v>25</v>
      </c>
      <c r="U413" s="82"/>
      <c r="V413" s="83">
        <f>ROUNDUP(E413*S413,2)</f>
        <v>0</v>
      </c>
      <c r="W413" s="83">
        <f>ROUNDUP(E413*0.015,2)</f>
        <v>0</v>
      </c>
      <c r="X413" s="82">
        <f>MAX(MIN(SUMIFS(Логистика!$C$2:$C$38,Логистика!$A$2:$A$38,"&lt;="&amp;K413,Логистика!$B$2:$B$38,"&gt;="&amp;K413)*E413,SUMIFS(Логистика!$E$2:$E$38,Логистика!$A$2:$A$38,"&lt;="&amp;K413,Логистика!$B$2:$B$38,"&gt;="&amp;K413)),SUMIFS(Логистика!$D$2:$D$38,Логистика!$A$2:$A$38,"&lt;="&amp;K413,Логистика!$B$2:$B$38,"&gt;="&amp;K413))</f>
        <v>0</v>
      </c>
      <c r="Y413" s="83">
        <f>IF(AND(E413*0.055&gt;20,E413*0.055&lt;250),ROUNDUP(E413*0.055,2),IF(E413*0.055&lt;=20,20,250))</f>
        <v>20</v>
      </c>
      <c r="Z413" s="83">
        <f>ROUND(M413*0.05,2)</f>
        <v>0</v>
      </c>
      <c r="AA413" s="83">
        <f>IF(N413=0,0,IF(ROUND(E413*N413,2)&gt;5,ROUND(E413*N413,2),5))</f>
        <v>0</v>
      </c>
      <c r="AB413" s="83">
        <f>IF(O413="Да",ROUND(E413*0.1111,2),0)</f>
        <v>0</v>
      </c>
      <c r="AC413" s="53">
        <f>V413+W413+T413+X413+Y413+Z413+AA413+AB413</f>
        <v>45</v>
      </c>
      <c r="AD413" s="8">
        <v>0</v>
      </c>
      <c r="AE413" s="36">
        <f>ROUND(E413*AD413,2)</f>
        <v>0</v>
      </c>
      <c r="AF413" s="6">
        <v>15</v>
      </c>
      <c r="AG413" s="6">
        <v>15</v>
      </c>
      <c r="AH413" s="5"/>
      <c r="AI413" s="57">
        <f>E413-AC413-AE413-AH413</f>
        <v>-45</v>
      </c>
      <c r="AJ413" s="17">
        <f>E413-AC413</f>
        <v>-45</v>
      </c>
      <c r="AK413" s="20" t="e">
        <f>ROUND(AI413/E413,2)</f>
        <v>#DIV/0!</v>
      </c>
      <c r="AL413" s="21" t="e">
        <f t="shared" si="58"/>
        <v>#DIV/0!</v>
      </c>
    </row>
    <row r="414" spans="1:38" x14ac:dyDescent="0.25">
      <c r="A414" s="28"/>
      <c r="B414" s="46"/>
      <c r="C414" s="47"/>
      <c r="D414" s="38">
        <v>0</v>
      </c>
      <c r="E414" s="50">
        <f t="shared" si="61"/>
        <v>0</v>
      </c>
      <c r="F414" s="24"/>
      <c r="G414" s="7">
        <v>0</v>
      </c>
      <c r="H414" s="7">
        <v>0</v>
      </c>
      <c r="I414" s="7">
        <v>0</v>
      </c>
      <c r="J414" s="78">
        <f t="shared" si="62"/>
        <v>0</v>
      </c>
      <c r="K414" s="2">
        <f t="shared" si="63"/>
        <v>0</v>
      </c>
      <c r="L414" s="8">
        <v>0</v>
      </c>
      <c r="M414" s="1">
        <f t="shared" si="60"/>
        <v>0</v>
      </c>
      <c r="N414" s="41">
        <v>0</v>
      </c>
      <c r="O414" s="84" t="s">
        <v>275</v>
      </c>
      <c r="P414" s="24" t="s">
        <v>562</v>
      </c>
      <c r="Q414" s="7" t="s">
        <v>557</v>
      </c>
      <c r="R414" s="7"/>
      <c r="S414" s="81"/>
      <c r="T414" s="7">
        <v>25</v>
      </c>
      <c r="U414" s="82"/>
      <c r="V414" s="83">
        <f>ROUNDUP(E414*S414,2)</f>
        <v>0</v>
      </c>
      <c r="W414" s="83">
        <f>ROUNDUP(E414*0.015,2)</f>
        <v>0</v>
      </c>
      <c r="X414" s="82">
        <f>MAX(MIN(SUMIFS(Логистика!$C$2:$C$38,Логистика!$A$2:$A$38,"&lt;="&amp;K414,Логистика!$B$2:$B$38,"&gt;="&amp;K414)*E414,SUMIFS(Логистика!$E$2:$E$38,Логистика!$A$2:$A$38,"&lt;="&amp;K414,Логистика!$B$2:$B$38,"&gt;="&amp;K414)),SUMIFS(Логистика!$D$2:$D$38,Логистика!$A$2:$A$38,"&lt;="&amp;K414,Логистика!$B$2:$B$38,"&gt;="&amp;K414))</f>
        <v>0</v>
      </c>
      <c r="Y414" s="83">
        <f>IF(AND(E414*0.055&gt;20,E414*0.055&lt;250),ROUNDUP(E414*0.055,2),IF(E414*0.055&lt;=20,20,250))</f>
        <v>20</v>
      </c>
      <c r="Z414" s="83">
        <f>ROUND(M414*0.05,2)</f>
        <v>0</v>
      </c>
      <c r="AA414" s="83">
        <f>IF(N414=0,0,IF(ROUND(E414*N414,2)&gt;5,ROUND(E414*N414,2),5))</f>
        <v>0</v>
      </c>
      <c r="AB414" s="83">
        <f>IF(O414="Да",ROUND(E414*0.1111,2),0)</f>
        <v>0</v>
      </c>
      <c r="AC414" s="53">
        <f>V414+W414+T414+X414+Y414+Z414+AA414+AB414</f>
        <v>45</v>
      </c>
      <c r="AD414" s="8">
        <v>0</v>
      </c>
      <c r="AE414" s="36">
        <f>ROUND(E414*AD414,2)</f>
        <v>0</v>
      </c>
      <c r="AF414" s="6">
        <v>15</v>
      </c>
      <c r="AG414" s="6">
        <v>15</v>
      </c>
      <c r="AH414" s="5"/>
      <c r="AI414" s="57">
        <f>E414-AC414-AE414-AH414</f>
        <v>-45</v>
      </c>
      <c r="AJ414" s="17">
        <f>E414-AC414</f>
        <v>-45</v>
      </c>
      <c r="AK414" s="20" t="e">
        <f>ROUND(AI414/E414,2)</f>
        <v>#DIV/0!</v>
      </c>
      <c r="AL414" s="21" t="e">
        <f t="shared" si="58"/>
        <v>#DIV/0!</v>
      </c>
    </row>
    <row r="415" spans="1:38" x14ac:dyDescent="0.25">
      <c r="A415" s="28"/>
      <c r="B415" s="46"/>
      <c r="C415" s="47"/>
      <c r="D415" s="38">
        <v>0</v>
      </c>
      <c r="E415" s="50">
        <f t="shared" si="61"/>
        <v>0</v>
      </c>
      <c r="F415" s="24"/>
      <c r="G415" s="7">
        <v>0</v>
      </c>
      <c r="H415" s="7">
        <v>0</v>
      </c>
      <c r="I415" s="7">
        <v>0</v>
      </c>
      <c r="J415" s="78">
        <f t="shared" si="62"/>
        <v>0</v>
      </c>
      <c r="K415" s="2">
        <f t="shared" si="63"/>
        <v>0</v>
      </c>
      <c r="L415" s="8">
        <v>0</v>
      </c>
      <c r="M415" s="1">
        <f t="shared" si="60"/>
        <v>0</v>
      </c>
      <c r="N415" s="41">
        <v>0</v>
      </c>
      <c r="O415" s="84" t="s">
        <v>275</v>
      </c>
      <c r="P415" s="24" t="s">
        <v>562</v>
      </c>
      <c r="Q415" s="7" t="s">
        <v>557</v>
      </c>
      <c r="R415" s="7"/>
      <c r="S415" s="81"/>
      <c r="T415" s="7">
        <v>25</v>
      </c>
      <c r="U415" s="82"/>
      <c r="V415" s="83">
        <f>ROUNDUP(E415*S415,2)</f>
        <v>0</v>
      </c>
      <c r="W415" s="83">
        <f>ROUNDUP(E415*0.015,2)</f>
        <v>0</v>
      </c>
      <c r="X415" s="82">
        <f>MAX(MIN(SUMIFS(Логистика!$C$2:$C$38,Логистика!$A$2:$A$38,"&lt;="&amp;K415,Логистика!$B$2:$B$38,"&gt;="&amp;K415)*E415,SUMIFS(Логистика!$E$2:$E$38,Логистика!$A$2:$A$38,"&lt;="&amp;K415,Логистика!$B$2:$B$38,"&gt;="&amp;K415)),SUMIFS(Логистика!$D$2:$D$38,Логистика!$A$2:$A$38,"&lt;="&amp;K415,Логистика!$B$2:$B$38,"&gt;="&amp;K415))</f>
        <v>0</v>
      </c>
      <c r="Y415" s="83">
        <f>IF(AND(E415*0.055&gt;20,E415*0.055&lt;250),ROUNDUP(E415*0.055,2),IF(E415*0.055&lt;=20,20,250))</f>
        <v>20</v>
      </c>
      <c r="Z415" s="83">
        <f>ROUND(M415*0.05,2)</f>
        <v>0</v>
      </c>
      <c r="AA415" s="83">
        <f>IF(N415=0,0,IF(ROUND(E415*N415,2)&gt;5,ROUND(E415*N415,2),5))</f>
        <v>0</v>
      </c>
      <c r="AB415" s="83">
        <f>IF(O415="Да",ROUND(E415*0.1111,2),0)</f>
        <v>0</v>
      </c>
      <c r="AC415" s="53">
        <f>V415+W415+T415+X415+Y415+Z415+AA415+AB415</f>
        <v>45</v>
      </c>
      <c r="AD415" s="8">
        <v>0</v>
      </c>
      <c r="AE415" s="36">
        <f>ROUND(E415*AD415,2)</f>
        <v>0</v>
      </c>
      <c r="AF415" s="6">
        <v>15</v>
      </c>
      <c r="AG415" s="6">
        <v>15</v>
      </c>
      <c r="AH415" s="5"/>
      <c r="AI415" s="57">
        <f>E415-AC415-AE415-AH415</f>
        <v>-45</v>
      </c>
      <c r="AJ415" s="17">
        <f>E415-AC415</f>
        <v>-45</v>
      </c>
      <c r="AK415" s="20" t="e">
        <f>ROUND(AI415/E415,2)</f>
        <v>#DIV/0!</v>
      </c>
      <c r="AL415" s="21" t="e">
        <f t="shared" si="58"/>
        <v>#DIV/0!</v>
      </c>
    </row>
    <row r="416" spans="1:38" x14ac:dyDescent="0.25">
      <c r="A416" s="28"/>
      <c r="B416" s="46"/>
      <c r="C416" s="47"/>
      <c r="D416" s="38">
        <v>0</v>
      </c>
      <c r="E416" s="50">
        <f t="shared" si="61"/>
        <v>0</v>
      </c>
      <c r="F416" s="24"/>
      <c r="G416" s="7">
        <v>0</v>
      </c>
      <c r="H416" s="7">
        <v>0</v>
      </c>
      <c r="I416" s="7">
        <v>0</v>
      </c>
      <c r="J416" s="78">
        <f t="shared" si="62"/>
        <v>0</v>
      </c>
      <c r="K416" s="2">
        <f t="shared" si="63"/>
        <v>0</v>
      </c>
      <c r="L416" s="8">
        <v>0</v>
      </c>
      <c r="M416" s="1">
        <f t="shared" si="60"/>
        <v>0</v>
      </c>
      <c r="N416" s="41">
        <v>0</v>
      </c>
      <c r="O416" s="84" t="s">
        <v>275</v>
      </c>
      <c r="P416" s="24" t="s">
        <v>562</v>
      </c>
      <c r="Q416" s="7" t="s">
        <v>557</v>
      </c>
      <c r="R416" s="7"/>
      <c r="S416" s="81"/>
      <c r="T416" s="7">
        <v>25</v>
      </c>
      <c r="U416" s="82"/>
      <c r="V416" s="83">
        <f>ROUNDUP(E416*S416,2)</f>
        <v>0</v>
      </c>
      <c r="W416" s="83">
        <f>ROUNDUP(E416*0.015,2)</f>
        <v>0</v>
      </c>
      <c r="X416" s="82">
        <f>MAX(MIN(SUMIFS(Логистика!$C$2:$C$38,Логистика!$A$2:$A$38,"&lt;="&amp;K416,Логистика!$B$2:$B$38,"&gt;="&amp;K416)*E416,SUMIFS(Логистика!$E$2:$E$38,Логистика!$A$2:$A$38,"&lt;="&amp;K416,Логистика!$B$2:$B$38,"&gt;="&amp;K416)),SUMIFS(Логистика!$D$2:$D$38,Логистика!$A$2:$A$38,"&lt;="&amp;K416,Логистика!$B$2:$B$38,"&gt;="&amp;K416))</f>
        <v>0</v>
      </c>
      <c r="Y416" s="83">
        <f>IF(AND(E416*0.055&gt;20,E416*0.055&lt;250),ROUNDUP(E416*0.055,2),IF(E416*0.055&lt;=20,20,250))</f>
        <v>20</v>
      </c>
      <c r="Z416" s="83">
        <f>ROUND(M416*0.05,2)</f>
        <v>0</v>
      </c>
      <c r="AA416" s="83">
        <f>IF(N416=0,0,IF(ROUND(E416*N416,2)&gt;5,ROUND(E416*N416,2),5))</f>
        <v>0</v>
      </c>
      <c r="AB416" s="83">
        <f>IF(O416="Да",ROUND(E416*0.1111,2),0)</f>
        <v>0</v>
      </c>
      <c r="AC416" s="53">
        <f>V416+W416+T416+X416+Y416+Z416+AA416+AB416</f>
        <v>45</v>
      </c>
      <c r="AD416" s="8">
        <v>0</v>
      </c>
      <c r="AE416" s="36">
        <f>ROUND(E416*AD416,2)</f>
        <v>0</v>
      </c>
      <c r="AF416" s="6">
        <v>15</v>
      </c>
      <c r="AG416" s="6">
        <v>15</v>
      </c>
      <c r="AH416" s="5"/>
      <c r="AI416" s="57">
        <f>E416-AC416-AE416-AH416</f>
        <v>-45</v>
      </c>
      <c r="AJ416" s="17">
        <f>E416-AC416</f>
        <v>-45</v>
      </c>
      <c r="AK416" s="20" t="e">
        <f>ROUND(AI416/E416,2)</f>
        <v>#DIV/0!</v>
      </c>
      <c r="AL416" s="21" t="e">
        <f t="shared" si="58"/>
        <v>#DIV/0!</v>
      </c>
    </row>
    <row r="417" spans="1:38" x14ac:dyDescent="0.25">
      <c r="A417" s="28"/>
      <c r="B417" s="46"/>
      <c r="C417" s="47"/>
      <c r="D417" s="38">
        <v>0</v>
      </c>
      <c r="E417" s="50">
        <f t="shared" si="61"/>
        <v>0</v>
      </c>
      <c r="F417" s="24"/>
      <c r="G417" s="7">
        <v>0</v>
      </c>
      <c r="H417" s="7">
        <v>0</v>
      </c>
      <c r="I417" s="7">
        <v>0</v>
      </c>
      <c r="J417" s="78">
        <f t="shared" si="62"/>
        <v>0</v>
      </c>
      <c r="K417" s="2">
        <f t="shared" si="63"/>
        <v>0</v>
      </c>
      <c r="L417" s="8">
        <v>0</v>
      </c>
      <c r="M417" s="1">
        <f t="shared" si="60"/>
        <v>0</v>
      </c>
      <c r="N417" s="41">
        <v>0</v>
      </c>
      <c r="O417" s="84" t="s">
        <v>275</v>
      </c>
      <c r="P417" s="24" t="s">
        <v>562</v>
      </c>
      <c r="Q417" s="7" t="s">
        <v>557</v>
      </c>
      <c r="R417" s="7"/>
      <c r="S417" s="81"/>
      <c r="T417" s="7">
        <v>25</v>
      </c>
      <c r="U417" s="82"/>
      <c r="V417" s="83">
        <f>ROUNDUP(E417*S417,2)</f>
        <v>0</v>
      </c>
      <c r="W417" s="83">
        <f>ROUNDUP(E417*0.015,2)</f>
        <v>0</v>
      </c>
      <c r="X417" s="82">
        <f>MAX(MIN(SUMIFS(Логистика!$C$2:$C$38,Логистика!$A$2:$A$38,"&lt;="&amp;K417,Логистика!$B$2:$B$38,"&gt;="&amp;K417)*E417,SUMIFS(Логистика!$E$2:$E$38,Логистика!$A$2:$A$38,"&lt;="&amp;K417,Логистика!$B$2:$B$38,"&gt;="&amp;K417)),SUMIFS(Логистика!$D$2:$D$38,Логистика!$A$2:$A$38,"&lt;="&amp;K417,Логистика!$B$2:$B$38,"&gt;="&amp;K417))</f>
        <v>0</v>
      </c>
      <c r="Y417" s="83">
        <f>IF(AND(E417*0.055&gt;20,E417*0.055&lt;250),ROUNDUP(E417*0.055,2),IF(E417*0.055&lt;=20,20,250))</f>
        <v>20</v>
      </c>
      <c r="Z417" s="83">
        <f>ROUND(M417*0.05,2)</f>
        <v>0</v>
      </c>
      <c r="AA417" s="83">
        <f>IF(N417=0,0,IF(ROUND(E417*N417,2)&gt;5,ROUND(E417*N417,2),5))</f>
        <v>0</v>
      </c>
      <c r="AB417" s="83">
        <f>IF(O417="Да",ROUND(E417*0.1111,2),0)</f>
        <v>0</v>
      </c>
      <c r="AC417" s="53">
        <f>V417+W417+T417+X417+Y417+Z417+AA417+AB417</f>
        <v>45</v>
      </c>
      <c r="AD417" s="8">
        <v>0</v>
      </c>
      <c r="AE417" s="36">
        <f>ROUND(E417*AD417,2)</f>
        <v>0</v>
      </c>
      <c r="AF417" s="6">
        <v>15</v>
      </c>
      <c r="AG417" s="6">
        <v>15</v>
      </c>
      <c r="AH417" s="5"/>
      <c r="AI417" s="57">
        <f>E417-AC417-AE417-AH417</f>
        <v>-45</v>
      </c>
      <c r="AJ417" s="17">
        <f>E417-AC417</f>
        <v>-45</v>
      </c>
      <c r="AK417" s="20" t="e">
        <f>ROUND(AI417/E417,2)</f>
        <v>#DIV/0!</v>
      </c>
      <c r="AL417" s="21" t="e">
        <f t="shared" si="58"/>
        <v>#DIV/0!</v>
      </c>
    </row>
    <row r="418" spans="1:38" x14ac:dyDescent="0.25">
      <c r="A418" s="28"/>
      <c r="B418" s="46"/>
      <c r="C418" s="47"/>
      <c r="D418" s="38">
        <v>0</v>
      </c>
      <c r="E418" s="50">
        <f t="shared" si="61"/>
        <v>0</v>
      </c>
      <c r="F418" s="24"/>
      <c r="G418" s="7">
        <v>0</v>
      </c>
      <c r="H418" s="7">
        <v>0</v>
      </c>
      <c r="I418" s="7">
        <v>0</v>
      </c>
      <c r="J418" s="78">
        <f t="shared" si="62"/>
        <v>0</v>
      </c>
      <c r="K418" s="2">
        <f t="shared" si="63"/>
        <v>0</v>
      </c>
      <c r="L418" s="8">
        <v>0</v>
      </c>
      <c r="M418" s="1">
        <f t="shared" si="60"/>
        <v>0</v>
      </c>
      <c r="N418" s="41">
        <v>0</v>
      </c>
      <c r="O418" s="84" t="s">
        <v>275</v>
      </c>
      <c r="P418" s="24" t="s">
        <v>562</v>
      </c>
      <c r="Q418" s="7" t="s">
        <v>557</v>
      </c>
      <c r="R418" s="7"/>
      <c r="S418" s="81"/>
      <c r="T418" s="7">
        <v>25</v>
      </c>
      <c r="U418" s="82"/>
      <c r="V418" s="83">
        <f>ROUNDUP(E418*S418,2)</f>
        <v>0</v>
      </c>
      <c r="W418" s="83">
        <f>ROUNDUP(E418*0.015,2)</f>
        <v>0</v>
      </c>
      <c r="X418" s="82">
        <f>MAX(MIN(SUMIFS(Логистика!$C$2:$C$38,Логистика!$A$2:$A$38,"&lt;="&amp;K418,Логистика!$B$2:$B$38,"&gt;="&amp;K418)*E418,SUMIFS(Логистика!$E$2:$E$38,Логистика!$A$2:$A$38,"&lt;="&amp;K418,Логистика!$B$2:$B$38,"&gt;="&amp;K418)),SUMIFS(Логистика!$D$2:$D$38,Логистика!$A$2:$A$38,"&lt;="&amp;K418,Логистика!$B$2:$B$38,"&gt;="&amp;K418))</f>
        <v>0</v>
      </c>
      <c r="Y418" s="83">
        <f>IF(AND(E418*0.055&gt;20,E418*0.055&lt;250),ROUNDUP(E418*0.055,2),IF(E418*0.055&lt;=20,20,250))</f>
        <v>20</v>
      </c>
      <c r="Z418" s="83">
        <f>ROUND(M418*0.05,2)</f>
        <v>0</v>
      </c>
      <c r="AA418" s="83">
        <f>IF(N418=0,0,IF(ROUND(E418*N418,2)&gt;5,ROUND(E418*N418,2),5))</f>
        <v>0</v>
      </c>
      <c r="AB418" s="83">
        <f>IF(O418="Да",ROUND(E418*0.1111,2),0)</f>
        <v>0</v>
      </c>
      <c r="AC418" s="53">
        <f>V418+W418+T418+X418+Y418+Z418+AA418+AB418</f>
        <v>45</v>
      </c>
      <c r="AD418" s="8">
        <v>0</v>
      </c>
      <c r="AE418" s="36">
        <f>ROUND(E418*AD418,2)</f>
        <v>0</v>
      </c>
      <c r="AF418" s="6">
        <v>15</v>
      </c>
      <c r="AG418" s="6">
        <v>15</v>
      </c>
      <c r="AH418" s="5"/>
      <c r="AI418" s="57">
        <f>E418-AC418-AE418-AH418</f>
        <v>-45</v>
      </c>
      <c r="AJ418" s="17">
        <f>E418-AC418</f>
        <v>-45</v>
      </c>
      <c r="AK418" s="20" t="e">
        <f>ROUND(AI418/E418,2)</f>
        <v>#DIV/0!</v>
      </c>
      <c r="AL418" s="21" t="e">
        <f t="shared" si="58"/>
        <v>#DIV/0!</v>
      </c>
    </row>
    <row r="419" spans="1:38" x14ac:dyDescent="0.25">
      <c r="A419" s="28"/>
      <c r="B419" s="46"/>
      <c r="C419" s="47"/>
      <c r="D419" s="38">
        <v>0</v>
      </c>
      <c r="E419" s="50">
        <f t="shared" si="61"/>
        <v>0</v>
      </c>
      <c r="F419" s="24"/>
      <c r="G419" s="7">
        <v>0</v>
      </c>
      <c r="H419" s="7">
        <v>0</v>
      </c>
      <c r="I419" s="7">
        <v>0</v>
      </c>
      <c r="J419" s="78">
        <f t="shared" si="62"/>
        <v>0</v>
      </c>
      <c r="K419" s="2">
        <f t="shared" si="63"/>
        <v>0</v>
      </c>
      <c r="L419" s="8">
        <v>0</v>
      </c>
      <c r="M419" s="1">
        <f t="shared" si="60"/>
        <v>0</v>
      </c>
      <c r="N419" s="41">
        <v>0</v>
      </c>
      <c r="O419" s="84" t="s">
        <v>275</v>
      </c>
      <c r="P419" s="24" t="s">
        <v>562</v>
      </c>
      <c r="Q419" s="7" t="s">
        <v>557</v>
      </c>
      <c r="R419" s="7"/>
      <c r="S419" s="81"/>
      <c r="T419" s="7">
        <v>25</v>
      </c>
      <c r="U419" s="82"/>
      <c r="V419" s="83">
        <f>ROUNDUP(E419*S419,2)</f>
        <v>0</v>
      </c>
      <c r="W419" s="83">
        <f>ROUNDUP(E419*0.015,2)</f>
        <v>0</v>
      </c>
      <c r="X419" s="82">
        <f>MAX(MIN(SUMIFS(Логистика!$C$2:$C$38,Логистика!$A$2:$A$38,"&lt;="&amp;K419,Логистика!$B$2:$B$38,"&gt;="&amp;K419)*E419,SUMIFS(Логистика!$E$2:$E$38,Логистика!$A$2:$A$38,"&lt;="&amp;K419,Логистика!$B$2:$B$38,"&gt;="&amp;K419)),SUMIFS(Логистика!$D$2:$D$38,Логистика!$A$2:$A$38,"&lt;="&amp;K419,Логистика!$B$2:$B$38,"&gt;="&amp;K419))</f>
        <v>0</v>
      </c>
      <c r="Y419" s="83">
        <f>IF(AND(E419*0.055&gt;20,E419*0.055&lt;250),ROUNDUP(E419*0.055,2),IF(E419*0.055&lt;=20,20,250))</f>
        <v>20</v>
      </c>
      <c r="Z419" s="83">
        <f>ROUND(M419*0.05,2)</f>
        <v>0</v>
      </c>
      <c r="AA419" s="83">
        <f>IF(N419=0,0,IF(ROUND(E419*N419,2)&gt;5,ROUND(E419*N419,2),5))</f>
        <v>0</v>
      </c>
      <c r="AB419" s="83">
        <f>IF(O419="Да",ROUND(E419*0.1111,2),0)</f>
        <v>0</v>
      </c>
      <c r="AC419" s="53">
        <f>V419+W419+T419+X419+Y419+Z419+AA419+AB419</f>
        <v>45</v>
      </c>
      <c r="AD419" s="8">
        <v>0</v>
      </c>
      <c r="AE419" s="36">
        <f>ROUND(E419*AD419,2)</f>
        <v>0</v>
      </c>
      <c r="AF419" s="6">
        <v>15</v>
      </c>
      <c r="AG419" s="6">
        <v>15</v>
      </c>
      <c r="AH419" s="5"/>
      <c r="AI419" s="57">
        <f>E419-AC419-AE419-AH419</f>
        <v>-45</v>
      </c>
      <c r="AJ419" s="17">
        <f>E419-AC419</f>
        <v>-45</v>
      </c>
      <c r="AK419" s="20" t="e">
        <f>ROUND(AI419/E419,2)</f>
        <v>#DIV/0!</v>
      </c>
      <c r="AL419" s="21" t="e">
        <f t="shared" si="58"/>
        <v>#DIV/0!</v>
      </c>
    </row>
    <row r="420" spans="1:38" x14ac:dyDescent="0.25">
      <c r="A420" s="28"/>
      <c r="B420" s="46"/>
      <c r="C420" s="47"/>
      <c r="D420" s="38">
        <v>0</v>
      </c>
      <c r="E420" s="50">
        <f t="shared" si="61"/>
        <v>0</v>
      </c>
      <c r="F420" s="24"/>
      <c r="G420" s="7">
        <v>0</v>
      </c>
      <c r="H420" s="7">
        <v>0</v>
      </c>
      <c r="I420" s="7">
        <v>0</v>
      </c>
      <c r="J420" s="78">
        <f t="shared" si="62"/>
        <v>0</v>
      </c>
      <c r="K420" s="2">
        <f t="shared" si="63"/>
        <v>0</v>
      </c>
      <c r="L420" s="8">
        <v>0</v>
      </c>
      <c r="M420" s="1">
        <f t="shared" si="60"/>
        <v>0</v>
      </c>
      <c r="N420" s="41">
        <v>0</v>
      </c>
      <c r="O420" s="84" t="s">
        <v>275</v>
      </c>
      <c r="P420" s="24" t="s">
        <v>562</v>
      </c>
      <c r="Q420" s="7" t="s">
        <v>557</v>
      </c>
      <c r="R420" s="7"/>
      <c r="S420" s="81"/>
      <c r="T420" s="7">
        <v>25</v>
      </c>
      <c r="U420" s="82"/>
      <c r="V420" s="83">
        <f>ROUNDUP(E420*S420,2)</f>
        <v>0</v>
      </c>
      <c r="W420" s="83">
        <f>ROUNDUP(E420*0.015,2)</f>
        <v>0</v>
      </c>
      <c r="X420" s="82">
        <f>MAX(MIN(SUMIFS(Логистика!$C$2:$C$38,Логистика!$A$2:$A$38,"&lt;="&amp;K420,Логистика!$B$2:$B$38,"&gt;="&amp;K420)*E420,SUMIFS(Логистика!$E$2:$E$38,Логистика!$A$2:$A$38,"&lt;="&amp;K420,Логистика!$B$2:$B$38,"&gt;="&amp;K420)),SUMIFS(Логистика!$D$2:$D$38,Логистика!$A$2:$A$38,"&lt;="&amp;K420,Логистика!$B$2:$B$38,"&gt;="&amp;K420))</f>
        <v>0</v>
      </c>
      <c r="Y420" s="83">
        <f>IF(AND(E420*0.055&gt;20,E420*0.055&lt;250),ROUNDUP(E420*0.055,2),IF(E420*0.055&lt;=20,20,250))</f>
        <v>20</v>
      </c>
      <c r="Z420" s="83">
        <f>ROUND(M420*0.05,2)</f>
        <v>0</v>
      </c>
      <c r="AA420" s="83">
        <f>IF(N420=0,0,IF(ROUND(E420*N420,2)&gt;5,ROUND(E420*N420,2),5))</f>
        <v>0</v>
      </c>
      <c r="AB420" s="83">
        <f>IF(O420="Да",ROUND(E420*0.1111,2),0)</f>
        <v>0</v>
      </c>
      <c r="AC420" s="53">
        <f>V420+W420+T420+X420+Y420+Z420+AA420+AB420</f>
        <v>45</v>
      </c>
      <c r="AD420" s="8">
        <v>0</v>
      </c>
      <c r="AE420" s="36">
        <f>ROUND(E420*AD420,2)</f>
        <v>0</v>
      </c>
      <c r="AF420" s="6">
        <v>15</v>
      </c>
      <c r="AG420" s="6">
        <v>15</v>
      </c>
      <c r="AH420" s="5"/>
      <c r="AI420" s="57">
        <f>E420-AC420-AE420-AH420</f>
        <v>-45</v>
      </c>
      <c r="AJ420" s="17">
        <f>E420-AC420</f>
        <v>-45</v>
      </c>
      <c r="AK420" s="20" t="e">
        <f>ROUND(AI420/E420,2)</f>
        <v>#DIV/0!</v>
      </c>
      <c r="AL420" s="21" t="e">
        <f t="shared" si="58"/>
        <v>#DIV/0!</v>
      </c>
    </row>
    <row r="421" spans="1:38" x14ac:dyDescent="0.25">
      <c r="A421" s="28"/>
      <c r="B421" s="46"/>
      <c r="C421" s="47"/>
      <c r="D421" s="38">
        <v>0</v>
      </c>
      <c r="E421" s="50">
        <f t="shared" si="61"/>
        <v>0</v>
      </c>
      <c r="F421" s="24"/>
      <c r="G421" s="7">
        <v>0</v>
      </c>
      <c r="H421" s="7">
        <v>0</v>
      </c>
      <c r="I421" s="7">
        <v>0</v>
      </c>
      <c r="J421" s="78">
        <f t="shared" si="62"/>
        <v>0</v>
      </c>
      <c r="K421" s="2">
        <f t="shared" si="63"/>
        <v>0</v>
      </c>
      <c r="L421" s="8">
        <v>0</v>
      </c>
      <c r="M421" s="1">
        <f t="shared" si="60"/>
        <v>0</v>
      </c>
      <c r="N421" s="41">
        <v>0</v>
      </c>
      <c r="O421" s="84" t="s">
        <v>275</v>
      </c>
      <c r="P421" s="24" t="s">
        <v>562</v>
      </c>
      <c r="Q421" s="7" t="s">
        <v>557</v>
      </c>
      <c r="R421" s="7"/>
      <c r="S421" s="81"/>
      <c r="T421" s="7">
        <v>25</v>
      </c>
      <c r="U421" s="82"/>
      <c r="V421" s="83">
        <f>ROUNDUP(E421*S421,2)</f>
        <v>0</v>
      </c>
      <c r="W421" s="83">
        <f>ROUNDUP(E421*0.015,2)</f>
        <v>0</v>
      </c>
      <c r="X421" s="82">
        <f>MAX(MIN(SUMIFS(Логистика!$C$2:$C$38,Логистика!$A$2:$A$38,"&lt;="&amp;K421,Логистика!$B$2:$B$38,"&gt;="&amp;K421)*E421,SUMIFS(Логистика!$E$2:$E$38,Логистика!$A$2:$A$38,"&lt;="&amp;K421,Логистика!$B$2:$B$38,"&gt;="&amp;K421)),SUMIFS(Логистика!$D$2:$D$38,Логистика!$A$2:$A$38,"&lt;="&amp;K421,Логистика!$B$2:$B$38,"&gt;="&amp;K421))</f>
        <v>0</v>
      </c>
      <c r="Y421" s="83">
        <f>IF(AND(E421*0.055&gt;20,E421*0.055&lt;250),ROUNDUP(E421*0.055,2),IF(E421*0.055&lt;=20,20,250))</f>
        <v>20</v>
      </c>
      <c r="Z421" s="83">
        <f>ROUND(M421*0.05,2)</f>
        <v>0</v>
      </c>
      <c r="AA421" s="83">
        <f>IF(N421=0,0,IF(ROUND(E421*N421,2)&gt;5,ROUND(E421*N421,2),5))</f>
        <v>0</v>
      </c>
      <c r="AB421" s="83">
        <f>IF(O421="Да",ROUND(E421*0.1111,2),0)</f>
        <v>0</v>
      </c>
      <c r="AC421" s="53">
        <f>V421+W421+T421+X421+Y421+Z421+AA421+AB421</f>
        <v>45</v>
      </c>
      <c r="AD421" s="8">
        <v>0</v>
      </c>
      <c r="AE421" s="36">
        <f>ROUND(E421*AD421,2)</f>
        <v>0</v>
      </c>
      <c r="AF421" s="6">
        <v>15</v>
      </c>
      <c r="AG421" s="6">
        <v>15</v>
      </c>
      <c r="AH421" s="5"/>
      <c r="AI421" s="57">
        <f>E421-AC421-AE421-AH421</f>
        <v>-45</v>
      </c>
      <c r="AJ421" s="17">
        <f>E421-AC421</f>
        <v>-45</v>
      </c>
      <c r="AK421" s="20" t="e">
        <f>ROUND(AI421/E421,2)</f>
        <v>#DIV/0!</v>
      </c>
      <c r="AL421" s="21" t="e">
        <f t="shared" si="58"/>
        <v>#DIV/0!</v>
      </c>
    </row>
    <row r="422" spans="1:38" x14ac:dyDescent="0.25">
      <c r="A422" s="28"/>
      <c r="B422" s="46"/>
      <c r="C422" s="47"/>
      <c r="D422" s="38">
        <v>0</v>
      </c>
      <c r="E422" s="50">
        <f t="shared" si="61"/>
        <v>0</v>
      </c>
      <c r="F422" s="24"/>
      <c r="G422" s="7">
        <v>0</v>
      </c>
      <c r="H422" s="7">
        <v>0</v>
      </c>
      <c r="I422" s="7">
        <v>0</v>
      </c>
      <c r="J422" s="78">
        <f t="shared" si="62"/>
        <v>0</v>
      </c>
      <c r="K422" s="2">
        <f t="shared" si="63"/>
        <v>0</v>
      </c>
      <c r="L422" s="8">
        <v>0</v>
      </c>
      <c r="M422" s="1">
        <f t="shared" si="60"/>
        <v>0</v>
      </c>
      <c r="N422" s="41">
        <v>0</v>
      </c>
      <c r="O422" s="84" t="s">
        <v>275</v>
      </c>
      <c r="P422" s="24" t="s">
        <v>562</v>
      </c>
      <c r="Q422" s="7" t="s">
        <v>557</v>
      </c>
      <c r="R422" s="7"/>
      <c r="S422" s="81"/>
      <c r="T422" s="7">
        <v>25</v>
      </c>
      <c r="U422" s="82"/>
      <c r="V422" s="83">
        <f>ROUNDUP(E422*S422,2)</f>
        <v>0</v>
      </c>
      <c r="W422" s="83">
        <f>ROUNDUP(E422*0.015,2)</f>
        <v>0</v>
      </c>
      <c r="X422" s="82">
        <f>MAX(MIN(SUMIFS(Логистика!$C$2:$C$38,Логистика!$A$2:$A$38,"&lt;="&amp;K422,Логистика!$B$2:$B$38,"&gt;="&amp;K422)*E422,SUMIFS(Логистика!$E$2:$E$38,Логистика!$A$2:$A$38,"&lt;="&amp;K422,Логистика!$B$2:$B$38,"&gt;="&amp;K422)),SUMIFS(Логистика!$D$2:$D$38,Логистика!$A$2:$A$38,"&lt;="&amp;K422,Логистика!$B$2:$B$38,"&gt;="&amp;K422))</f>
        <v>0</v>
      </c>
      <c r="Y422" s="83">
        <f>IF(AND(E422*0.055&gt;20,E422*0.055&lt;250),ROUNDUP(E422*0.055,2),IF(E422*0.055&lt;=20,20,250))</f>
        <v>20</v>
      </c>
      <c r="Z422" s="83">
        <f>ROUND(M422*0.05,2)</f>
        <v>0</v>
      </c>
      <c r="AA422" s="83">
        <f>IF(N422=0,0,IF(ROUND(E422*N422,2)&gt;5,ROUND(E422*N422,2),5))</f>
        <v>0</v>
      </c>
      <c r="AB422" s="83">
        <f>IF(O422="Да",ROUND(E422*0.1111,2),0)</f>
        <v>0</v>
      </c>
      <c r="AC422" s="53">
        <f>V422+W422+T422+X422+Y422+Z422+AA422+AB422</f>
        <v>45</v>
      </c>
      <c r="AD422" s="8">
        <v>0</v>
      </c>
      <c r="AE422" s="36">
        <f>ROUND(E422*AD422,2)</f>
        <v>0</v>
      </c>
      <c r="AF422" s="6">
        <v>15</v>
      </c>
      <c r="AG422" s="6">
        <v>15</v>
      </c>
      <c r="AH422" s="5"/>
      <c r="AI422" s="57">
        <f>E422-AC422-AE422-AH422</f>
        <v>-45</v>
      </c>
      <c r="AJ422" s="17">
        <f>E422-AC422</f>
        <v>-45</v>
      </c>
      <c r="AK422" s="20" t="e">
        <f>ROUND(AI422/E422,2)</f>
        <v>#DIV/0!</v>
      </c>
      <c r="AL422" s="21" t="e">
        <f t="shared" si="58"/>
        <v>#DIV/0!</v>
      </c>
    </row>
    <row r="423" spans="1:38" x14ac:dyDescent="0.25">
      <c r="A423" s="28"/>
      <c r="B423" s="46"/>
      <c r="C423" s="47"/>
      <c r="D423" s="38">
        <v>0</v>
      </c>
      <c r="E423" s="50">
        <f t="shared" si="61"/>
        <v>0</v>
      </c>
      <c r="F423" s="24"/>
      <c r="G423" s="7">
        <v>0</v>
      </c>
      <c r="H423" s="7">
        <v>0</v>
      </c>
      <c r="I423" s="7">
        <v>0</v>
      </c>
      <c r="J423" s="78">
        <f t="shared" si="62"/>
        <v>0</v>
      </c>
      <c r="K423" s="2">
        <f t="shared" si="63"/>
        <v>0</v>
      </c>
      <c r="L423" s="8">
        <v>0</v>
      </c>
      <c r="M423" s="1">
        <f t="shared" si="60"/>
        <v>0</v>
      </c>
      <c r="N423" s="41">
        <v>0</v>
      </c>
      <c r="O423" s="84" t="s">
        <v>275</v>
      </c>
      <c r="P423" s="24" t="s">
        <v>562</v>
      </c>
      <c r="Q423" s="7" t="s">
        <v>557</v>
      </c>
      <c r="R423" s="7"/>
      <c r="S423" s="81"/>
      <c r="T423" s="7">
        <v>25</v>
      </c>
      <c r="U423" s="82"/>
      <c r="V423" s="83">
        <f>ROUNDUP(E423*S423,2)</f>
        <v>0</v>
      </c>
      <c r="W423" s="83">
        <f>ROUNDUP(E423*0.015,2)</f>
        <v>0</v>
      </c>
      <c r="X423" s="82">
        <f>MAX(MIN(SUMIFS(Логистика!$C$2:$C$38,Логистика!$A$2:$A$38,"&lt;="&amp;K423,Логистика!$B$2:$B$38,"&gt;="&amp;K423)*E423,SUMIFS(Логистика!$E$2:$E$38,Логистика!$A$2:$A$38,"&lt;="&amp;K423,Логистика!$B$2:$B$38,"&gt;="&amp;K423)),SUMIFS(Логистика!$D$2:$D$38,Логистика!$A$2:$A$38,"&lt;="&amp;K423,Логистика!$B$2:$B$38,"&gt;="&amp;K423))</f>
        <v>0</v>
      </c>
      <c r="Y423" s="83">
        <f>IF(AND(E423*0.055&gt;20,E423*0.055&lt;250),ROUNDUP(E423*0.055,2),IF(E423*0.055&lt;=20,20,250))</f>
        <v>20</v>
      </c>
      <c r="Z423" s="83">
        <f>ROUND(M423*0.05,2)</f>
        <v>0</v>
      </c>
      <c r="AA423" s="83">
        <f>IF(N423=0,0,IF(ROUND(E423*N423,2)&gt;5,ROUND(E423*N423,2),5))</f>
        <v>0</v>
      </c>
      <c r="AB423" s="83">
        <f>IF(O423="Да",ROUND(E423*0.1111,2),0)</f>
        <v>0</v>
      </c>
      <c r="AC423" s="53">
        <f>V423+W423+T423+X423+Y423+Z423+AA423+AB423</f>
        <v>45</v>
      </c>
      <c r="AD423" s="8">
        <v>0</v>
      </c>
      <c r="AE423" s="36">
        <f>ROUND(E423*AD423,2)</f>
        <v>0</v>
      </c>
      <c r="AF423" s="6">
        <v>15</v>
      </c>
      <c r="AG423" s="6">
        <v>15</v>
      </c>
      <c r="AH423" s="5"/>
      <c r="AI423" s="57">
        <f>E423-AC423-AE423-AH423</f>
        <v>-45</v>
      </c>
      <c r="AJ423" s="17">
        <f>E423-AC423</f>
        <v>-45</v>
      </c>
      <c r="AK423" s="20" t="e">
        <f>ROUND(AI423/E423,2)</f>
        <v>#DIV/0!</v>
      </c>
      <c r="AL423" s="21" t="e">
        <f t="shared" si="58"/>
        <v>#DIV/0!</v>
      </c>
    </row>
    <row r="424" spans="1:38" x14ac:dyDescent="0.25">
      <c r="A424" s="28"/>
      <c r="B424" s="46"/>
      <c r="C424" s="47"/>
      <c r="D424" s="38">
        <v>0</v>
      </c>
      <c r="E424" s="50">
        <f t="shared" si="61"/>
        <v>0</v>
      </c>
      <c r="F424" s="24"/>
      <c r="G424" s="7">
        <v>0</v>
      </c>
      <c r="H424" s="7">
        <v>0</v>
      </c>
      <c r="I424" s="7">
        <v>0</v>
      </c>
      <c r="J424" s="78">
        <f t="shared" si="62"/>
        <v>0</v>
      </c>
      <c r="K424" s="2">
        <f t="shared" si="63"/>
        <v>0</v>
      </c>
      <c r="L424" s="8">
        <v>0</v>
      </c>
      <c r="M424" s="1">
        <f t="shared" si="60"/>
        <v>0</v>
      </c>
      <c r="N424" s="41">
        <v>0</v>
      </c>
      <c r="O424" s="84" t="s">
        <v>275</v>
      </c>
      <c r="P424" s="24" t="s">
        <v>562</v>
      </c>
      <c r="Q424" s="7" t="s">
        <v>557</v>
      </c>
      <c r="R424" s="7"/>
      <c r="S424" s="81"/>
      <c r="T424" s="7">
        <v>25</v>
      </c>
      <c r="U424" s="82"/>
      <c r="V424" s="83">
        <f>ROUNDUP(E424*S424,2)</f>
        <v>0</v>
      </c>
      <c r="W424" s="83">
        <f>ROUNDUP(E424*0.015,2)</f>
        <v>0</v>
      </c>
      <c r="X424" s="82">
        <f>MAX(MIN(SUMIFS(Логистика!$C$2:$C$38,Логистика!$A$2:$A$38,"&lt;="&amp;K424,Логистика!$B$2:$B$38,"&gt;="&amp;K424)*E424,SUMIFS(Логистика!$E$2:$E$38,Логистика!$A$2:$A$38,"&lt;="&amp;K424,Логистика!$B$2:$B$38,"&gt;="&amp;K424)),SUMIFS(Логистика!$D$2:$D$38,Логистика!$A$2:$A$38,"&lt;="&amp;K424,Логистика!$B$2:$B$38,"&gt;="&amp;K424))</f>
        <v>0</v>
      </c>
      <c r="Y424" s="83">
        <f>IF(AND(E424*0.055&gt;20,E424*0.055&lt;250),ROUNDUP(E424*0.055,2),IF(E424*0.055&lt;=20,20,250))</f>
        <v>20</v>
      </c>
      <c r="Z424" s="83">
        <f>ROUND(M424*0.05,2)</f>
        <v>0</v>
      </c>
      <c r="AA424" s="83">
        <f>IF(N424=0,0,IF(ROUND(E424*N424,2)&gt;5,ROUND(E424*N424,2),5))</f>
        <v>0</v>
      </c>
      <c r="AB424" s="83">
        <f>IF(O424="Да",ROUND(E424*0.1111,2),0)</f>
        <v>0</v>
      </c>
      <c r="AC424" s="53">
        <f>V424+W424+T424+X424+Y424+Z424+AA424+AB424</f>
        <v>45</v>
      </c>
      <c r="AD424" s="8">
        <v>0</v>
      </c>
      <c r="AE424" s="36">
        <f>ROUND(E424*AD424,2)</f>
        <v>0</v>
      </c>
      <c r="AF424" s="6">
        <v>15</v>
      </c>
      <c r="AG424" s="6">
        <v>15</v>
      </c>
      <c r="AH424" s="5"/>
      <c r="AI424" s="57">
        <f>E424-AC424-AE424-AH424</f>
        <v>-45</v>
      </c>
      <c r="AJ424" s="17">
        <f>E424-AC424</f>
        <v>-45</v>
      </c>
      <c r="AK424" s="20" t="e">
        <f>ROUND(AI424/E424,2)</f>
        <v>#DIV/0!</v>
      </c>
      <c r="AL424" s="21" t="e">
        <f t="shared" si="58"/>
        <v>#DIV/0!</v>
      </c>
    </row>
    <row r="425" spans="1:38" x14ac:dyDescent="0.25">
      <c r="A425" s="28"/>
      <c r="B425" s="46"/>
      <c r="C425" s="47"/>
      <c r="D425" s="38">
        <v>0</v>
      </c>
      <c r="E425" s="50">
        <f t="shared" si="61"/>
        <v>0</v>
      </c>
      <c r="F425" s="24"/>
      <c r="G425" s="7">
        <v>0</v>
      </c>
      <c r="H425" s="7">
        <v>0</v>
      </c>
      <c r="I425" s="7">
        <v>0</v>
      </c>
      <c r="J425" s="78">
        <f t="shared" si="62"/>
        <v>0</v>
      </c>
      <c r="K425" s="2">
        <f t="shared" si="63"/>
        <v>0</v>
      </c>
      <c r="L425" s="8">
        <v>0</v>
      </c>
      <c r="M425" s="1">
        <f t="shared" si="60"/>
        <v>0</v>
      </c>
      <c r="N425" s="41">
        <v>0</v>
      </c>
      <c r="O425" s="84" t="s">
        <v>275</v>
      </c>
      <c r="P425" s="24" t="s">
        <v>562</v>
      </c>
      <c r="Q425" s="7" t="s">
        <v>557</v>
      </c>
      <c r="R425" s="7"/>
      <c r="S425" s="81"/>
      <c r="T425" s="7">
        <v>25</v>
      </c>
      <c r="U425" s="82"/>
      <c r="V425" s="83">
        <f>ROUNDUP(E425*S425,2)</f>
        <v>0</v>
      </c>
      <c r="W425" s="83">
        <f>ROUNDUP(E425*0.015,2)</f>
        <v>0</v>
      </c>
      <c r="X425" s="82">
        <f>MAX(MIN(SUMIFS(Логистика!$C$2:$C$38,Логистика!$A$2:$A$38,"&lt;="&amp;K425,Логистика!$B$2:$B$38,"&gt;="&amp;K425)*E425,SUMIFS(Логистика!$E$2:$E$38,Логистика!$A$2:$A$38,"&lt;="&amp;K425,Логистика!$B$2:$B$38,"&gt;="&amp;K425)),SUMIFS(Логистика!$D$2:$D$38,Логистика!$A$2:$A$38,"&lt;="&amp;K425,Логистика!$B$2:$B$38,"&gt;="&amp;K425))</f>
        <v>0</v>
      </c>
      <c r="Y425" s="83">
        <f>IF(AND(E425*0.055&gt;20,E425*0.055&lt;250),ROUNDUP(E425*0.055,2),IF(E425*0.055&lt;=20,20,250))</f>
        <v>20</v>
      </c>
      <c r="Z425" s="83">
        <f>ROUND(M425*0.05,2)</f>
        <v>0</v>
      </c>
      <c r="AA425" s="83">
        <f>IF(N425=0,0,IF(ROUND(E425*N425,2)&gt;5,ROUND(E425*N425,2),5))</f>
        <v>0</v>
      </c>
      <c r="AB425" s="83">
        <f>IF(O425="Да",ROUND(E425*0.1111,2),0)</f>
        <v>0</v>
      </c>
      <c r="AC425" s="53">
        <f>V425+W425+T425+X425+Y425+Z425+AA425+AB425</f>
        <v>45</v>
      </c>
      <c r="AD425" s="8">
        <v>0</v>
      </c>
      <c r="AE425" s="36">
        <f>ROUND(E425*AD425,2)</f>
        <v>0</v>
      </c>
      <c r="AF425" s="6">
        <v>15</v>
      </c>
      <c r="AG425" s="6">
        <v>15</v>
      </c>
      <c r="AH425" s="5"/>
      <c r="AI425" s="57">
        <f>E425-AC425-AE425-AH425</f>
        <v>-45</v>
      </c>
      <c r="AJ425" s="17">
        <f>E425-AC425</f>
        <v>-45</v>
      </c>
      <c r="AK425" s="20" t="e">
        <f>ROUND(AI425/E425,2)</f>
        <v>#DIV/0!</v>
      </c>
      <c r="AL425" s="21" t="e">
        <f t="shared" si="58"/>
        <v>#DIV/0!</v>
      </c>
    </row>
    <row r="426" spans="1:38" x14ac:dyDescent="0.25">
      <c r="A426" s="28"/>
      <c r="B426" s="46"/>
      <c r="C426" s="47"/>
      <c r="D426" s="38">
        <v>0</v>
      </c>
      <c r="E426" s="50">
        <f t="shared" si="61"/>
        <v>0</v>
      </c>
      <c r="F426" s="24"/>
      <c r="G426" s="7">
        <v>0</v>
      </c>
      <c r="H426" s="7">
        <v>0</v>
      </c>
      <c r="I426" s="7">
        <v>0</v>
      </c>
      <c r="J426" s="78">
        <f t="shared" si="62"/>
        <v>0</v>
      </c>
      <c r="K426" s="2">
        <f t="shared" si="63"/>
        <v>0</v>
      </c>
      <c r="L426" s="8">
        <v>0</v>
      </c>
      <c r="M426" s="1">
        <f t="shared" si="60"/>
        <v>0</v>
      </c>
      <c r="N426" s="41">
        <v>0</v>
      </c>
      <c r="O426" s="84" t="s">
        <v>275</v>
      </c>
      <c r="P426" s="24" t="s">
        <v>562</v>
      </c>
      <c r="Q426" s="7" t="s">
        <v>557</v>
      </c>
      <c r="R426" s="7"/>
      <c r="S426" s="81"/>
      <c r="T426" s="7">
        <v>25</v>
      </c>
      <c r="U426" s="82"/>
      <c r="V426" s="83">
        <f>ROUNDUP(E426*S426,2)</f>
        <v>0</v>
      </c>
      <c r="W426" s="83">
        <f>ROUNDUP(E426*0.015,2)</f>
        <v>0</v>
      </c>
      <c r="X426" s="82">
        <f>MAX(MIN(SUMIFS(Логистика!$C$2:$C$38,Логистика!$A$2:$A$38,"&lt;="&amp;K426,Логистика!$B$2:$B$38,"&gt;="&amp;K426)*E426,SUMIFS(Логистика!$E$2:$E$38,Логистика!$A$2:$A$38,"&lt;="&amp;K426,Логистика!$B$2:$B$38,"&gt;="&amp;K426)),SUMIFS(Логистика!$D$2:$D$38,Логистика!$A$2:$A$38,"&lt;="&amp;K426,Логистика!$B$2:$B$38,"&gt;="&amp;K426))</f>
        <v>0</v>
      </c>
      <c r="Y426" s="83">
        <f>IF(AND(E426*0.055&gt;20,E426*0.055&lt;250),ROUNDUP(E426*0.055,2),IF(E426*0.055&lt;=20,20,250))</f>
        <v>20</v>
      </c>
      <c r="Z426" s="83">
        <f>ROUND(M426*0.05,2)</f>
        <v>0</v>
      </c>
      <c r="AA426" s="83">
        <f>IF(N426=0,0,IF(ROUND(E426*N426,2)&gt;5,ROUND(E426*N426,2),5))</f>
        <v>0</v>
      </c>
      <c r="AB426" s="83">
        <f>IF(O426="Да",ROUND(E426*0.1111,2),0)</f>
        <v>0</v>
      </c>
      <c r="AC426" s="53">
        <f>V426+W426+T426+X426+Y426+Z426+AA426+AB426</f>
        <v>45</v>
      </c>
      <c r="AD426" s="8">
        <v>0</v>
      </c>
      <c r="AE426" s="36">
        <f>ROUND(E426*AD426,2)</f>
        <v>0</v>
      </c>
      <c r="AF426" s="6">
        <v>15</v>
      </c>
      <c r="AG426" s="6">
        <v>15</v>
      </c>
      <c r="AH426" s="5"/>
      <c r="AI426" s="57">
        <f>E426-AC426-AE426-AH426</f>
        <v>-45</v>
      </c>
      <c r="AJ426" s="17">
        <f>E426-AC426</f>
        <v>-45</v>
      </c>
      <c r="AK426" s="20" t="e">
        <f>ROUND(AI426/E426,2)</f>
        <v>#DIV/0!</v>
      </c>
      <c r="AL426" s="21" t="e">
        <f t="shared" si="58"/>
        <v>#DIV/0!</v>
      </c>
    </row>
    <row r="427" spans="1:38" x14ac:dyDescent="0.25">
      <c r="A427" s="28"/>
      <c r="B427" s="46"/>
      <c r="C427" s="47"/>
      <c r="D427" s="38">
        <v>0</v>
      </c>
      <c r="E427" s="50">
        <f t="shared" si="61"/>
        <v>0</v>
      </c>
      <c r="F427" s="24"/>
      <c r="G427" s="7">
        <v>0</v>
      </c>
      <c r="H427" s="7">
        <v>0</v>
      </c>
      <c r="I427" s="7">
        <v>0</v>
      </c>
      <c r="J427" s="78">
        <f t="shared" si="62"/>
        <v>0</v>
      </c>
      <c r="K427" s="2">
        <f t="shared" si="63"/>
        <v>0</v>
      </c>
      <c r="L427" s="8">
        <v>0</v>
      </c>
      <c r="M427" s="1">
        <f t="shared" si="60"/>
        <v>0</v>
      </c>
      <c r="N427" s="41">
        <v>0</v>
      </c>
      <c r="O427" s="84" t="s">
        <v>275</v>
      </c>
      <c r="P427" s="24" t="s">
        <v>562</v>
      </c>
      <c r="Q427" s="7" t="s">
        <v>557</v>
      </c>
      <c r="R427" s="7"/>
      <c r="S427" s="81"/>
      <c r="T427" s="7">
        <v>25</v>
      </c>
      <c r="U427" s="82"/>
      <c r="V427" s="83">
        <f>ROUNDUP(E427*S427,2)</f>
        <v>0</v>
      </c>
      <c r="W427" s="83">
        <f>ROUNDUP(E427*0.015,2)</f>
        <v>0</v>
      </c>
      <c r="X427" s="82">
        <f>MAX(MIN(SUMIFS(Логистика!$C$2:$C$38,Логистика!$A$2:$A$38,"&lt;="&amp;K427,Логистика!$B$2:$B$38,"&gt;="&amp;K427)*E427,SUMIFS(Логистика!$E$2:$E$38,Логистика!$A$2:$A$38,"&lt;="&amp;K427,Логистика!$B$2:$B$38,"&gt;="&amp;K427)),SUMIFS(Логистика!$D$2:$D$38,Логистика!$A$2:$A$38,"&lt;="&amp;K427,Логистика!$B$2:$B$38,"&gt;="&amp;K427))</f>
        <v>0</v>
      </c>
      <c r="Y427" s="83">
        <f>IF(AND(E427*0.055&gt;20,E427*0.055&lt;250),ROUNDUP(E427*0.055,2),IF(E427*0.055&lt;=20,20,250))</f>
        <v>20</v>
      </c>
      <c r="Z427" s="83">
        <f>ROUND(M427*0.05,2)</f>
        <v>0</v>
      </c>
      <c r="AA427" s="83">
        <f>IF(N427=0,0,IF(ROUND(E427*N427,2)&gt;5,ROUND(E427*N427,2),5))</f>
        <v>0</v>
      </c>
      <c r="AB427" s="83">
        <f>IF(O427="Да",ROUND(E427*0.1111,2),0)</f>
        <v>0</v>
      </c>
      <c r="AC427" s="53">
        <f>V427+W427+T427+X427+Y427+Z427+AA427+AB427</f>
        <v>45</v>
      </c>
      <c r="AD427" s="8">
        <v>0</v>
      </c>
      <c r="AE427" s="36">
        <f>ROUND(E427*AD427,2)</f>
        <v>0</v>
      </c>
      <c r="AF427" s="6">
        <v>15</v>
      </c>
      <c r="AG427" s="6">
        <v>15</v>
      </c>
      <c r="AH427" s="5"/>
      <c r="AI427" s="57">
        <f>E427-AC427-AE427-AH427</f>
        <v>-45</v>
      </c>
      <c r="AJ427" s="17">
        <f>E427-AC427</f>
        <v>-45</v>
      </c>
      <c r="AK427" s="20" t="e">
        <f>ROUND(AI427/E427,2)</f>
        <v>#DIV/0!</v>
      </c>
      <c r="AL427" s="21" t="e">
        <f t="shared" si="58"/>
        <v>#DIV/0!</v>
      </c>
    </row>
    <row r="428" spans="1:38" x14ac:dyDescent="0.25">
      <c r="A428" s="28"/>
      <c r="B428" s="46"/>
      <c r="C428" s="47"/>
      <c r="D428" s="38">
        <v>0</v>
      </c>
      <c r="E428" s="50">
        <f t="shared" si="61"/>
        <v>0</v>
      </c>
      <c r="F428" s="24"/>
      <c r="G428" s="7">
        <v>0</v>
      </c>
      <c r="H428" s="7">
        <v>0</v>
      </c>
      <c r="I428" s="7">
        <v>0</v>
      </c>
      <c r="J428" s="78">
        <f t="shared" si="62"/>
        <v>0</v>
      </c>
      <c r="K428" s="2">
        <f t="shared" si="63"/>
        <v>0</v>
      </c>
      <c r="L428" s="8">
        <v>0</v>
      </c>
      <c r="M428" s="1">
        <f t="shared" si="60"/>
        <v>0</v>
      </c>
      <c r="N428" s="41">
        <v>0</v>
      </c>
      <c r="O428" s="84" t="s">
        <v>275</v>
      </c>
      <c r="P428" s="24" t="s">
        <v>562</v>
      </c>
      <c r="Q428" s="7" t="s">
        <v>557</v>
      </c>
      <c r="R428" s="7"/>
      <c r="S428" s="81"/>
      <c r="T428" s="7">
        <v>25</v>
      </c>
      <c r="U428" s="82"/>
      <c r="V428" s="83">
        <f>ROUNDUP(E428*S428,2)</f>
        <v>0</v>
      </c>
      <c r="W428" s="83">
        <f>ROUNDUP(E428*0.015,2)</f>
        <v>0</v>
      </c>
      <c r="X428" s="82">
        <f>MAX(MIN(SUMIFS(Логистика!$C$2:$C$38,Логистика!$A$2:$A$38,"&lt;="&amp;K428,Логистика!$B$2:$B$38,"&gt;="&amp;K428)*E428,SUMIFS(Логистика!$E$2:$E$38,Логистика!$A$2:$A$38,"&lt;="&amp;K428,Логистика!$B$2:$B$38,"&gt;="&amp;K428)),SUMIFS(Логистика!$D$2:$D$38,Логистика!$A$2:$A$38,"&lt;="&amp;K428,Логистика!$B$2:$B$38,"&gt;="&amp;K428))</f>
        <v>0</v>
      </c>
      <c r="Y428" s="83">
        <f>IF(AND(E428*0.055&gt;20,E428*0.055&lt;250),ROUNDUP(E428*0.055,2),IF(E428*0.055&lt;=20,20,250))</f>
        <v>20</v>
      </c>
      <c r="Z428" s="83">
        <f>ROUND(M428*0.05,2)</f>
        <v>0</v>
      </c>
      <c r="AA428" s="83">
        <f>IF(N428=0,0,IF(ROUND(E428*N428,2)&gt;5,ROUND(E428*N428,2),5))</f>
        <v>0</v>
      </c>
      <c r="AB428" s="83">
        <f>IF(O428="Да",ROUND(E428*0.1111,2),0)</f>
        <v>0</v>
      </c>
      <c r="AC428" s="53">
        <f>V428+W428+T428+X428+Y428+Z428+AA428+AB428</f>
        <v>45</v>
      </c>
      <c r="AD428" s="8">
        <v>0</v>
      </c>
      <c r="AE428" s="36">
        <f>ROUND(E428*AD428,2)</f>
        <v>0</v>
      </c>
      <c r="AF428" s="6">
        <v>15</v>
      </c>
      <c r="AG428" s="6">
        <v>15</v>
      </c>
      <c r="AH428" s="5"/>
      <c r="AI428" s="57">
        <f>E428-AC428-AE428-AH428</f>
        <v>-45</v>
      </c>
      <c r="AJ428" s="17">
        <f>E428-AC428</f>
        <v>-45</v>
      </c>
      <c r="AK428" s="20" t="e">
        <f>ROUND(AI428/E428,2)</f>
        <v>#DIV/0!</v>
      </c>
      <c r="AL428" s="21" t="e">
        <f t="shared" si="58"/>
        <v>#DIV/0!</v>
      </c>
    </row>
    <row r="429" spans="1:38" ht="15.75" thickBot="1" x14ac:dyDescent="0.3">
      <c r="A429" s="28"/>
      <c r="B429" s="46"/>
      <c r="C429" s="47"/>
      <c r="D429" s="38">
        <v>0</v>
      </c>
      <c r="E429" s="50">
        <f t="shared" si="61"/>
        <v>0</v>
      </c>
      <c r="F429" s="24"/>
      <c r="G429" s="7">
        <v>0</v>
      </c>
      <c r="H429" s="7">
        <v>0</v>
      </c>
      <c r="I429" s="7">
        <v>0</v>
      </c>
      <c r="J429" s="78">
        <f t="shared" si="62"/>
        <v>0</v>
      </c>
      <c r="K429" s="2">
        <f t="shared" si="63"/>
        <v>0</v>
      </c>
      <c r="L429" s="85">
        <v>0</v>
      </c>
      <c r="M429" s="86">
        <f t="shared" si="60"/>
        <v>0</v>
      </c>
      <c r="N429" s="87">
        <v>0</v>
      </c>
      <c r="O429" s="88" t="s">
        <v>275</v>
      </c>
      <c r="P429" s="24" t="s">
        <v>562</v>
      </c>
      <c r="Q429" s="7" t="s">
        <v>557</v>
      </c>
      <c r="R429" s="7"/>
      <c r="S429" s="81"/>
      <c r="T429" s="7">
        <v>25</v>
      </c>
      <c r="U429" s="82"/>
      <c r="V429" s="83">
        <f>ROUNDUP(E429*S429,2)</f>
        <v>0</v>
      </c>
      <c r="W429" s="83">
        <f>ROUNDUP(E429*0.015,2)</f>
        <v>0</v>
      </c>
      <c r="X429" s="82">
        <f>MAX(MIN(SUMIFS(Логистика!$C$2:$C$38,Логистика!$A$2:$A$38,"&lt;="&amp;K429,Логистика!$B$2:$B$38,"&gt;="&amp;K429)*E429,SUMIFS(Логистика!$E$2:$E$38,Логистика!$A$2:$A$38,"&lt;="&amp;K429,Логистика!$B$2:$B$38,"&gt;="&amp;K429)),SUMIFS(Логистика!$D$2:$D$38,Логистика!$A$2:$A$38,"&lt;="&amp;K429,Логистика!$B$2:$B$38,"&gt;="&amp;K429))</f>
        <v>0</v>
      </c>
      <c r="Y429" s="83">
        <f>IF(AND(E429*0.055&gt;20,E429*0.055&lt;250),ROUNDUP(E429*0.055,2),IF(E429*0.055&lt;=20,20,250))</f>
        <v>20</v>
      </c>
      <c r="Z429" s="83">
        <f>ROUND(M429*0.05,2)</f>
        <v>0</v>
      </c>
      <c r="AA429" s="83">
        <f>IF(N429=0,0,IF(ROUND(E429*N429,2)&gt;5,ROUND(E429*N429,2),5))</f>
        <v>0</v>
      </c>
      <c r="AB429" s="83">
        <f>IF(O429="Да",ROUND(E429*0.1111,2),0)</f>
        <v>0</v>
      </c>
      <c r="AC429" s="53">
        <f>V429+W429+T429+X429+Y429+Z429+AA429+AB429</f>
        <v>45</v>
      </c>
      <c r="AD429" s="8">
        <v>0</v>
      </c>
      <c r="AE429" s="36">
        <f>ROUND(E429*AD429,2)</f>
        <v>0</v>
      </c>
      <c r="AF429" s="6">
        <v>15</v>
      </c>
      <c r="AG429" s="6">
        <v>15</v>
      </c>
      <c r="AH429" s="5"/>
      <c r="AI429" s="57">
        <f>E429-AC429-AE429-AH429</f>
        <v>-45</v>
      </c>
      <c r="AJ429" s="17">
        <f>E429-AC429</f>
        <v>-45</v>
      </c>
      <c r="AK429" s="20" t="e">
        <f>ROUND(AI429/E429,2)</f>
        <v>#DIV/0!</v>
      </c>
      <c r="AL429" s="21" t="e">
        <f t="shared" si="58"/>
        <v>#DIV/0!</v>
      </c>
    </row>
  </sheetData>
  <mergeCells count="7">
    <mergeCell ref="AI1:AL1"/>
    <mergeCell ref="AD1:AH1"/>
    <mergeCell ref="C1:E1"/>
    <mergeCell ref="F1:K1"/>
    <mergeCell ref="A1:B1"/>
    <mergeCell ref="L1:O1"/>
    <mergeCell ref="P1:AC1"/>
  </mergeCells>
  <dataValidations count="2">
    <dataValidation type="list" allowBlank="1" showInputMessage="1" showErrorMessage="1" sqref="O3:O429">
      <formula1>"Да,Нет"</formula1>
    </dataValidation>
    <dataValidation type="list" allowBlank="1" showInputMessage="1" showErrorMessage="1" sqref="P3:P429">
      <formula1>"FBO,FBS"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'Хранение FBO'!$A$2:$A$5</xm:f>
          </x14:formula1>
          <xm:sqref>Q3:Q429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="95" zoomScaleNormal="95" workbookViewId="0">
      <selection activeCell="F4" sqref="F4"/>
    </sheetView>
  </sheetViews>
  <sheetFormatPr defaultRowHeight="15" x14ac:dyDescent="0.25"/>
  <cols>
    <col min="1" max="1" width="11.28515625" customWidth="1"/>
    <col min="2" max="2" width="12" customWidth="1"/>
    <col min="4" max="4" width="11" customWidth="1"/>
    <col min="5" max="5" width="12" customWidth="1"/>
  </cols>
  <sheetData>
    <row r="1" spans="1:5" s="34" customFormat="1" ht="33" customHeight="1" x14ac:dyDescent="0.25">
      <c r="A1" s="33" t="s">
        <v>216</v>
      </c>
      <c r="B1" s="33" t="s">
        <v>217</v>
      </c>
      <c r="C1" s="33" t="s">
        <v>213</v>
      </c>
      <c r="D1" s="33" t="s">
        <v>214</v>
      </c>
      <c r="E1" s="33" t="s">
        <v>215</v>
      </c>
    </row>
    <row r="2" spans="1:5" x14ac:dyDescent="0.25">
      <c r="A2">
        <v>0.1</v>
      </c>
      <c r="B2">
        <v>0.1</v>
      </c>
      <c r="C2" s="32">
        <v>0.05</v>
      </c>
      <c r="D2">
        <v>40</v>
      </c>
      <c r="E2">
        <v>100</v>
      </c>
    </row>
    <row r="3" spans="1:5" x14ac:dyDescent="0.25">
      <c r="A3">
        <v>0.2</v>
      </c>
      <c r="B3">
        <v>0.2</v>
      </c>
      <c r="C3" s="32">
        <v>0.05</v>
      </c>
      <c r="D3">
        <v>41</v>
      </c>
      <c r="E3">
        <v>105</v>
      </c>
    </row>
    <row r="4" spans="1:5" x14ac:dyDescent="0.25">
      <c r="A4">
        <v>0.3</v>
      </c>
      <c r="B4">
        <v>0.3</v>
      </c>
      <c r="C4" s="32">
        <v>0.05</v>
      </c>
      <c r="D4">
        <v>42</v>
      </c>
      <c r="E4">
        <v>115</v>
      </c>
    </row>
    <row r="5" spans="1:5" x14ac:dyDescent="0.25">
      <c r="A5">
        <v>0.4</v>
      </c>
      <c r="B5">
        <v>0.4</v>
      </c>
      <c r="C5" s="32">
        <v>0.05</v>
      </c>
      <c r="D5">
        <v>43</v>
      </c>
      <c r="E5">
        <v>120</v>
      </c>
    </row>
    <row r="6" spans="1:5" x14ac:dyDescent="0.25">
      <c r="A6">
        <v>0.5</v>
      </c>
      <c r="B6">
        <v>0.5</v>
      </c>
      <c r="C6" s="32">
        <v>0.05</v>
      </c>
      <c r="D6">
        <v>43</v>
      </c>
      <c r="E6">
        <v>125</v>
      </c>
    </row>
    <row r="7" spans="1:5" x14ac:dyDescent="0.25">
      <c r="A7">
        <v>0.6</v>
      </c>
      <c r="B7">
        <v>0.6</v>
      </c>
      <c r="C7" s="32">
        <v>0.05</v>
      </c>
      <c r="D7">
        <v>45</v>
      </c>
      <c r="E7">
        <v>130</v>
      </c>
    </row>
    <row r="8" spans="1:5" x14ac:dyDescent="0.25">
      <c r="A8">
        <v>0.7</v>
      </c>
      <c r="B8">
        <v>0.7</v>
      </c>
      <c r="C8" s="32">
        <v>0.05</v>
      </c>
      <c r="D8">
        <v>45</v>
      </c>
      <c r="E8">
        <v>135</v>
      </c>
    </row>
    <row r="9" spans="1:5" x14ac:dyDescent="0.25">
      <c r="A9">
        <v>0.8</v>
      </c>
      <c r="B9">
        <v>0.8</v>
      </c>
      <c r="C9" s="32">
        <v>0.05</v>
      </c>
      <c r="D9">
        <v>47</v>
      </c>
      <c r="E9">
        <v>140</v>
      </c>
    </row>
    <row r="10" spans="1:5" x14ac:dyDescent="0.25">
      <c r="A10">
        <v>0.9</v>
      </c>
      <c r="B10">
        <v>0.9</v>
      </c>
      <c r="C10" s="32">
        <v>0.05</v>
      </c>
      <c r="D10">
        <v>49</v>
      </c>
      <c r="E10">
        <v>145</v>
      </c>
    </row>
    <row r="11" spans="1:5" x14ac:dyDescent="0.25">
      <c r="A11">
        <v>1</v>
      </c>
      <c r="B11">
        <v>1</v>
      </c>
      <c r="C11" s="32">
        <v>0.06</v>
      </c>
      <c r="D11">
        <v>51</v>
      </c>
      <c r="E11">
        <v>155</v>
      </c>
    </row>
    <row r="12" spans="1:5" x14ac:dyDescent="0.25">
      <c r="A12">
        <v>1.1000000000000001</v>
      </c>
      <c r="B12">
        <v>1.1000000000000001</v>
      </c>
      <c r="C12" s="32">
        <v>0.06</v>
      </c>
      <c r="D12">
        <v>55</v>
      </c>
      <c r="E12">
        <v>165</v>
      </c>
    </row>
    <row r="13" spans="1:5" x14ac:dyDescent="0.25">
      <c r="A13">
        <v>1.2</v>
      </c>
      <c r="B13">
        <v>1.2</v>
      </c>
      <c r="C13" s="32">
        <v>0.06</v>
      </c>
      <c r="D13">
        <v>57</v>
      </c>
      <c r="E13">
        <v>175</v>
      </c>
    </row>
    <row r="14" spans="1:5" x14ac:dyDescent="0.25">
      <c r="A14">
        <v>1.3</v>
      </c>
      <c r="B14">
        <v>1.3</v>
      </c>
      <c r="C14" s="32">
        <v>0.06</v>
      </c>
      <c r="D14">
        <v>61</v>
      </c>
      <c r="E14">
        <v>190</v>
      </c>
    </row>
    <row r="15" spans="1:5" x14ac:dyDescent="0.25">
      <c r="A15">
        <v>1.4</v>
      </c>
      <c r="B15">
        <v>1.4</v>
      </c>
      <c r="C15" s="32">
        <v>0.06</v>
      </c>
      <c r="D15">
        <v>63</v>
      </c>
      <c r="E15">
        <v>200</v>
      </c>
    </row>
    <row r="16" spans="1:5" x14ac:dyDescent="0.25">
      <c r="A16">
        <v>1.5</v>
      </c>
      <c r="B16">
        <v>1.5</v>
      </c>
      <c r="C16" s="32">
        <v>0.06</v>
      </c>
      <c r="D16">
        <v>65</v>
      </c>
      <c r="E16">
        <v>225</v>
      </c>
    </row>
    <row r="17" spans="1:5" x14ac:dyDescent="0.25">
      <c r="A17">
        <v>1.6</v>
      </c>
      <c r="B17">
        <v>1.6</v>
      </c>
      <c r="C17" s="32">
        <v>0.06</v>
      </c>
      <c r="D17">
        <v>67</v>
      </c>
      <c r="E17">
        <v>230</v>
      </c>
    </row>
    <row r="18" spans="1:5" x14ac:dyDescent="0.25">
      <c r="A18">
        <v>1.7</v>
      </c>
      <c r="B18">
        <v>1.7</v>
      </c>
      <c r="C18" s="32">
        <v>0.06</v>
      </c>
      <c r="D18">
        <v>69</v>
      </c>
      <c r="E18">
        <v>245</v>
      </c>
    </row>
    <row r="19" spans="1:5" x14ac:dyDescent="0.25">
      <c r="A19">
        <v>1.8</v>
      </c>
      <c r="B19">
        <v>1.8</v>
      </c>
      <c r="C19" s="32">
        <v>0.06</v>
      </c>
      <c r="D19">
        <v>70</v>
      </c>
      <c r="E19">
        <v>255</v>
      </c>
    </row>
    <row r="20" spans="1:5" x14ac:dyDescent="0.25">
      <c r="A20">
        <v>1.9</v>
      </c>
      <c r="B20">
        <v>1.9</v>
      </c>
      <c r="C20" s="32">
        <v>0.06</v>
      </c>
      <c r="D20">
        <v>71</v>
      </c>
      <c r="E20">
        <v>265</v>
      </c>
    </row>
    <row r="21" spans="1:5" x14ac:dyDescent="0.25">
      <c r="A21">
        <v>2</v>
      </c>
      <c r="B21">
        <v>2.9</v>
      </c>
      <c r="C21" s="32">
        <v>0.06</v>
      </c>
      <c r="D21">
        <v>79</v>
      </c>
      <c r="E21">
        <v>285</v>
      </c>
    </row>
    <row r="22" spans="1:5" x14ac:dyDescent="0.25">
      <c r="A22">
        <v>3</v>
      </c>
      <c r="B22">
        <v>3.9</v>
      </c>
      <c r="C22" s="32">
        <v>0.06</v>
      </c>
      <c r="D22">
        <v>100</v>
      </c>
      <c r="E22">
        <v>330</v>
      </c>
    </row>
    <row r="23" spans="1:5" x14ac:dyDescent="0.25">
      <c r="A23">
        <v>4</v>
      </c>
      <c r="B23">
        <v>4.9000000000000004</v>
      </c>
      <c r="C23" s="32">
        <v>0.06</v>
      </c>
      <c r="D23">
        <v>120</v>
      </c>
      <c r="E23">
        <v>400</v>
      </c>
    </row>
    <row r="24" spans="1:5" x14ac:dyDescent="0.25">
      <c r="A24">
        <v>5</v>
      </c>
      <c r="B24">
        <v>5.9</v>
      </c>
      <c r="C24" s="32">
        <v>0.06</v>
      </c>
      <c r="D24">
        <v>135</v>
      </c>
      <c r="E24">
        <v>425</v>
      </c>
    </row>
    <row r="25" spans="1:5" x14ac:dyDescent="0.25">
      <c r="A25">
        <v>6</v>
      </c>
      <c r="B25">
        <v>6.9</v>
      </c>
      <c r="C25" s="32">
        <v>0.06</v>
      </c>
      <c r="D25">
        <v>160</v>
      </c>
      <c r="E25">
        <v>450</v>
      </c>
    </row>
    <row r="26" spans="1:5" x14ac:dyDescent="0.25">
      <c r="A26">
        <v>7</v>
      </c>
      <c r="B26">
        <v>7.9</v>
      </c>
      <c r="C26" s="32">
        <v>0.06</v>
      </c>
      <c r="D26">
        <v>185</v>
      </c>
      <c r="E26">
        <v>500</v>
      </c>
    </row>
    <row r="27" spans="1:5" x14ac:dyDescent="0.25">
      <c r="A27">
        <v>8</v>
      </c>
      <c r="B27">
        <v>8.9</v>
      </c>
      <c r="C27" s="32">
        <v>0.06</v>
      </c>
      <c r="D27">
        <v>210</v>
      </c>
      <c r="E27">
        <v>525</v>
      </c>
    </row>
    <row r="28" spans="1:5" x14ac:dyDescent="0.25">
      <c r="A28">
        <v>9</v>
      </c>
      <c r="B28">
        <v>9.9</v>
      </c>
      <c r="C28" s="32">
        <v>0.06</v>
      </c>
      <c r="D28">
        <v>225</v>
      </c>
      <c r="E28">
        <v>550</v>
      </c>
    </row>
    <row r="29" spans="1:5" x14ac:dyDescent="0.25">
      <c r="A29">
        <v>10</v>
      </c>
      <c r="B29">
        <v>10.9</v>
      </c>
      <c r="C29" s="32">
        <v>7.0000000000000007E-2</v>
      </c>
      <c r="D29">
        <v>265</v>
      </c>
      <c r="E29">
        <v>575</v>
      </c>
    </row>
    <row r="30" spans="1:5" x14ac:dyDescent="0.25">
      <c r="A30">
        <v>11</v>
      </c>
      <c r="B30">
        <v>11.9</v>
      </c>
      <c r="C30" s="32">
        <v>7.0000000000000007E-2</v>
      </c>
      <c r="D30">
        <v>290</v>
      </c>
      <c r="E30">
        <v>625</v>
      </c>
    </row>
    <row r="31" spans="1:5" x14ac:dyDescent="0.25">
      <c r="A31">
        <v>12</v>
      </c>
      <c r="B31">
        <v>12.9</v>
      </c>
      <c r="C31" s="32">
        <v>7.0000000000000007E-2</v>
      </c>
      <c r="D31">
        <v>315</v>
      </c>
      <c r="E31">
        <v>685</v>
      </c>
    </row>
    <row r="32" spans="1:5" x14ac:dyDescent="0.25">
      <c r="A32">
        <v>13</v>
      </c>
      <c r="B32">
        <v>13.9</v>
      </c>
      <c r="C32" s="32">
        <v>7.0000000000000007E-2</v>
      </c>
      <c r="D32">
        <v>350</v>
      </c>
      <c r="E32">
        <v>700</v>
      </c>
    </row>
    <row r="33" spans="1:5" x14ac:dyDescent="0.25">
      <c r="A33">
        <v>14</v>
      </c>
      <c r="B33">
        <v>14.9</v>
      </c>
      <c r="C33" s="32">
        <v>7.0000000000000007E-2</v>
      </c>
      <c r="D33">
        <v>370</v>
      </c>
      <c r="E33">
        <v>700</v>
      </c>
    </row>
    <row r="34" spans="1:5" x14ac:dyDescent="0.25">
      <c r="A34">
        <v>15</v>
      </c>
      <c r="B34">
        <v>19.899999999999999</v>
      </c>
      <c r="C34" s="32">
        <v>7.0000000000000007E-2</v>
      </c>
      <c r="D34">
        <v>400</v>
      </c>
      <c r="E34">
        <v>700</v>
      </c>
    </row>
    <row r="35" spans="1:5" x14ac:dyDescent="0.25">
      <c r="A35">
        <v>20</v>
      </c>
      <c r="B35">
        <v>24.9</v>
      </c>
      <c r="C35" s="32">
        <v>7.0000000000000007E-2</v>
      </c>
      <c r="D35">
        <v>525</v>
      </c>
      <c r="E35">
        <v>700</v>
      </c>
    </row>
    <row r="36" spans="1:5" x14ac:dyDescent="0.25">
      <c r="A36">
        <v>25</v>
      </c>
      <c r="B36">
        <v>29.9</v>
      </c>
      <c r="C36" s="32">
        <v>7.0000000000000007E-2</v>
      </c>
      <c r="D36">
        <v>700</v>
      </c>
      <c r="E36">
        <v>1750</v>
      </c>
    </row>
    <row r="37" spans="1:5" x14ac:dyDescent="0.25">
      <c r="A37">
        <v>30</v>
      </c>
      <c r="B37">
        <v>34.9</v>
      </c>
      <c r="C37" s="32">
        <v>7.0000000000000007E-2</v>
      </c>
      <c r="D37">
        <v>800</v>
      </c>
      <c r="E37">
        <v>1750</v>
      </c>
    </row>
    <row r="38" spans="1:5" x14ac:dyDescent="0.25">
      <c r="A38">
        <v>35</v>
      </c>
      <c r="B38">
        <v>1000</v>
      </c>
      <c r="C38" s="32">
        <v>7.0000000000000007E-2</v>
      </c>
      <c r="D38">
        <v>1000</v>
      </c>
      <c r="E38">
        <v>1750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N12" sqref="N12"/>
    </sheetView>
  </sheetViews>
  <sheetFormatPr defaultRowHeight="15" x14ac:dyDescent="0.25"/>
  <cols>
    <col min="1" max="1" width="17.28515625" customWidth="1"/>
    <col min="2" max="2" width="14.140625" customWidth="1"/>
  </cols>
  <sheetData>
    <row r="1" spans="1:2" ht="34.5" customHeight="1" x14ac:dyDescent="0.25">
      <c r="A1" s="79" t="s">
        <v>555</v>
      </c>
      <c r="B1" s="79" t="s">
        <v>556</v>
      </c>
    </row>
    <row r="2" spans="1:2" x14ac:dyDescent="0.25">
      <c r="A2" t="s">
        <v>557</v>
      </c>
      <c r="B2">
        <v>0.3</v>
      </c>
    </row>
    <row r="3" spans="1:2" x14ac:dyDescent="0.25">
      <c r="A3" t="s">
        <v>558</v>
      </c>
      <c r="B3">
        <v>0.2</v>
      </c>
    </row>
    <row r="4" spans="1:2" x14ac:dyDescent="0.25">
      <c r="A4" t="s">
        <v>559</v>
      </c>
      <c r="B4">
        <v>0.1</v>
      </c>
    </row>
    <row r="5" spans="1:2" x14ac:dyDescent="0.25">
      <c r="A5" t="s">
        <v>560</v>
      </c>
      <c r="B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 FBS</vt:lpstr>
      <vt:lpstr>Логистика</vt:lpstr>
      <vt:lpstr>Хранение FBO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2022-11-06T12:13:08Z</dcterms:created>
  <dcterms:modified xsi:type="dcterms:W3CDTF">2023-02-08T17:00:19Z</dcterms:modified>
</cp:coreProperties>
</file>