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14670" windowHeight="11745" tabRatio="766"/>
  </bookViews>
  <sheets>
    <sheet name="база" sheetId="1" r:id="rId1"/>
    <sheet name="База запрос" sheetId="23" r:id="rId2"/>
    <sheet name="Срок" sheetId="17" r:id="rId3"/>
    <sheet name="Запол" sheetId="18" r:id="rId4"/>
    <sheet name="Заключение" sheetId="13" r:id="rId5"/>
    <sheet name="Бл Зак" sheetId="16" r:id="rId6"/>
    <sheet name="На учет" sheetId="9" r:id="rId7"/>
    <sheet name="Бл уч" sheetId="20" r:id="rId8"/>
    <sheet name="С учета" sheetId="3" r:id="rId9"/>
    <sheet name="Бл с уч" sheetId="21" r:id="rId10"/>
    <sheet name="АКТ-обсл" sheetId="5" r:id="rId11"/>
  </sheets>
  <definedNames>
    <definedName name="_xlcn.Связаннаятаблица_Таблица11" hidden="1">Таблица1[]</definedName>
    <definedName name="_xlnm._FilterDatabase" localSheetId="0" hidden="1">база!$A$1:$R$1</definedName>
    <definedName name="_xlnm._FilterDatabase" localSheetId="3" hidden="1">Запол!$A$1:$O$14</definedName>
    <definedName name="_xlnm._FilterDatabase" localSheetId="6" hidden="1">'На учет'!$B$1:$P$11</definedName>
    <definedName name="_xlnm._FilterDatabase" localSheetId="8" hidden="1">'С учета'!$B$2:$Q$8</definedName>
    <definedName name="_xlnm._FilterDatabase" localSheetId="2" hidden="1">Срок!$A$1:$H$315</definedName>
    <definedName name="ExternalData_1" localSheetId="1" hidden="1">'База запрос'!$A$1:$R$44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Заключение!#REF!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1</definedName>
    <definedName name="solver_val" localSheetId="4" hidden="1">0</definedName>
    <definedName name="_xlnm.Print_Area" localSheetId="10">'АКТ-обсл'!$B$1:$K$80</definedName>
    <definedName name="Шеф">Запол!$B:$B</definedName>
    <definedName name="шеф1">Запол!$L:$L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Таблица1" name="Таблица1" connection="Связанная таблица_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F289" i="17" l="1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280" i="17"/>
  <c r="F281" i="17"/>
  <c r="F282" i="17"/>
  <c r="F283" i="17"/>
  <c r="F284" i="17"/>
  <c r="F285" i="17"/>
  <c r="F286" i="17"/>
  <c r="F287" i="17"/>
  <c r="F288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43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23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02" i="17"/>
  <c r="F103" i="17"/>
  <c r="F104" i="17"/>
  <c r="F105" i="17"/>
  <c r="F10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56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20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3" i="17"/>
  <c r="L5" i="9"/>
  <c r="L35" i="9"/>
  <c r="L28" i="9"/>
  <c r="L37" i="9"/>
  <c r="L7" i="9"/>
  <c r="L23" i="9"/>
  <c r="L29" i="9"/>
  <c r="L4" i="9"/>
  <c r="L15" i="9"/>
  <c r="L20" i="9"/>
  <c r="L16" i="9"/>
  <c r="L22" i="9"/>
  <c r="L8" i="9"/>
  <c r="L2" i="9"/>
  <c r="L32" i="9"/>
  <c r="L6" i="9"/>
  <c r="L34" i="9"/>
  <c r="L25" i="9"/>
  <c r="L19" i="9"/>
  <c r="L11" i="9"/>
  <c r="L21" i="9"/>
  <c r="L31" i="9"/>
  <c r="L17" i="9"/>
  <c r="L42" i="9"/>
  <c r="L26" i="9"/>
  <c r="L36" i="9"/>
  <c r="L43" i="9"/>
  <c r="L10" i="9"/>
  <c r="L14" i="9"/>
  <c r="L40" i="9"/>
  <c r="L18" i="9"/>
  <c r="L30" i="9"/>
  <c r="L27" i="9"/>
  <c r="L3" i="9"/>
  <c r="L38" i="9"/>
  <c r="L24" i="9"/>
  <c r="L9" i="9"/>
  <c r="L13" i="9"/>
  <c r="L39" i="9"/>
  <c r="L33" i="9"/>
  <c r="L12" i="9"/>
  <c r="L41" i="9"/>
  <c r="X1" i="23" l="1"/>
  <c r="T1" i="23" l="1"/>
  <c r="W1" i="23"/>
  <c r="N15" i="1"/>
  <c r="O15" i="1" s="1"/>
  <c r="C15" i="16"/>
  <c r="B24" i="1"/>
  <c r="D24" i="1"/>
  <c r="N24" i="1"/>
  <c r="O24" i="1" s="1"/>
  <c r="P24" i="1"/>
  <c r="Q24" i="1"/>
  <c r="R24" i="1"/>
  <c r="B25" i="1" l="1"/>
  <c r="D25" i="1"/>
  <c r="N25" i="1"/>
  <c r="O25" i="1" s="1"/>
  <c r="P25" i="1"/>
  <c r="Q25" i="1"/>
  <c r="R25" i="1"/>
  <c r="N24" i="9"/>
  <c r="D24" i="9"/>
  <c r="B24" i="9"/>
  <c r="B26" i="1"/>
  <c r="D26" i="1"/>
  <c r="N26" i="1"/>
  <c r="O26" i="1" s="1"/>
  <c r="P26" i="1"/>
  <c r="R26" i="1"/>
  <c r="D16" i="5" l="1"/>
  <c r="B18" i="5"/>
  <c r="T1" i="13" l="1"/>
  <c r="L3" i="13"/>
  <c r="L4" i="13"/>
  <c r="L5" i="13"/>
  <c r="L6" i="13"/>
  <c r="L7" i="13"/>
  <c r="L8" i="13"/>
  <c r="L9" i="13"/>
  <c r="L10" i="13"/>
  <c r="L11" i="13"/>
  <c r="L12" i="13"/>
  <c r="L13" i="13"/>
  <c r="L14" i="13"/>
  <c r="L2" i="13"/>
  <c r="I2" i="13"/>
  <c r="I3" i="13"/>
  <c r="I4" i="13"/>
  <c r="I5" i="13"/>
  <c r="I6" i="13"/>
  <c r="I7" i="13"/>
  <c r="I8" i="13"/>
  <c r="I9" i="13"/>
  <c r="I10" i="13"/>
  <c r="I11" i="13"/>
  <c r="I12" i="13"/>
  <c r="I13" i="13"/>
  <c r="I14" i="13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D4" i="3"/>
  <c r="D5" i="3"/>
  <c r="D6" i="3"/>
  <c r="D7" i="3"/>
  <c r="D8" i="3"/>
  <c r="D3" i="3"/>
  <c r="B4" i="3"/>
  <c r="B5" i="3"/>
  <c r="B6" i="3"/>
  <c r="B7" i="3"/>
  <c r="B8" i="3"/>
  <c r="B3" i="3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" i="9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" i="1"/>
  <c r="C16" i="20" l="1"/>
  <c r="P2" i="20"/>
  <c r="H1" i="20" s="1"/>
  <c r="Q10" i="13"/>
  <c r="Q11" i="13"/>
  <c r="N2" i="5"/>
  <c r="B20" i="5" s="1"/>
  <c r="P5" i="16"/>
  <c r="H5" i="16" s="1"/>
  <c r="P2" i="16"/>
  <c r="H1" i="16" s="1"/>
  <c r="P4" i="21"/>
  <c r="I1" i="21" s="1"/>
  <c r="C13" i="21"/>
  <c r="D4" i="13"/>
  <c r="Q3" i="13"/>
  <c r="Q4" i="13"/>
  <c r="Q5" i="13"/>
  <c r="Q6" i="13"/>
  <c r="Q7" i="13"/>
  <c r="Q8" i="13"/>
  <c r="Q9" i="13"/>
  <c r="Q12" i="13"/>
  <c r="Q13" i="13"/>
  <c r="Q14" i="13"/>
  <c r="Q2" i="13"/>
  <c r="H3" i="16"/>
  <c r="J3" i="13"/>
  <c r="J4" i="13"/>
  <c r="J5" i="13"/>
  <c r="J6" i="13"/>
  <c r="J7" i="13"/>
  <c r="J8" i="13"/>
  <c r="J9" i="13"/>
  <c r="J10" i="13"/>
  <c r="J11" i="13"/>
  <c r="J12" i="13"/>
  <c r="J13" i="13"/>
  <c r="J14" i="13"/>
  <c r="J2" i="13"/>
  <c r="D3" i="13"/>
  <c r="D5" i="13"/>
  <c r="D6" i="13"/>
  <c r="D7" i="13"/>
  <c r="D8" i="13"/>
  <c r="D9" i="13"/>
  <c r="D10" i="13"/>
  <c r="D11" i="13"/>
  <c r="D12" i="13"/>
  <c r="D13" i="13"/>
  <c r="D14" i="13"/>
  <c r="D2" i="13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2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3" i="1"/>
  <c r="N43" i="9"/>
  <c r="B43" i="9"/>
  <c r="N42" i="9"/>
  <c r="B42" i="9"/>
  <c r="N41" i="9"/>
  <c r="B41" i="9"/>
  <c r="N40" i="9"/>
  <c r="B40" i="9"/>
  <c r="N39" i="9"/>
  <c r="H3" i="20"/>
  <c r="B39" i="9"/>
  <c r="N38" i="9"/>
  <c r="B38" i="9"/>
  <c r="N37" i="9"/>
  <c r="B37" i="9"/>
  <c r="N36" i="9"/>
  <c r="B36" i="9"/>
  <c r="N35" i="9"/>
  <c r="B35" i="9"/>
  <c r="N34" i="9"/>
  <c r="B34" i="9"/>
  <c r="N33" i="9"/>
  <c r="B33" i="9"/>
  <c r="N32" i="9"/>
  <c r="B32" i="9"/>
  <c r="N31" i="9"/>
  <c r="B31" i="9"/>
  <c r="N30" i="9"/>
  <c r="B30" i="9"/>
  <c r="N29" i="9"/>
  <c r="B29" i="9"/>
  <c r="N28" i="9"/>
  <c r="B28" i="9"/>
  <c r="N27" i="9"/>
  <c r="B27" i="9"/>
  <c r="N26" i="9"/>
  <c r="B26" i="9"/>
  <c r="N27" i="1"/>
  <c r="O27" i="1" s="1"/>
  <c r="N28" i="1"/>
  <c r="O28" i="1" s="1"/>
  <c r="N29" i="1"/>
  <c r="O29" i="1" s="1"/>
  <c r="N25" i="9"/>
  <c r="B25" i="9"/>
  <c r="N23" i="9"/>
  <c r="B23" i="9"/>
  <c r="N22" i="9"/>
  <c r="B22" i="9"/>
  <c r="N21" i="9"/>
  <c r="B21" i="9"/>
  <c r="N20" i="9"/>
  <c r="B20" i="9"/>
  <c r="N19" i="9"/>
  <c r="B19" i="9"/>
  <c r="N18" i="9"/>
  <c r="B18" i="9"/>
  <c r="N17" i="9"/>
  <c r="B17" i="9"/>
  <c r="N16" i="9"/>
  <c r="B16" i="9"/>
  <c r="N15" i="9"/>
  <c r="B15" i="9"/>
  <c r="N14" i="9"/>
  <c r="B14" i="9"/>
  <c r="N13" i="9"/>
  <c r="B13" i="9"/>
  <c r="N12" i="9"/>
  <c r="B12" i="9"/>
  <c r="N11" i="9"/>
  <c r="B11" i="9"/>
  <c r="N10" i="9"/>
  <c r="B10" i="9"/>
  <c r="N9" i="9"/>
  <c r="B9" i="9"/>
  <c r="N8" i="9"/>
  <c r="B8" i="9"/>
  <c r="N7" i="9"/>
  <c r="B7" i="9"/>
  <c r="N6" i="9"/>
  <c r="B6" i="9"/>
  <c r="N5" i="9"/>
  <c r="B5" i="9"/>
  <c r="N4" i="9"/>
  <c r="B4" i="9"/>
  <c r="B3" i="9"/>
  <c r="B2" i="9"/>
  <c r="N3" i="9"/>
  <c r="B10" i="5"/>
  <c r="M46" i="20"/>
  <c r="N2" i="9"/>
  <c r="N30" i="1"/>
  <c r="O30" i="1" s="1"/>
  <c r="N31" i="1"/>
  <c r="O31" i="1" s="1"/>
  <c r="N40" i="1"/>
  <c r="O40" i="1" s="1"/>
  <c r="N41" i="1"/>
  <c r="O41" i="1" s="1"/>
  <c r="N42" i="1"/>
  <c r="O42" i="1" s="1"/>
  <c r="N43" i="1"/>
  <c r="O43" i="1" s="1"/>
  <c r="N32" i="1"/>
  <c r="O32" i="1" s="1"/>
  <c r="N33" i="1"/>
  <c r="O33" i="1" s="1"/>
  <c r="N34" i="1"/>
  <c r="O34" i="1" s="1"/>
  <c r="N8" i="1"/>
  <c r="O8" i="1" s="1"/>
  <c r="N9" i="1"/>
  <c r="O9" i="1" s="1"/>
  <c r="N35" i="1"/>
  <c r="O35" i="1" s="1"/>
  <c r="N36" i="1"/>
  <c r="O36" i="1" s="1"/>
  <c r="N37" i="1"/>
  <c r="O37" i="1" s="1"/>
  <c r="N10" i="1"/>
  <c r="O10" i="1" s="1"/>
  <c r="N11" i="1"/>
  <c r="O11" i="1" s="1"/>
  <c r="N12" i="1"/>
  <c r="O12" i="1" s="1"/>
  <c r="N13" i="1"/>
  <c r="O13" i="1" s="1"/>
  <c r="N14" i="1"/>
  <c r="O14" i="1" s="1"/>
  <c r="N16" i="1"/>
  <c r="O16" i="1" s="1"/>
  <c r="N17" i="1"/>
  <c r="O17" i="1" s="1"/>
  <c r="N18" i="1"/>
  <c r="O18" i="1" s="1"/>
  <c r="N19" i="1"/>
  <c r="O19" i="1" s="1"/>
  <c r="N2" i="1"/>
  <c r="O2" i="1" s="1"/>
  <c r="N4" i="1"/>
  <c r="O4" i="1" s="1"/>
  <c r="N5" i="1"/>
  <c r="O5" i="1" s="1"/>
  <c r="N38" i="1"/>
  <c r="O38" i="1" s="1"/>
  <c r="N39" i="1"/>
  <c r="O39" i="1" s="1"/>
  <c r="N44" i="1"/>
  <c r="O44" i="1" s="1"/>
  <c r="N22" i="1"/>
  <c r="O22" i="1" s="1"/>
  <c r="N23" i="1"/>
  <c r="O23" i="1" s="1"/>
  <c r="N6" i="1"/>
  <c r="O6" i="1" s="1"/>
  <c r="N7" i="1"/>
  <c r="O7" i="1" s="1"/>
  <c r="N20" i="1"/>
  <c r="O20" i="1" s="1"/>
  <c r="N21" i="1"/>
  <c r="O21" i="1" s="1"/>
  <c r="N3" i="1"/>
  <c r="O3" i="1" s="1"/>
  <c r="T1" i="1"/>
  <c r="A3" i="21"/>
  <c r="C14" i="21" s="1"/>
  <c r="R8" i="1"/>
  <c r="R28" i="1"/>
  <c r="R29" i="1"/>
  <c r="R30" i="1"/>
  <c r="R31" i="1"/>
  <c r="R40" i="1"/>
  <c r="R41" i="1"/>
  <c r="R42" i="1"/>
  <c r="R43" i="1"/>
  <c r="R32" i="1"/>
  <c r="R33" i="1"/>
  <c r="R34" i="1"/>
  <c r="R9" i="1"/>
  <c r="R39" i="1"/>
  <c r="R27" i="1"/>
  <c r="R35" i="1"/>
  <c r="R36" i="1"/>
  <c r="R20" i="1"/>
  <c r="R21" i="1"/>
  <c r="R23" i="1"/>
  <c r="R5" i="1"/>
  <c r="R22" i="1"/>
  <c r="R38" i="1"/>
  <c r="R44" i="1"/>
  <c r="R2" i="1"/>
  <c r="R4" i="1"/>
  <c r="R6" i="1"/>
  <c r="R7" i="1"/>
  <c r="R16" i="1"/>
  <c r="R19" i="1"/>
  <c r="R13" i="1"/>
  <c r="R14" i="1"/>
  <c r="R15" i="1"/>
  <c r="R37" i="1"/>
  <c r="R10" i="1"/>
  <c r="R11" i="1"/>
  <c r="R12" i="1"/>
  <c r="R17" i="1"/>
  <c r="R18" i="1"/>
  <c r="R3" i="1"/>
  <c r="A3" i="16"/>
  <c r="C16" i="16" s="1"/>
  <c r="A3" i="20"/>
  <c r="C17" i="20" s="1"/>
  <c r="B44" i="20"/>
  <c r="Q15" i="1"/>
  <c r="Q19" i="1"/>
  <c r="Q12" i="1"/>
  <c r="N3" i="3"/>
  <c r="N4" i="3"/>
  <c r="N5" i="3"/>
  <c r="N6" i="3"/>
  <c r="N7" i="3"/>
  <c r="N8" i="3"/>
  <c r="O1" i="3"/>
  <c r="Q38" i="1"/>
  <c r="Q3" i="1"/>
  <c r="Q44" i="1"/>
  <c r="Q20" i="1"/>
  <c r="Q21" i="1"/>
  <c r="Q6" i="1"/>
  <c r="Q7" i="1"/>
  <c r="Q5" i="1"/>
  <c r="Q37" i="1"/>
  <c r="Q10" i="1"/>
  <c r="Q11" i="1"/>
  <c r="Q18" i="1"/>
  <c r="Q17" i="1"/>
  <c r="Q13" i="1"/>
  <c r="Q14" i="1"/>
  <c r="Q16" i="1"/>
  <c r="Q22" i="1"/>
  <c r="Q2" i="1"/>
  <c r="Q4" i="1"/>
  <c r="Q33" i="1"/>
  <c r="Q34" i="1"/>
  <c r="Q32" i="1"/>
  <c r="Q40" i="1"/>
  <c r="Q41" i="1"/>
  <c r="Q42" i="1"/>
  <c r="Q43" i="1"/>
  <c r="Q8" i="1"/>
  <c r="Q35" i="1"/>
  <c r="Q36" i="1"/>
  <c r="Q9" i="1"/>
  <c r="Q27" i="1"/>
  <c r="Q28" i="1"/>
  <c r="Q29" i="1"/>
  <c r="Q30" i="1"/>
  <c r="Q31" i="1"/>
  <c r="M33" i="21"/>
  <c r="B31" i="21"/>
  <c r="N37" i="16"/>
  <c r="B35" i="16"/>
  <c r="H10" i="5"/>
  <c r="B7" i="5"/>
  <c r="D12" i="5"/>
  <c r="D18" i="5"/>
  <c r="E18" i="5"/>
  <c r="F18" i="5"/>
  <c r="G18" i="5"/>
  <c r="H18" i="5"/>
  <c r="I18" i="5"/>
  <c r="J18" i="5"/>
  <c r="K18" i="5"/>
  <c r="D20" i="5"/>
  <c r="E20" i="5"/>
  <c r="F20" i="5"/>
  <c r="G20" i="5"/>
  <c r="H20" i="5"/>
  <c r="I20" i="5"/>
  <c r="J20" i="5"/>
  <c r="K20" i="5"/>
  <c r="I3" i="21"/>
  <c r="V1" i="23" l="1"/>
  <c r="M25" i="9"/>
  <c r="M36" i="9"/>
  <c r="M34" i="9"/>
  <c r="Q31" i="16"/>
  <c r="U1" i="23"/>
  <c r="M24" i="9"/>
  <c r="N19" i="5"/>
  <c r="A23" i="5" s="1"/>
  <c r="B22" i="5" s="1"/>
  <c r="A4" i="20"/>
  <c r="C18" i="20" s="1"/>
  <c r="A4" i="21"/>
  <c r="B62" i="5"/>
  <c r="B65" i="5"/>
  <c r="M16" i="9"/>
  <c r="M15" i="9"/>
  <c r="M17" i="9"/>
  <c r="O2" i="5"/>
  <c r="B8" i="5" s="1"/>
  <c r="A4" i="16"/>
  <c r="H7" i="16"/>
  <c r="Q30" i="16"/>
  <c r="B13" i="16" s="1"/>
  <c r="M39" i="9"/>
  <c r="M26" i="9"/>
  <c r="M30" i="9"/>
  <c r="M38" i="9"/>
  <c r="M42" i="9"/>
  <c r="M22" i="9"/>
  <c r="M27" i="9"/>
  <c r="M35" i="9"/>
  <c r="M43" i="9"/>
  <c r="M19" i="9"/>
  <c r="M23" i="9"/>
  <c r="M32" i="9"/>
  <c r="M37" i="9"/>
  <c r="M10" i="9"/>
  <c r="M12" i="9"/>
  <c r="M14" i="9"/>
  <c r="M11" i="9"/>
  <c r="M2" i="9"/>
  <c r="M6" i="9"/>
  <c r="M4" i="9"/>
  <c r="M9" i="9"/>
  <c r="R1" i="9"/>
  <c r="N1" i="3"/>
  <c r="M1" i="3" s="1"/>
  <c r="M8" i="9"/>
  <c r="A5" i="20"/>
  <c r="M5" i="9"/>
  <c r="M7" i="9"/>
  <c r="M13" i="9"/>
  <c r="M40" i="9"/>
  <c r="M18" i="9"/>
  <c r="M20" i="9"/>
  <c r="M29" i="9"/>
  <c r="M31" i="9"/>
  <c r="M33" i="9"/>
  <c r="M41" i="9"/>
  <c r="M21" i="9"/>
  <c r="M28" i="9"/>
  <c r="A5" i="16" l="1"/>
  <c r="C17" i="16"/>
  <c r="C15" i="21"/>
  <c r="A5" i="21"/>
  <c r="C19" i="20"/>
  <c r="A6" i="20"/>
  <c r="A6" i="16" l="1"/>
  <c r="C18" i="16"/>
  <c r="A6" i="21"/>
  <c r="C16" i="21"/>
  <c r="C20" i="20"/>
  <c r="A7" i="20"/>
  <c r="C19" i="16" l="1"/>
  <c r="A7" i="16"/>
  <c r="C17" i="21"/>
  <c r="A7" i="21"/>
  <c r="C21" i="20"/>
  <c r="A8" i="20"/>
  <c r="A8" i="16" l="1"/>
  <c r="C20" i="16"/>
  <c r="A8" i="21"/>
  <c r="C18" i="21"/>
  <c r="C22" i="20"/>
  <c r="A9" i="20"/>
  <c r="C21" i="16" l="1"/>
  <c r="A9" i="16"/>
  <c r="A9" i="21"/>
  <c r="C19" i="21"/>
  <c r="C23" i="20"/>
  <c r="A10" i="20"/>
  <c r="C22" i="16" l="1"/>
  <c r="A10" i="16"/>
  <c r="A10" i="21"/>
  <c r="C20" i="21"/>
  <c r="C24" i="20"/>
  <c r="A11" i="20"/>
  <c r="C23" i="16" l="1"/>
  <c r="A11" i="16"/>
  <c r="A11" i="21"/>
  <c r="C21" i="21"/>
  <c r="C25" i="20"/>
  <c r="A12" i="20"/>
  <c r="C24" i="16" l="1"/>
  <c r="A12" i="16"/>
  <c r="C22" i="21"/>
  <c r="A12" i="21"/>
  <c r="C26" i="20"/>
  <c r="A13" i="20"/>
  <c r="C25" i="16" l="1"/>
  <c r="A13" i="16"/>
  <c r="A13" i="21"/>
  <c r="C23" i="21"/>
  <c r="C27" i="20"/>
  <c r="A14" i="20"/>
  <c r="C26" i="16" l="1"/>
  <c r="A14" i="16"/>
  <c r="A14" i="21"/>
  <c r="C24" i="21"/>
  <c r="C28" i="20"/>
  <c r="A15" i="20"/>
  <c r="C27" i="16" l="1"/>
  <c r="A15" i="16"/>
  <c r="C25" i="21"/>
  <c r="A15" i="21"/>
  <c r="C29" i="20"/>
  <c r="A16" i="20"/>
  <c r="C28" i="16" l="1"/>
  <c r="A16" i="16"/>
  <c r="C26" i="21"/>
  <c r="A16" i="21"/>
  <c r="C30" i="20"/>
  <c r="A17" i="20"/>
  <c r="C29" i="16" l="1"/>
  <c r="C33" i="16" s="1"/>
  <c r="A17" i="16"/>
  <c r="A18" i="16" s="1"/>
  <c r="A17" i="21"/>
  <c r="A18" i="21" s="1"/>
  <c r="A19" i="21" s="1"/>
  <c r="C27" i="21"/>
  <c r="C29" i="21" s="1"/>
  <c r="C31" i="20"/>
  <c r="A18" i="20"/>
  <c r="C32" i="20" l="1"/>
  <c r="A19" i="20"/>
  <c r="C33" i="20" l="1"/>
  <c r="A20" i="20"/>
  <c r="C34" i="20" l="1"/>
  <c r="A21" i="20"/>
  <c r="C35" i="20" l="1"/>
  <c r="A22" i="20"/>
  <c r="C36" i="20" l="1"/>
  <c r="A23" i="20"/>
  <c r="C37" i="20" l="1"/>
  <c r="A24" i="20"/>
  <c r="C38" i="20" l="1"/>
  <c r="A25" i="20"/>
  <c r="C39" i="20" l="1"/>
  <c r="A26" i="20"/>
  <c r="C40" i="20" l="1"/>
  <c r="A27" i="20"/>
  <c r="C41" i="20" l="1"/>
  <c r="C42" i="20" s="1"/>
  <c r="A28" i="20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F140" i="17" l="1"/>
  <c r="F142" i="17"/>
  <c r="F167" i="17"/>
  <c r="F161" i="17"/>
  <c r="F147" i="17"/>
  <c r="F154" i="17"/>
  <c r="F144" i="17"/>
  <c r="F145" i="17"/>
  <c r="F166" i="17"/>
  <c r="F143" i="17"/>
  <c r="F152" i="17"/>
  <c r="F162" i="17"/>
  <c r="F155" i="17"/>
  <c r="F148" i="17"/>
  <c r="F149" i="17"/>
  <c r="F146" i="17"/>
  <c r="F164" i="17"/>
  <c r="F159" i="17"/>
  <c r="F160" i="17"/>
  <c r="F153" i="17"/>
  <c r="F163" i="17"/>
  <c r="F156" i="17"/>
  <c r="F157" i="17"/>
  <c r="F150" i="17"/>
  <c r="F141" i="17"/>
  <c r="F165" i="17"/>
  <c r="F158" i="17"/>
  <c r="F151" i="17"/>
  <c r="F199" i="17"/>
  <c r="F197" i="17"/>
  <c r="F201" i="17"/>
  <c r="F175" i="17"/>
  <c r="F206" i="17"/>
  <c r="F180" i="17"/>
  <c r="F198" i="17"/>
  <c r="F172" i="17"/>
  <c r="F179" i="17"/>
  <c r="F191" i="17"/>
  <c r="F187" i="17"/>
  <c r="F181" i="17"/>
  <c r="F202" i="17"/>
  <c r="F196" i="17"/>
  <c r="F186" i="17"/>
  <c r="F190" i="17"/>
  <c r="F203" i="17"/>
  <c r="F204" i="17"/>
  <c r="F195" i="17"/>
  <c r="F182" i="17"/>
  <c r="F168" i="17"/>
  <c r="F185" i="17"/>
  <c r="F200" i="17"/>
  <c r="F177" i="17"/>
  <c r="F171" i="17"/>
  <c r="F178" i="17"/>
  <c r="M3" i="9"/>
  <c r="F193" i="17"/>
  <c r="F189" i="17"/>
  <c r="F174" i="17"/>
  <c r="F192" i="17"/>
  <c r="F205" i="17"/>
  <c r="F184" i="17"/>
  <c r="F170" i="17"/>
  <c r="F176" i="17"/>
  <c r="F188" i="17"/>
  <c r="F169" i="17"/>
  <c r="F173" i="17"/>
  <c r="F183" i="17"/>
  <c r="F194" i="17"/>
  <c r="M2" i="1" l="1"/>
  <c r="M38" i="1"/>
  <c r="M3" i="1"/>
  <c r="M6" i="1"/>
  <c r="M31" i="1"/>
  <c r="M36" i="1"/>
  <c r="M41" i="1"/>
  <c r="M26" i="1"/>
  <c r="M17" i="1"/>
  <c r="M29" i="1"/>
  <c r="M5" i="1"/>
  <c r="M10" i="1"/>
  <c r="M20" i="1"/>
  <c r="M35" i="1"/>
  <c r="M12" i="1"/>
  <c r="M16" i="1"/>
  <c r="M18" i="1"/>
  <c r="M32" i="1"/>
  <c r="M8" i="1"/>
  <c r="M7" i="1"/>
  <c r="M30" i="1"/>
  <c r="M9" i="1"/>
  <c r="M22" i="1"/>
  <c r="M27" i="1"/>
  <c r="M4" i="1"/>
  <c r="M43" i="1"/>
  <c r="M28" i="1"/>
  <c r="M15" i="1"/>
  <c r="M11" i="1"/>
  <c r="M42" i="1"/>
  <c r="M14" i="1"/>
  <c r="M25" i="1"/>
  <c r="M34" i="1"/>
  <c r="M21" i="1"/>
  <c r="M33" i="1"/>
  <c r="M24" i="1"/>
  <c r="M39" i="1"/>
  <c r="M23" i="1"/>
  <c r="M37" i="1"/>
  <c r="M19" i="1"/>
  <c r="M13" i="1"/>
  <c r="M40" i="1"/>
  <c r="M44" i="1"/>
</calcChain>
</file>

<file path=xl/comments1.xml><?xml version="1.0" encoding="utf-8"?>
<comments xmlns="http://schemas.openxmlformats.org/spreadsheetml/2006/main">
  <authors>
    <author>А</author>
  </authors>
  <commentList>
    <comment ref="A140" authorId="0" shapeId="0">
      <text>
        <r>
          <rPr>
            <sz val="8"/>
            <color indexed="81"/>
            <rFont val="Tahoma"/>
            <family val="2"/>
            <charset val="204"/>
          </rPr>
          <t>котел "Ланкаширский"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keepAlive="1" name="Запрос — Таблица1 (2)" description="Соединение с запросом &quot;Таблица1 (2)&quot; в книге." type="5" refreshedVersion="6" background="1" saveData="1">
    <dbPr connection="Provider=Microsoft.Mashup.OleDb.1;Data Source=$Workbook$;Location=Таблица1 (2);Extended Properties=&quot;&quot;" command="SELECT * FROM [Таблица1 (2)]"/>
  </connection>
  <connection id="3" name="Связанная таблица_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<sst xmlns="http://schemas.openxmlformats.org/spreadsheetml/2006/main" count="2778" uniqueCount="702">
  <si>
    <t>КС-2577</t>
  </si>
  <si>
    <t>КК-20</t>
  </si>
  <si>
    <t>ПП-0411</t>
  </si>
  <si>
    <t>КВТС-20-150</t>
  </si>
  <si>
    <t>Баллон</t>
  </si>
  <si>
    <t>Электролизер</t>
  </si>
  <si>
    <t>Цистерна</t>
  </si>
  <si>
    <t>1</t>
  </si>
  <si>
    <t>2002.201</t>
  </si>
  <si>
    <t>3319к</t>
  </si>
  <si>
    <t>КВГ-7,56</t>
  </si>
  <si>
    <t>КС-4561АМПС</t>
  </si>
  <si>
    <t>КС-3577-3</t>
  </si>
  <si>
    <t>ЭБ2-236</t>
  </si>
  <si>
    <t>КС-35714</t>
  </si>
  <si>
    <t>КС-45719-1А</t>
  </si>
  <si>
    <t>КМ-20,5-5К</t>
  </si>
  <si>
    <t>освидетельствование, номер главы, раздела и статей этих документов, устанавливающих объём этих документов)</t>
  </si>
  <si>
    <t>ЕДК-300/2  (ж/д)</t>
  </si>
  <si>
    <t>КМ-10-11</t>
  </si>
  <si>
    <t>КМ-10-17</t>
  </si>
  <si>
    <t>КМЭК-СР</t>
  </si>
  <si>
    <t>МЗК-7АГ-1</t>
  </si>
  <si>
    <t>г. Йошкар-Ола</t>
  </si>
  <si>
    <t>ЛП-0621Щ</t>
  </si>
  <si>
    <t>Дата</t>
  </si>
  <si>
    <t>наименование</t>
  </si>
  <si>
    <t>пс</t>
  </si>
  <si>
    <t>орд</t>
  </si>
  <si>
    <t>ПП-0411К-02</t>
  </si>
  <si>
    <t>ДЕ-10/14 ГМ</t>
  </si>
  <si>
    <t>ресивер</t>
  </si>
  <si>
    <t>КК</t>
  </si>
  <si>
    <t>В-3,2</t>
  </si>
  <si>
    <t>КК-12,5-25-9-1</t>
  </si>
  <si>
    <t>ИК-552-15В</t>
  </si>
  <si>
    <t>2 тн</t>
  </si>
  <si>
    <t>Е-1/9 Г-3</t>
  </si>
  <si>
    <t>Е-1/9-М2</t>
  </si>
  <si>
    <t>КВГМ-23</t>
  </si>
  <si>
    <t>ВС-18.04</t>
  </si>
  <si>
    <t>Е-1,0-0,9 Г-З</t>
  </si>
  <si>
    <t>ВТИ</t>
  </si>
  <si>
    <t>сосуд</t>
  </si>
  <si>
    <t>лифт</t>
  </si>
  <si>
    <t>котел</t>
  </si>
  <si>
    <t>экономайзер</t>
  </si>
  <si>
    <t>наименвание</t>
  </si>
  <si>
    <t>г. Сызрань</t>
  </si>
  <si>
    <t>КС-2571 А-1</t>
  </si>
  <si>
    <t>370191132</t>
  </si>
  <si>
    <t xml:space="preserve">вх № 69 от </t>
  </si>
  <si>
    <t xml:space="preserve">вх № 208 от </t>
  </si>
  <si>
    <t xml:space="preserve">вх № 442 от </t>
  </si>
  <si>
    <t>1971</t>
  </si>
  <si>
    <t>КМЭ-10-11</t>
  </si>
  <si>
    <t>КК-12,5-25</t>
  </si>
  <si>
    <t>Кран-балка</t>
  </si>
  <si>
    <t>Изготовитель</t>
  </si>
  <si>
    <t>Х-ка</t>
  </si>
  <si>
    <t>г) очередной срок технического освидетельствования</t>
  </si>
  <si>
    <t>ЭП1-808</t>
  </si>
  <si>
    <t>1552</t>
  </si>
  <si>
    <t>В-3,5</t>
  </si>
  <si>
    <t>ЗАКЛЮЧЕНИЕ</t>
  </si>
  <si>
    <t>(параметры, характеристика работы)</t>
  </si>
  <si>
    <t>ЭП-2</t>
  </si>
  <si>
    <t>243</t>
  </si>
  <si>
    <t>МКГ-25.01А</t>
  </si>
  <si>
    <t>ВЭ-III-14П</t>
  </si>
  <si>
    <t>5</t>
  </si>
  <si>
    <t>г. Казань</t>
  </si>
  <si>
    <t>ДКВР 6,5/14 ГМ</t>
  </si>
  <si>
    <t>ПП-0611Щ</t>
  </si>
  <si>
    <t>ПП-0471</t>
  </si>
  <si>
    <t>КБ-308 А</t>
  </si>
  <si>
    <t>КС-2561 К</t>
  </si>
  <si>
    <t>КК-50-42Б</t>
  </si>
  <si>
    <t>ВС-22-01</t>
  </si>
  <si>
    <t>Водородный ресивер</t>
  </si>
  <si>
    <t>КС-1562А</t>
  </si>
  <si>
    <t>В-4</t>
  </si>
  <si>
    <t>Е-10/14 ГМ</t>
  </si>
  <si>
    <t>г. Вольск</t>
  </si>
  <si>
    <t>КБ-405-2А</t>
  </si>
  <si>
    <t>ВС-22.04</t>
  </si>
  <si>
    <t>подчин</t>
  </si>
  <si>
    <t>ЛГ</t>
  </si>
  <si>
    <t>В-3</t>
  </si>
  <si>
    <t>КС-3577-4-1</t>
  </si>
  <si>
    <t>ЭП2-142</t>
  </si>
  <si>
    <t>Резервуар</t>
  </si>
  <si>
    <t>ПП-0521Щ</t>
  </si>
  <si>
    <t>1993</t>
  </si>
  <si>
    <t>вышка</t>
  </si>
  <si>
    <t>КК-12,5 СМ-25</t>
  </si>
  <si>
    <t>ККТМ-10-32</t>
  </si>
  <si>
    <t>Кран ж/д</t>
  </si>
  <si>
    <t>370191133</t>
  </si>
  <si>
    <t>ЭБ2-142</t>
  </si>
  <si>
    <t>ЭБ-2-2004</t>
  </si>
  <si>
    <t>котлы</t>
  </si>
  <si>
    <t>КД-400</t>
  </si>
  <si>
    <t>КБМ-401 УХЛ-21</t>
  </si>
  <si>
    <t>ЭП1-808 И</t>
  </si>
  <si>
    <t>Баллон 200 л.</t>
  </si>
  <si>
    <t>КЕ-4/14</t>
  </si>
  <si>
    <t>(должность, фамилия инициалы лица, принимавшего участие в техническом освидетельствовании)</t>
  </si>
  <si>
    <t>Экономайзеры</t>
  </si>
  <si>
    <t>1978</t>
  </si>
  <si>
    <t>КС-4561 АМ</t>
  </si>
  <si>
    <t>В-6,3</t>
  </si>
  <si>
    <t>1959</t>
  </si>
  <si>
    <t xml:space="preserve">Е-1,0-0,9 </t>
  </si>
  <si>
    <t xml:space="preserve">МШТС-4 МН </t>
  </si>
  <si>
    <t xml:space="preserve">вх № 163 от </t>
  </si>
  <si>
    <t>1837М</t>
  </si>
  <si>
    <t>КК-20/5-25-9</t>
  </si>
  <si>
    <t>Барокамера</t>
  </si>
  <si>
    <t>КС-5363</t>
  </si>
  <si>
    <t>Вх №</t>
  </si>
  <si>
    <t>Е-2,5-0,9ГМ</t>
  </si>
  <si>
    <t>ЭП1-708</t>
  </si>
  <si>
    <t>ДКВР-4/13</t>
  </si>
  <si>
    <t>ЭБ1-808</t>
  </si>
  <si>
    <t>В-2</t>
  </si>
  <si>
    <t>Е-10-1,4 ГМ</t>
  </si>
  <si>
    <t>Владелец</t>
  </si>
  <si>
    <t>Е-1-9 Р2</t>
  </si>
  <si>
    <t>3</t>
  </si>
  <si>
    <t>АПТ-32</t>
  </si>
  <si>
    <t>МК</t>
  </si>
  <si>
    <t>9311052</t>
  </si>
  <si>
    <t>Паропровод</t>
  </si>
  <si>
    <t>ЕДК-300 (ж/д)</t>
  </si>
  <si>
    <t>0389</t>
  </si>
  <si>
    <t>1. Провести поверку манометров котла и ревизию запорной арматуры котла.</t>
  </si>
  <si>
    <t>Не организовано</t>
  </si>
  <si>
    <t>НВО, ГИ, ЭО - октябрь 2010 г.</t>
  </si>
  <si>
    <t>990</t>
  </si>
  <si>
    <t>Стерилизатор</t>
  </si>
  <si>
    <t>барок(БЛКС 3-А)</t>
  </si>
  <si>
    <t>ККТ-516</t>
  </si>
  <si>
    <t>КДЭ</t>
  </si>
  <si>
    <t>ККС-10</t>
  </si>
  <si>
    <t>БКСМ-14ПМ4</t>
  </si>
  <si>
    <t>ДЕ-16/14</t>
  </si>
  <si>
    <t>КК-10-32</t>
  </si>
  <si>
    <t>КБ-160.2</t>
  </si>
  <si>
    <t>выведен из эксп.</t>
  </si>
  <si>
    <t>КС-3577-2-1</t>
  </si>
  <si>
    <t>техническое освидетельствование</t>
  </si>
  <si>
    <t>ККЭ-12,5</t>
  </si>
  <si>
    <t>СМК-101</t>
  </si>
  <si>
    <t>ВЭ-III-16П</t>
  </si>
  <si>
    <t>АГП-18.04</t>
  </si>
  <si>
    <t>4</t>
  </si>
  <si>
    <t>ПП-0411Щ</t>
  </si>
  <si>
    <t>22</t>
  </si>
  <si>
    <t>№</t>
  </si>
  <si>
    <t>АПТ-17Э</t>
  </si>
  <si>
    <t>2010</t>
  </si>
  <si>
    <t>Ланкаширский котел</t>
  </si>
  <si>
    <t>КС-2572 А-1</t>
  </si>
  <si>
    <t>Е-6,5/14</t>
  </si>
  <si>
    <t>4,2 тн</t>
  </si>
  <si>
    <t>БЛКС 3-01</t>
  </si>
  <si>
    <t>КС-2571 А</t>
  </si>
  <si>
    <t>ПБ-053А</t>
  </si>
  <si>
    <t>При этом установлено:</t>
  </si>
  <si>
    <t>№ п/п</t>
  </si>
  <si>
    <t>Изложение выявленных нарушений и статья нормативного документа, требования которого нарушены</t>
  </si>
  <si>
    <t>CN-128</t>
  </si>
  <si>
    <t>США</t>
  </si>
  <si>
    <t>ЭБ-2-236 И</t>
  </si>
  <si>
    <t>ЭКО</t>
  </si>
  <si>
    <t>Лифты</t>
  </si>
  <si>
    <t>Подъемники</t>
  </si>
  <si>
    <t>АГП-22.04</t>
  </si>
  <si>
    <t>АГП-18.02</t>
  </si>
  <si>
    <t>СМК-101 А</t>
  </si>
  <si>
    <t>назн</t>
  </si>
  <si>
    <t>ИК1514В</t>
  </si>
  <si>
    <t>ЗАО"Инман", г. Ишинбай</t>
  </si>
  <si>
    <t>Казахстан</t>
  </si>
  <si>
    <t>Е-16/14</t>
  </si>
  <si>
    <t>КК-12,5-25-9</t>
  </si>
  <si>
    <t>ДКВР-6,5/13</t>
  </si>
  <si>
    <t>БВЭС</t>
  </si>
  <si>
    <t>АГВ-3У</t>
  </si>
  <si>
    <t>Не допускается до устранения недостатков</t>
  </si>
  <si>
    <t>ЭПП1-802</t>
  </si>
  <si>
    <t>трубопровод</t>
  </si>
  <si>
    <t>ЭП2-236</t>
  </si>
  <si>
    <t>г. Оренбург</t>
  </si>
  <si>
    <t>КС-3562</t>
  </si>
  <si>
    <t>Мост. кран К-20,5</t>
  </si>
  <si>
    <t>Котел комплектный</t>
  </si>
  <si>
    <t>С 27 октября 2006 года не эксплуатировался</t>
  </si>
  <si>
    <t>Запорная арматура котла требует ревизионной проверки</t>
  </si>
  <si>
    <t>Трубопровод</t>
  </si>
  <si>
    <t>1364</t>
  </si>
  <si>
    <t>АХ-200</t>
  </si>
  <si>
    <t>1,2МПа, паропроизв. 0,34 т/ч, Т=191,7 С</t>
  </si>
  <si>
    <t>ДКВР-4/14 ГМ</t>
  </si>
  <si>
    <t>КК-20-25-9</t>
  </si>
  <si>
    <t>КК-20-32</t>
  </si>
  <si>
    <t>КК-12,5</t>
  </si>
  <si>
    <t>КС-4561</t>
  </si>
  <si>
    <t>Кран мостостроительной установки</t>
  </si>
  <si>
    <t>ЭБ2-142И</t>
  </si>
  <si>
    <t>BSS-3000G</t>
  </si>
  <si>
    <t>641</t>
  </si>
  <si>
    <t>А5-15</t>
  </si>
  <si>
    <t>МК -10ЛУП-16,5-12-УЗ</t>
  </si>
  <si>
    <t>ДЭК-631</t>
  </si>
  <si>
    <t>1172</t>
  </si>
  <si>
    <t>КВГМ-20-150</t>
  </si>
  <si>
    <t>АГП-22</t>
  </si>
  <si>
    <t>КС-2573-2</t>
  </si>
  <si>
    <t>UT-M-34</t>
  </si>
  <si>
    <t>UT-M4</t>
  </si>
  <si>
    <t>UL-S-8000</t>
  </si>
  <si>
    <t>АГВ-39</t>
  </si>
  <si>
    <t>ВЭ-12П</t>
  </si>
  <si>
    <t>2</t>
  </si>
  <si>
    <t>91322</t>
  </si>
  <si>
    <t>84217</t>
  </si>
  <si>
    <t>91270</t>
  </si>
  <si>
    <t>91363</t>
  </si>
  <si>
    <t xml:space="preserve">Марка ОГТН </t>
  </si>
  <si>
    <t>Рег. №</t>
  </si>
  <si>
    <t>Зав. №</t>
  </si>
  <si>
    <t>Год вып.</t>
  </si>
  <si>
    <t>Ввод в экспл.</t>
  </si>
  <si>
    <t>ПТО   (ГИ)</t>
  </si>
  <si>
    <t>Примечания</t>
  </si>
  <si>
    <t>ДКВР-10/13</t>
  </si>
  <si>
    <t>ЛП-0411ТЛМ</t>
  </si>
  <si>
    <t>Ответственный</t>
  </si>
  <si>
    <t>БВЭС-111-2</t>
  </si>
  <si>
    <t>ПП-1026Щ</t>
  </si>
  <si>
    <t>ОАО "ЩЛЗ"</t>
  </si>
  <si>
    <t>1000 кг. 18 эт.</t>
  </si>
  <si>
    <t>ЭБ1-330 И</t>
  </si>
  <si>
    <t>ККС-10Т 25</t>
  </si>
  <si>
    <t>ЛТ-62М</t>
  </si>
  <si>
    <t>Автокраны</t>
  </si>
  <si>
    <t>КС-2561 Д</t>
  </si>
  <si>
    <t xml:space="preserve">КС-2571 </t>
  </si>
  <si>
    <t>КС-3562 Б</t>
  </si>
  <si>
    <t>КБ-160.2М</t>
  </si>
  <si>
    <t>ПП-400 А</t>
  </si>
  <si>
    <t>ККУ-12,5-25</t>
  </si>
  <si>
    <t>КБ-405-1А</t>
  </si>
  <si>
    <t>КЖДЭ-16</t>
  </si>
  <si>
    <t>26074</t>
  </si>
  <si>
    <t xml:space="preserve">вх № 156 от </t>
  </si>
  <si>
    <t>КСК-30-42В</t>
  </si>
  <si>
    <t>КСК-32</t>
  </si>
  <si>
    <t>К-162</t>
  </si>
  <si>
    <t>27</t>
  </si>
  <si>
    <t>939</t>
  </si>
  <si>
    <t>32-67</t>
  </si>
  <si>
    <t>место</t>
  </si>
  <si>
    <t>№ заключ.</t>
  </si>
  <si>
    <t>переименование</t>
  </si>
  <si>
    <t>2743М</t>
  </si>
  <si>
    <t>3349М3</t>
  </si>
  <si>
    <t>БЛКС</t>
  </si>
  <si>
    <t>АГВ</t>
  </si>
  <si>
    <t>КС-4562</t>
  </si>
  <si>
    <t>КС-3577-4</t>
  </si>
  <si>
    <t>КК-12,5СМ-25</t>
  </si>
  <si>
    <t>В-8</t>
  </si>
  <si>
    <t>Е-6,5/13</t>
  </si>
  <si>
    <t>ЧТО (ВО)</t>
  </si>
  <si>
    <t>Э/О</t>
  </si>
  <si>
    <t>Манометры не поверены</t>
  </si>
  <si>
    <t>МК-100-16-22-5К</t>
  </si>
  <si>
    <t>« С актом ознакомлен »</t>
  </si>
  <si>
    <t>ДЕ-10-14ГМ</t>
  </si>
  <si>
    <t>КВГМ-10</t>
  </si>
  <si>
    <t>КС-3574</t>
  </si>
  <si>
    <t>КС-3577-3-1</t>
  </si>
  <si>
    <t>гидравлические, динамические или статические испытания), наименование, индекс, заводской номер, регистрационный номер</t>
  </si>
  <si>
    <t>8710185</t>
  </si>
  <si>
    <t>ККУ-5</t>
  </si>
  <si>
    <t>Приложение: Паспорт технического устройства -</t>
  </si>
  <si>
    <t>АТЦ-8-130</t>
  </si>
  <si>
    <t>УСМ-1</t>
  </si>
  <si>
    <t>Подпись лица проводившего</t>
  </si>
  <si>
    <t>(должность, фамилия инициалы лица, проводившего техническое освидетельствование)</t>
  </si>
  <si>
    <t xml:space="preserve">с участием </t>
  </si>
  <si>
    <t xml:space="preserve">проведено </t>
  </si>
  <si>
    <r>
      <t xml:space="preserve">Мною </t>
    </r>
    <r>
      <rPr>
        <sz val="8"/>
        <rFont val="Times New Roman"/>
        <family val="1"/>
        <charset val="204"/>
      </rPr>
      <t/>
    </r>
  </si>
  <si>
    <t>№ лицензии</t>
  </si>
  <si>
    <t>срок лицензии</t>
  </si>
  <si>
    <t>Шеф1</t>
  </si>
  <si>
    <t>ПП-0621</t>
  </si>
  <si>
    <t>Самарская область, г. Самара, ул. Вилоновская, д. 18 А, 3 этаж</t>
  </si>
  <si>
    <t>ДЭ-00-010821</t>
  </si>
  <si>
    <t>ЛП-0411К</t>
  </si>
  <si>
    <t>В-10</t>
  </si>
  <si>
    <t>В-5</t>
  </si>
  <si>
    <t>КДЭ-253</t>
  </si>
  <si>
    <t>453110, Республика Башкортостан, г. Стерлитамак, ул. Техническая, д. 14</t>
  </si>
  <si>
    <t>ДЭ-00-013660</t>
  </si>
  <si>
    <t>121099, Москва, Новинский бульвар, д. 8</t>
  </si>
  <si>
    <t>ДЭ-00-013662</t>
  </si>
  <si>
    <t>670047, Республика Бурятия, г. Улан-Удэ, ул. Сахьяновой, д. 9, стр. 14, оф. 51</t>
  </si>
  <si>
    <t>ДЭ-00-007550</t>
  </si>
  <si>
    <t>127015, Москва, ул. Большая Новодмитровская, д. 12, стр. 15</t>
  </si>
  <si>
    <t>ДЭ-00-008136</t>
  </si>
  <si>
    <t>1990</t>
  </si>
  <si>
    <t>354000, Краснодарский край, г. Сочи, ул. Пластунская, д. 52, корп. 3</t>
  </si>
  <si>
    <t>ДЭ-00-013655</t>
  </si>
  <si>
    <t>Общее количество</t>
  </si>
  <si>
    <t>№№</t>
  </si>
  <si>
    <t>КК-12,5С-25-9</t>
  </si>
  <si>
    <t>Е-1/9</t>
  </si>
  <si>
    <t>5237</t>
  </si>
  <si>
    <t>КБ-401 Б</t>
  </si>
  <si>
    <t>КС-5363 АМ</t>
  </si>
  <si>
    <t>Е-10/14</t>
  </si>
  <si>
    <t>ДЕ-16-14 ГМ</t>
  </si>
  <si>
    <t>ОАО"Угличский машиностроительный завод", ООО"Донэкс"</t>
  </si>
  <si>
    <t>ООО "ЭСГПМ"</t>
  </si>
  <si>
    <t>13.08.2012</t>
  </si>
  <si>
    <t>ООО "Западно-Уральская Энергосервисная Компания"</t>
  </si>
  <si>
    <t>10.08.2012</t>
  </si>
  <si>
    <t>ДКВР-10-13 ГМ</t>
  </si>
  <si>
    <t>КС-3577-2</t>
  </si>
  <si>
    <t>КБ-408</t>
  </si>
  <si>
    <t>КС-35715-2</t>
  </si>
  <si>
    <t>8606065</t>
  </si>
  <si>
    <t>8606072</t>
  </si>
  <si>
    <t>не рег ТУ</t>
  </si>
  <si>
    <t>Е-1,0-0,9Г-3</t>
  </si>
  <si>
    <t>Е-1,0-0,9ГН-1</t>
  </si>
  <si>
    <t>(вид технического освидетельствования: частичное, полное внеочередное, наружный осмотр, внутренний осмотр</t>
  </si>
  <si>
    <t>индекс</t>
  </si>
  <si>
    <t>К-30-32</t>
  </si>
  <si>
    <t>В-10-0,8-1</t>
  </si>
  <si>
    <t>КК А5-16</t>
  </si>
  <si>
    <t>ЛП-0411</t>
  </si>
  <si>
    <t>ЛП-0471</t>
  </si>
  <si>
    <t>ЛП-0471Щ</t>
  </si>
  <si>
    <t>КС-45722-1В</t>
  </si>
  <si>
    <t>Назначен</t>
  </si>
  <si>
    <t>КБ-402 В</t>
  </si>
  <si>
    <t>КБ-403 А</t>
  </si>
  <si>
    <t>КБ-403 Б</t>
  </si>
  <si>
    <t>КБ-572 А</t>
  </si>
  <si>
    <t>Козл.краны</t>
  </si>
  <si>
    <t>КК-12,5 СМ</t>
  </si>
  <si>
    <t>ККС-10Т</t>
  </si>
  <si>
    <t>КС-4561 А</t>
  </si>
  <si>
    <t>МКАТ-20.01</t>
  </si>
  <si>
    <t>К-162 М</t>
  </si>
  <si>
    <t>Краны стреловые</t>
  </si>
  <si>
    <t>МКГ-25.01 А</t>
  </si>
  <si>
    <t>Мост.краны</t>
  </si>
  <si>
    <t>МК-16/3,2</t>
  </si>
  <si>
    <t>45</t>
  </si>
  <si>
    <t>КС-3577</t>
  </si>
  <si>
    <t>ЛБ</t>
  </si>
  <si>
    <t xml:space="preserve">Подпись лица ответственного за исправное состояние </t>
  </si>
  <si>
    <t>ЭП-1</t>
  </si>
  <si>
    <t>02.08.2012</t>
  </si>
  <si>
    <t>ООО "ОренбургЭнергоАудит"</t>
  </si>
  <si>
    <t>ООО "ИНКОТЕС"</t>
  </si>
  <si>
    <t>31.07.2012</t>
  </si>
  <si>
    <t>ЭП</t>
  </si>
  <si>
    <t>КС-2561</t>
  </si>
  <si>
    <t>КС-2573</t>
  </si>
  <si>
    <t>ЭБ1-330</t>
  </si>
  <si>
    <t>ДКВР-6,5-13</t>
  </si>
  <si>
    <t>ЭП-1-236</t>
  </si>
  <si>
    <t>ЭП-1-237</t>
  </si>
  <si>
    <t>Е-4/14 ГМ</t>
  </si>
  <si>
    <t>1994</t>
  </si>
  <si>
    <t>CN-165 (60тн пнев)</t>
  </si>
  <si>
    <t>ДЕ-25/14</t>
  </si>
  <si>
    <t>Автоклав</t>
  </si>
  <si>
    <t>КБ-308</t>
  </si>
  <si>
    <t>Шеф</t>
  </si>
  <si>
    <t>640</t>
  </si>
  <si>
    <t>АГП-18</t>
  </si>
  <si>
    <t>ВЭ-111-14П</t>
  </si>
  <si>
    <t>К-67</t>
  </si>
  <si>
    <t>23668</t>
  </si>
  <si>
    <t>ЕСГ</t>
  </si>
  <si>
    <t>1987</t>
  </si>
  <si>
    <t>ЭБ-2</t>
  </si>
  <si>
    <t>ЭП-236</t>
  </si>
  <si>
    <t>КК-10-25</t>
  </si>
  <si>
    <t>КС-35719-3М1</t>
  </si>
  <si>
    <t>г. Клинцы, Брянской обл.</t>
  </si>
  <si>
    <t>27428</t>
  </si>
  <si>
    <t>МСКВ</t>
  </si>
  <si>
    <t>КЕ-6,5/14</t>
  </si>
  <si>
    <t>ДКВР-25/13</t>
  </si>
  <si>
    <t>ДЕ-6,5/14</t>
  </si>
  <si>
    <t>25,4 тн</t>
  </si>
  <si>
    <t>ДЭ-00-013381</t>
  </si>
  <si>
    <t>гпм</t>
  </si>
  <si>
    <t>«___»  ________ 20__ г.</t>
  </si>
  <si>
    <t>Отчет</t>
  </si>
  <si>
    <t>Е-1/3</t>
  </si>
  <si>
    <t>в) организация эксплуатации и аттестации обслуживающего персонала</t>
  </si>
  <si>
    <t>баллон</t>
  </si>
  <si>
    <t>ЭП1-330 И</t>
  </si>
  <si>
    <t>Е-20/14 ГМ</t>
  </si>
  <si>
    <t>КВГ-4,5</t>
  </si>
  <si>
    <t>9001529</t>
  </si>
  <si>
    <t>ППС.121.22</t>
  </si>
  <si>
    <t>КС-5363 БМ</t>
  </si>
  <si>
    <t>ДЕ-10-14 ГМ</t>
  </si>
  <si>
    <t>ЭБ1-300 И</t>
  </si>
  <si>
    <t>ПП-0621Щ</t>
  </si>
  <si>
    <t>БЛКС-303 МК</t>
  </si>
  <si>
    <t>ВЭ</t>
  </si>
  <si>
    <t>г. Белгород</t>
  </si>
  <si>
    <t>г. Кусинск</t>
  </si>
  <si>
    <t>Обслуживающий персонал отсутствует</t>
  </si>
  <si>
    <t>ПСС-121.22</t>
  </si>
  <si>
    <t>30/5Т25-16,5</t>
  </si>
  <si>
    <t>Приложение: Паспорт технического устройства и заключение</t>
  </si>
  <si>
    <t>АЦТ-8-130</t>
  </si>
  <si>
    <t>ЗАО "МАГИКРОТ"</t>
  </si>
  <si>
    <t>АГП-12А</t>
  </si>
  <si>
    <t>КС-2561 К-1</t>
  </si>
  <si>
    <t>ММЗ-VI-0,8/9</t>
  </si>
  <si>
    <t>КЭК-5</t>
  </si>
  <si>
    <t>16 тн</t>
  </si>
  <si>
    <t>1357</t>
  </si>
  <si>
    <t>РДК-250</t>
  </si>
  <si>
    <t>РДК-250-3</t>
  </si>
  <si>
    <t>ВС-22.01ПС</t>
  </si>
  <si>
    <t>КС-3571-1</t>
  </si>
  <si>
    <t>Барокамера (ОКА-МТ)</t>
  </si>
  <si>
    <t xml:space="preserve">(должность, фамилия, инициалы) </t>
  </si>
  <si>
    <t>ДЕ-10/14</t>
  </si>
  <si>
    <t>автоцист. ЕСГ</t>
  </si>
  <si>
    <t>Рег. № входящий</t>
  </si>
  <si>
    <t>Дата снятия</t>
  </si>
  <si>
    <t>ККТ-5</t>
  </si>
  <si>
    <t>КБ-403</t>
  </si>
  <si>
    <t>Срок</t>
  </si>
  <si>
    <t xml:space="preserve"> </t>
  </si>
  <si>
    <t>Баш.краны</t>
  </si>
  <si>
    <t>КБ-309 ХЛ</t>
  </si>
  <si>
    <t>лет</t>
  </si>
  <si>
    <t>194021, Санкт-Петербург, ул. Политехническая, д. 26</t>
  </si>
  <si>
    <t>ДЭ-00-007615</t>
  </si>
  <si>
    <t>127276, Москва, ул. Ботаническая, д. 14, офис 21</t>
  </si>
  <si>
    <t>ДЭ-00-013617</t>
  </si>
  <si>
    <t>ДЭ-00-007579</t>
  </si>
  <si>
    <t>460052, г. Оренбург, ул. Брестская, д. 5, кв. 184</t>
  </si>
  <si>
    <t>ДЭ-00-013261</t>
  </si>
  <si>
    <t>ДЕ-6,5/13</t>
  </si>
  <si>
    <t>ДКВР-2,5/13</t>
  </si>
  <si>
    <t>№ ОПО</t>
  </si>
  <si>
    <t>ООО "Прадиком"</t>
  </si>
  <si>
    <t>03.08.2012</t>
  </si>
  <si>
    <t>ООО "Воронежский региональный экспертный центр"</t>
  </si>
  <si>
    <r>
      <t>(наименование эксплутационного документа или НТД, по которому проводилось техническое</t>
    </r>
    <r>
      <rPr>
        <sz val="12"/>
        <rFont val="Times New Roman"/>
        <family val="1"/>
        <charset val="204"/>
      </rPr>
      <t xml:space="preserve"> </t>
    </r>
  </si>
  <si>
    <t>Начальник</t>
  </si>
  <si>
    <t>г. Самара</t>
  </si>
  <si>
    <t>КВГМ-11,63</t>
  </si>
  <si>
    <t>ЭБ1-3304</t>
  </si>
  <si>
    <t>ЭП1-3304</t>
  </si>
  <si>
    <t>КС-3562 А</t>
  </si>
  <si>
    <t>г. Саратов</t>
  </si>
  <si>
    <t>На №</t>
  </si>
  <si>
    <t>1003</t>
  </si>
  <si>
    <t>4118</t>
  </si>
  <si>
    <t>Республика Марий Эл</t>
  </si>
  <si>
    <t>Республика Мордовия</t>
  </si>
  <si>
    <t>Самарская обл.</t>
  </si>
  <si>
    <t>Саратовская обл.</t>
  </si>
  <si>
    <t>РДК-250-2</t>
  </si>
  <si>
    <t>КС-4361</t>
  </si>
  <si>
    <t>ДЭК-251</t>
  </si>
  <si>
    <t>1984</t>
  </si>
  <si>
    <t>1986</t>
  </si>
  <si>
    <t>КС-45717 К-1</t>
  </si>
  <si>
    <t>г. Иваново</t>
  </si>
  <si>
    <t>2-х жаротр.</t>
  </si>
  <si>
    <t>Е-1/9-МЗ</t>
  </si>
  <si>
    <t>160014, Вологодская область, г. Вологда, ул. Дальняя, д. 1</t>
  </si>
  <si>
    <t>ДЭ-00-008922</t>
  </si>
  <si>
    <t>г. Пермь, ул. Светлогорская, 19</t>
  </si>
  <si>
    <t>603950, г. Нижний Новгород, ул. Бринского, д. 6</t>
  </si>
  <si>
    <t>МЗК-7АЖ-2</t>
  </si>
  <si>
    <t>6</t>
  </si>
  <si>
    <t>АНО "Столичный центр научно-технического обеспечения промышленной безопасности"</t>
  </si>
  <si>
    <t>№ пп</t>
  </si>
  <si>
    <t>Оренбургская обл.</t>
  </si>
  <si>
    <t>Е-1/9Г</t>
  </si>
  <si>
    <t>ДКВР-20/13</t>
  </si>
  <si>
    <t>ОКА-МТ</t>
  </si>
  <si>
    <t>БЛ-3</t>
  </si>
  <si>
    <t>ГХК 3/16-200</t>
  </si>
  <si>
    <t>барок(БЛКС-3-01)</t>
  </si>
  <si>
    <t>снято с регистрации</t>
  </si>
  <si>
    <t>б/н</t>
  </si>
  <si>
    <t>Государственное образовательное учреждение высшего профессионального образования "Волгоградский государственный архитектурно-строительный университет"</t>
  </si>
  <si>
    <t>1723</t>
  </si>
  <si>
    <t>ООО "Арантэй"</t>
  </si>
  <si>
    <t>10.09.2012</t>
  </si>
  <si>
    <t>05.09.2012</t>
  </si>
  <si>
    <t>Е-16/14 ГМ</t>
  </si>
  <si>
    <t>КС-2561 Е</t>
  </si>
  <si>
    <t>51915</t>
  </si>
  <si>
    <t>ДКВР-2-8</t>
  </si>
  <si>
    <t>КС-2573-1</t>
  </si>
  <si>
    <t>ЭП1-330</t>
  </si>
  <si>
    <t>Экспертная организация</t>
  </si>
  <si>
    <t>Дислокац эксп</t>
  </si>
  <si>
    <t>Генеральному директору</t>
  </si>
  <si>
    <t>Кран подвесной с э/т</t>
  </si>
  <si>
    <t>КДЭ-251</t>
  </si>
  <si>
    <t>КС-50-42Б</t>
  </si>
  <si>
    <t>Республика Татарстан</t>
  </si>
  <si>
    <t>КМЭК СР-10-17</t>
  </si>
  <si>
    <t>КМЭК-10-11</t>
  </si>
  <si>
    <t>ООО "Эксперт - Лифт"</t>
  </si>
  <si>
    <t>13.09.2012</t>
  </si>
  <si>
    <t>ООО "Нефтехимдиагностика"</t>
  </si>
  <si>
    <t>12.09.2012</t>
  </si>
  <si>
    <t>Таль на монорельсе</t>
  </si>
  <si>
    <t>КВГ-4,65</t>
  </si>
  <si>
    <t>ДЕ-25-14 ГМ</t>
  </si>
  <si>
    <t>HW 0601</t>
  </si>
  <si>
    <t>HD 0101</t>
  </si>
  <si>
    <t>ООО "три буквы"</t>
  </si>
  <si>
    <t>ИП</t>
  </si>
  <si>
    <t>строители</t>
  </si>
  <si>
    <t>ученые</t>
  </si>
  <si>
    <t>Ректор</t>
  </si>
  <si>
    <t>ОАО</t>
  </si>
  <si>
    <t>АНО</t>
  </si>
  <si>
    <t>АНО "хихи"</t>
  </si>
  <si>
    <t>АНО "Ученые"</t>
  </si>
  <si>
    <t>ученики</t>
  </si>
  <si>
    <t>Директор</t>
  </si>
  <si>
    <t>ООО</t>
  </si>
  <si>
    <t>г. Балхаш</t>
  </si>
  <si>
    <t>ИП "111"</t>
  </si>
  <si>
    <t>индивидуального предприятия "111"</t>
  </si>
  <si>
    <t>ИП "222"</t>
  </si>
  <si>
    <t>индивидуального предприятия "222"</t>
  </si>
  <si>
    <t>медики</t>
  </si>
  <si>
    <t>МУ</t>
  </si>
  <si>
    <t>Филиал горбольницы №3</t>
  </si>
  <si>
    <t>филиала горбольницы №3</t>
  </si>
  <si>
    <t>ГБ №3</t>
  </si>
  <si>
    <t>ГБ №1</t>
  </si>
  <si>
    <t>Строители</t>
  </si>
  <si>
    <t>"ДЭУ № 8"</t>
  </si>
  <si>
    <t>с. Троицкое</t>
  </si>
  <si>
    <t>СМУ № 5</t>
  </si>
  <si>
    <t>СУМР №22</t>
  </si>
  <si>
    <t>СПМУ №6</t>
  </si>
  <si>
    <t>СПМУ №2</t>
  </si>
  <si>
    <t>Летчики</t>
  </si>
  <si>
    <t>г. Энск</t>
  </si>
  <si>
    <t>нет объектов</t>
  </si>
  <si>
    <t>Аэропорт 1</t>
  </si>
  <si>
    <t>Аэропорта 1</t>
  </si>
  <si>
    <t>1 отдел</t>
  </si>
  <si>
    <t>2 отдел</t>
  </si>
  <si>
    <t>Медпункт № 4</t>
  </si>
  <si>
    <t>Медпункта № 5</t>
  </si>
  <si>
    <t>3 отдел</t>
  </si>
  <si>
    <t>Сосуды и баллоны</t>
  </si>
  <si>
    <t>8 тн</t>
  </si>
  <si>
    <t>10 тн</t>
  </si>
  <si>
    <t>Кран консольный</t>
  </si>
  <si>
    <t>Порядка 1000 наименований организаций</t>
  </si>
  <si>
    <t>ДИРЕКТОР ООО «РОГА &amp; КОПЫТА»</t>
  </si>
  <si>
    <t>ИО ДИРЕКТОРА ООО «РОГА &amp; КОПЫТА»</t>
  </si>
  <si>
    <t>И.Иванов</t>
  </si>
  <si>
    <t>С. Петров</t>
  </si>
  <si>
    <t>П. Сидоров</t>
  </si>
  <si>
    <r>
      <rPr>
        <b/>
        <sz val="9"/>
        <rFont val="Calibri"/>
        <family val="2"/>
        <charset val="204"/>
      </rPr>
      <t>«</t>
    </r>
    <r>
      <rPr>
        <b/>
        <sz val="9"/>
        <rFont val="Times New Roman"/>
        <family val="1"/>
        <charset val="204"/>
      </rPr>
      <t xml:space="preserve"> РОГА &amp; КОПЫТА»</t>
    </r>
  </si>
  <si>
    <t xml:space="preserve">Руководителю </t>
  </si>
  <si>
    <t>АНО "МММММ"</t>
  </si>
  <si>
    <t>00-ДЭ-000505</t>
  </si>
  <si>
    <t>127000, Москва, ул. Никитская, д. 3</t>
  </si>
  <si>
    <t xml:space="preserve">ГЛАВНОЕ УПРАВЛЕНИЕ </t>
  </si>
  <si>
    <t>ЗАГОТОВКИ РОГОВ И КОПЫТ</t>
  </si>
  <si>
    <t>2. Провести обучение обслуживающего персонала.</t>
  </si>
  <si>
    <t>Юр лицо</t>
  </si>
  <si>
    <t xml:space="preserve"> 000000, г. Черномор</t>
  </si>
  <si>
    <t>объекта надзора, владелец - объекта)</t>
  </si>
  <si>
    <t>И. Иванову</t>
  </si>
  <si>
    <t>ДИРЕКТОРУ ООО «РОГА &amp; КОПЫТА»</t>
  </si>
  <si>
    <t>старшим помошником младшего пекаря Сидоровым П.А.</t>
  </si>
  <si>
    <t>главным помошником младшего пекаря Петровым С.С.</t>
  </si>
  <si>
    <t xml:space="preserve">и безопасную эксплуатацию объекта надзора </t>
  </si>
  <si>
    <t>(наименование объекта надзора)</t>
  </si>
  <si>
    <t>(наименование объекта надзора, требованиям безопасности соответствует, не соответствует)</t>
  </si>
  <si>
    <t>(соответствует или не соответствует нормативным документам надзора)</t>
  </si>
  <si>
    <t>ООО «РОГА &amp; КОПЫТА»</t>
  </si>
  <si>
    <t>Предложения по повышению безопасной эксплуатации объекта надзора:</t>
  </si>
  <si>
    <t>РПД</t>
  </si>
  <si>
    <t>Дата на учет</t>
  </si>
  <si>
    <t>Аэродром 2</t>
  </si>
  <si>
    <t>Аэродрома 2</t>
  </si>
  <si>
    <t>г. Кошкино</t>
  </si>
  <si>
    <t>ЗАО</t>
  </si>
  <si>
    <t>42586</t>
  </si>
  <si>
    <t>В ячейках столбца "L" основная формула, которая отбирает значения из листов Срок и Заключение, проставляя Максимум.</t>
  </si>
  <si>
    <t>Заполняется простым вырезанием соответствующей строки в листе База, с последующим удалением пустой строки</t>
  </si>
  <si>
    <t>АКТ - ОБСЛЕДОВАНИЯ</t>
  </si>
  <si>
    <t>То чего нет в листе Срок и Запол высветится предупреждением (значения ячеек столбца С ,К и Q)</t>
  </si>
  <si>
    <t>ТИП</t>
  </si>
  <si>
    <t xml:space="preserve">Место </t>
  </si>
  <si>
    <t>Место</t>
  </si>
  <si>
    <t>Тип</t>
  </si>
  <si>
    <t>2012</t>
  </si>
  <si>
    <t>2008</t>
  </si>
  <si>
    <t>2009</t>
  </si>
  <si>
    <t>1114</t>
  </si>
  <si>
    <t>2525</t>
  </si>
  <si>
    <t>33335</t>
  </si>
  <si>
    <t>1991</t>
  </si>
  <si>
    <t>не учтен</t>
  </si>
  <si>
    <t>кому</t>
  </si>
  <si>
    <t>регион</t>
  </si>
  <si>
    <t>Юрик</t>
  </si>
  <si>
    <t>Марка</t>
  </si>
  <si>
    <t>ЧТО</t>
  </si>
  <si>
    <t>ПТО</t>
  </si>
  <si>
    <t>марка</t>
  </si>
  <si>
    <t>пс/ орд</t>
  </si>
  <si>
    <t>1996</t>
  </si>
  <si>
    <t>Исх. №</t>
  </si>
  <si>
    <t>эксп. Организация</t>
  </si>
  <si>
    <t>место нахождения эксп.орг.</t>
  </si>
  <si>
    <t>Дата2</t>
  </si>
  <si>
    <t>Столбец3</t>
  </si>
  <si>
    <t>126/1</t>
  </si>
  <si>
    <r>
      <rPr>
        <b/>
        <sz val="9"/>
        <rFont val="Calibri"/>
        <family val="2"/>
        <charset val="204"/>
      </rPr>
      <t>«</t>
    </r>
    <r>
      <rPr>
        <b/>
        <sz val="9"/>
        <rFont val="Times New Roman"/>
        <family val="1"/>
        <charset val="204"/>
      </rPr>
      <t>РОГА &amp; КОПЫТА»</t>
    </r>
  </si>
  <si>
    <t xml:space="preserve">            ООО «РОГА &amp; КОПЫТА» любезно соблаговолил и рассмотрел Ваше заявление о регистрации технических устройств и учел их за №№:</t>
  </si>
  <si>
    <t>00001</t>
  </si>
  <si>
    <t>00022</t>
  </si>
  <si>
    <t>00357</t>
  </si>
  <si>
    <t>##</t>
  </si>
  <si>
    <t>год</t>
  </si>
  <si>
    <t>Назаченый срок</t>
  </si>
  <si>
    <t>"__"_____202__г   № АА/ ______</t>
  </si>
  <si>
    <r>
      <t xml:space="preserve">         По результатам рассмотрения принято решение о соответствии заключения экспертизы предъявляемым требованиям и о </t>
    </r>
    <r>
      <rPr>
        <b/>
        <i/>
        <u/>
        <sz val="12"/>
        <rFont val="Times New Roman"/>
        <family val="1"/>
        <charset val="204"/>
      </rPr>
      <t>согласовании заключения</t>
    </r>
    <r>
      <rPr>
        <sz val="12"/>
        <rFont val="Times New Roman"/>
        <family val="1"/>
        <charset val="204"/>
      </rPr>
      <t xml:space="preserve">.  </t>
    </r>
  </si>
  <si>
    <t xml:space="preserve"> допускается (не допускается)</t>
  </si>
  <si>
    <t xml:space="preserve"> соответсвует обязательным требованиям</t>
  </si>
  <si>
    <t xml:space="preserve"> не соответсвует обязательным требованиям</t>
  </si>
  <si>
    <t xml:space="preserve">Федеральные нормы и правила в области промышленной безопасности "Правила безопасности опасных производственных объектов, на которых используются подъемные сооружения" </t>
  </si>
  <si>
    <t>Федеральные нормы и правила в области промышленной безопасности "Правила промышленной безопасности опасных производственных объектов, на которых используется оборудование, работающее под избыточным давлением"</t>
  </si>
  <si>
    <t>Правила организации безопасного использования и содержания лифтов, подъемных платформ для инвалидов, пассажирских конвейеров (движущихся пешеходных дорожек) и эскалаторов, за исключением эскалаторов в метрополитенах.</t>
  </si>
  <si>
    <t xml:space="preserve">          ООО "РОГА &amp; КОПЫТА" любезно соблаговолясь рассмотрел Ваше заявление и снял с учета следующие технические устройства:</t>
  </si>
  <si>
    <t>наружный и внутренний осмотр</t>
  </si>
  <si>
    <t>частичное техническое освидетельствование</t>
  </si>
  <si>
    <t>полное техническое освидетельствование</t>
  </si>
  <si>
    <t>гидравлическое испытание</t>
  </si>
  <si>
    <t>вышки</t>
  </si>
  <si>
    <t>баллона</t>
  </si>
  <si>
    <t>сосуда</t>
  </si>
  <si>
    <t>трубопровода</t>
  </si>
  <si>
    <t>лифта</t>
  </si>
  <si>
    <t>экономайзера</t>
  </si>
  <si>
    <t>котла</t>
  </si>
  <si>
    <t>мостового крана</t>
  </si>
  <si>
    <t>консольного крана</t>
  </si>
  <si>
    <t>крана с электроталью</t>
  </si>
  <si>
    <t>тали на монорельсе</t>
  </si>
  <si>
    <t>кран-балки</t>
  </si>
  <si>
    <t>стрелового крана</t>
  </si>
  <si>
    <t>автокрана</t>
  </si>
  <si>
    <t>крана-манипулятора</t>
  </si>
  <si>
    <t>козлового крана</t>
  </si>
  <si>
    <t>башенного крана</t>
  </si>
  <si>
    <t>не рег ТУ орд</t>
  </si>
  <si>
    <t>не рег ТУ пс</t>
  </si>
  <si>
    <t>В столбцах "N", "О" значения выбираются из листа "Срок"</t>
  </si>
  <si>
    <t>требует ЭО</t>
  </si>
  <si>
    <t>В столбцах "В, D, M, P,Q" значения выбираются из листа "Запол"</t>
  </si>
  <si>
    <t>Проставляется либо срок службы установленный заводом изготовителем, либо срок установленный экспертной организацией, при том отбираются соответствия по Марке, Зав.№, т.е. владелец может поменяться а данные не изменятся.</t>
  </si>
  <si>
    <t>1979</t>
  </si>
  <si>
    <t>2013</t>
  </si>
  <si>
    <t>пс/орд</t>
  </si>
  <si>
    <t/>
  </si>
  <si>
    <t>375</t>
  </si>
  <si>
    <t>2016</t>
  </si>
  <si>
    <t>В ячейке "S" дата сегодня. К ней привязаны все расчеты.</t>
  </si>
  <si>
    <t>А1455</t>
  </si>
  <si>
    <t>Х00</t>
  </si>
  <si>
    <t>Х02</t>
  </si>
  <si>
    <t>ХХХ</t>
  </si>
  <si>
    <t>К-во не рег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</si>
</sst>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\ yy"/>
    <numFmt numFmtId="165" formatCode="[$-F800]dddd\,\ mmmm\ dd\,\ yyyy"/>
    <numFmt numFmtId="166" formatCode="[$-419]d\ mmm\ yy;@"/>
    <numFmt numFmtId="167" formatCode="dd/mm/yy;@"/>
    <numFmt numFmtId="168" formatCode="d/m/yy;@"/>
  </numFmts>
  <fonts count="3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color indexed="81"/>
      <name val="Tahoma"/>
      <family val="2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9"/>
      <color indexed="10"/>
      <name val="Arial Cyr"/>
      <charset val="204"/>
    </font>
    <font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Arial Cyr"/>
      <charset val="204"/>
    </font>
    <font>
      <b/>
      <sz val="10"/>
      <color theme="0"/>
      <name val="Arial Cyr"/>
      <charset val="204"/>
    </font>
    <font>
      <sz val="10"/>
      <name val="Arial Cyr"/>
    </font>
    <font>
      <sz val="9"/>
      <name val="Arial Cy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9" fontId="25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8" fillId="0" borderId="2" xfId="0" applyFont="1" applyBorder="1" applyAlignment="1"/>
    <xf numFmtId="0" fontId="0" fillId="0" borderId="2" xfId="0" applyBorder="1"/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/>
    <xf numFmtId="0" fontId="0" fillId="0" borderId="2" xfId="0" applyBorder="1" applyAlignment="1"/>
    <xf numFmtId="0" fontId="12" fillId="0" borderId="2" xfId="0" applyFont="1" applyBorder="1" applyAlignment="1">
      <alignment horizontal="left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8" fillId="6" borderId="0" xfId="0" applyFont="1" applyFill="1" applyAlignme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4" fillId="0" borderId="0" xfId="1" applyAlignment="1">
      <alignment horizontal="center"/>
    </xf>
    <xf numFmtId="0" fontId="14" fillId="0" borderId="0" xfId="1" applyFill="1" applyAlignment="1">
      <alignment horizont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/>
    <xf numFmtId="0" fontId="15" fillId="0" borderId="0" xfId="1" applyFont="1"/>
    <xf numFmtId="0" fontId="14" fillId="0" borderId="0" xfId="1"/>
    <xf numFmtId="0" fontId="16" fillId="3" borderId="0" xfId="1" applyFont="1" applyFill="1" applyAlignment="1">
      <alignment horizontal="center" vertical="center"/>
    </xf>
    <xf numFmtId="0" fontId="14" fillId="0" borderId="0" xfId="1" applyFill="1"/>
    <xf numFmtId="0" fontId="17" fillId="0" borderId="0" xfId="1" applyFont="1" applyBorder="1" applyAlignment="1">
      <alignment horizontal="center" wrapText="1"/>
    </xf>
    <xf numFmtId="0" fontId="17" fillId="0" borderId="0" xfId="1" applyFont="1" applyBorder="1" applyAlignment="1">
      <alignment horizontal="center" vertical="top" wrapText="1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6" fillId="0" borderId="0" xfId="1" applyFont="1" applyFill="1"/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center"/>
    </xf>
    <xf numFmtId="0" fontId="0" fillId="0" borderId="0" xfId="0" applyBorder="1" applyAlignment="1">
      <alignment horizontal="right"/>
    </xf>
    <xf numFmtId="0" fontId="16" fillId="0" borderId="0" xfId="1" applyFont="1" applyAlignment="1">
      <alignment horizontal="center" vertical="top"/>
    </xf>
    <xf numFmtId="0" fontId="6" fillId="0" borderId="0" xfId="1" applyFont="1" applyAlignment="1"/>
    <xf numFmtId="0" fontId="6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0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/>
    </xf>
    <xf numFmtId="0" fontId="2" fillId="5" borderId="0" xfId="0" applyFont="1" applyFill="1"/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14" fillId="0" borderId="0" xfId="1" applyFont="1"/>
    <xf numFmtId="0" fontId="14" fillId="5" borderId="0" xfId="1" applyFill="1" applyAlignment="1">
      <alignment horizontal="center"/>
    </xf>
    <xf numFmtId="0" fontId="14" fillId="7" borderId="0" xfId="1" applyFill="1" applyAlignment="1">
      <alignment horizontal="center"/>
    </xf>
    <xf numFmtId="0" fontId="14" fillId="8" borderId="0" xfId="1" applyFill="1" applyAlignment="1">
      <alignment horizontal="center"/>
    </xf>
    <xf numFmtId="0" fontId="15" fillId="0" borderId="0" xfId="1" applyFont="1" applyBorder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left"/>
      <protection hidden="1"/>
    </xf>
    <xf numFmtId="0" fontId="15" fillId="0" borderId="0" xfId="1" applyFont="1" applyAlignment="1" applyProtection="1">
      <alignment horizontal="center"/>
      <protection locked="0"/>
    </xf>
    <xf numFmtId="167" fontId="15" fillId="0" borderId="0" xfId="1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center"/>
      <protection locked="0"/>
    </xf>
    <xf numFmtId="0" fontId="15" fillId="0" borderId="0" xfId="1" applyFont="1" applyBorder="1" applyAlignment="1" applyProtection="1">
      <protection locked="0"/>
    </xf>
    <xf numFmtId="0" fontId="15" fillId="0" borderId="0" xfId="1" applyFont="1" applyAlignment="1" applyProtection="1">
      <protection locked="0"/>
    </xf>
    <xf numFmtId="49" fontId="15" fillId="0" borderId="0" xfId="1" applyNumberFormat="1" applyFont="1" applyAlignment="1" applyProtection="1">
      <alignment horizontal="left"/>
      <protection locked="0"/>
    </xf>
    <xf numFmtId="0" fontId="15" fillId="0" borderId="0" xfId="1" applyFont="1" applyAlignment="1" applyProtection="1">
      <alignment horizontal="left"/>
      <protection locked="0"/>
    </xf>
    <xf numFmtId="0" fontId="15" fillId="0" borderId="0" xfId="1" applyFont="1" applyProtection="1">
      <protection locked="0"/>
    </xf>
    <xf numFmtId="49" fontId="15" fillId="0" borderId="0" xfId="1" applyNumberFormat="1" applyFont="1" applyProtection="1">
      <protection locked="0"/>
    </xf>
    <xf numFmtId="0" fontId="22" fillId="9" borderId="0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2" fillId="0" borderId="0" xfId="0" applyFont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9" fontId="23" fillId="0" borderId="0" xfId="0" applyNumberFormat="1" applyFont="1" applyBorder="1" applyAlignment="1">
      <alignment horizontal="left"/>
    </xf>
    <xf numFmtId="1" fontId="23" fillId="0" borderId="0" xfId="0" applyNumberFormat="1" applyFont="1" applyBorder="1"/>
    <xf numFmtId="49" fontId="23" fillId="0" borderId="0" xfId="0" applyNumberFormat="1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25" fillId="0" borderId="0" xfId="0" applyFont="1"/>
    <xf numFmtId="0" fontId="2" fillId="3" borderId="0" xfId="0" applyFont="1" applyFill="1"/>
    <xf numFmtId="0" fontId="15" fillId="3" borderId="0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15" fillId="3" borderId="0" xfId="1" applyFont="1" applyFill="1" applyBorder="1" applyAlignment="1">
      <alignment horizontal="left"/>
    </xf>
    <xf numFmtId="166" fontId="3" fillId="3" borderId="0" xfId="0" applyNumberFormat="1" applyFont="1" applyFill="1" applyBorder="1" applyAlignment="1">
      <alignment horizontal="center"/>
    </xf>
    <xf numFmtId="0" fontId="24" fillId="0" borderId="2" xfId="0" applyFont="1" applyBorder="1"/>
    <xf numFmtId="0" fontId="3" fillId="0" borderId="1" xfId="0" applyNumberFormat="1" applyFont="1" applyBorder="1" applyAlignment="1">
      <alignment horizontal="center" vertical="center" wrapText="1"/>
    </xf>
    <xf numFmtId="1" fontId="15" fillId="0" borderId="0" xfId="1" applyNumberFormat="1" applyFont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0" fillId="0" borderId="0" xfId="1" applyFont="1" applyBorder="1" applyAlignment="1"/>
    <xf numFmtId="0" fontId="14" fillId="0" borderId="0" xfId="1" applyBorder="1"/>
    <xf numFmtId="0" fontId="14" fillId="0" borderId="0" xfId="1" applyFill="1" applyBorder="1"/>
    <xf numFmtId="0" fontId="14" fillId="0" borderId="0" xfId="1" applyBorder="1" applyAlignment="1">
      <alignment horizontal="center"/>
    </xf>
    <xf numFmtId="0" fontId="0" fillId="0" borderId="0" xfId="0" applyBorder="1" applyAlignment="1"/>
    <xf numFmtId="0" fontId="14" fillId="0" borderId="0" xfId="1" applyFont="1" applyBorder="1"/>
    <xf numFmtId="0" fontId="14" fillId="0" borderId="0" xfId="1" applyBorder="1" applyAlignment="1">
      <alignment horizontal="left"/>
    </xf>
    <xf numFmtId="0" fontId="14" fillId="0" borderId="0" xfId="1" applyBorder="1" applyAlignment="1">
      <alignment horizontal="right"/>
    </xf>
    <xf numFmtId="0" fontId="14" fillId="0" borderId="0" xfId="1" applyBorder="1" applyAlignment="1"/>
    <xf numFmtId="0" fontId="8" fillId="0" borderId="0" xfId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7" fontId="3" fillId="0" borderId="0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1" applyAlignment="1">
      <alignment horizontal="right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0" fontId="14" fillId="6" borderId="0" xfId="1" applyFill="1" applyAlignment="1">
      <alignment horizontal="center"/>
    </xf>
    <xf numFmtId="0" fontId="2" fillId="0" borderId="0" xfId="0" applyFont="1" applyFill="1"/>
    <xf numFmtId="0" fontId="15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8" fillId="0" borderId="0" xfId="1" applyFont="1" applyAlignment="1">
      <alignment wrapText="1"/>
    </xf>
    <xf numFmtId="0" fontId="14" fillId="2" borderId="0" xfId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/>
    <xf numFmtId="1" fontId="25" fillId="0" borderId="0" xfId="0" applyNumberFormat="1" applyFont="1" applyFill="1" applyBorder="1"/>
    <xf numFmtId="49" fontId="25" fillId="0" borderId="0" xfId="0" applyNumberFormat="1" applyFont="1" applyFill="1" applyBorder="1"/>
    <xf numFmtId="49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12" fillId="0" borderId="0" xfId="1" applyFont="1"/>
    <xf numFmtId="0" fontId="28" fillId="0" borderId="0" xfId="1" applyFont="1"/>
    <xf numFmtId="0" fontId="14" fillId="0" borderId="0" xfId="1" applyFont="1" applyFill="1"/>
    <xf numFmtId="0" fontId="8" fillId="0" borderId="0" xfId="1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49" fontId="0" fillId="0" borderId="0" xfId="0" applyNumberFormat="1" applyBorder="1"/>
    <xf numFmtId="168" fontId="0" fillId="0" borderId="0" xfId="0" applyNumberFormat="1" applyBorder="1"/>
    <xf numFmtId="0" fontId="15" fillId="0" borderId="1" xfId="1" applyFont="1" applyBorder="1" applyAlignment="1" applyProtection="1">
      <alignment horizontal="left" vertical="center"/>
      <protection hidden="1"/>
    </xf>
    <xf numFmtId="167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Font="1" applyBorder="1" applyAlignment="1" applyProtection="1">
      <alignment horizontal="center"/>
      <protection locked="0"/>
    </xf>
    <xf numFmtId="1" fontId="15" fillId="0" borderId="7" xfId="1" applyNumberFormat="1" applyFont="1" applyBorder="1" applyAlignment="1" applyProtection="1">
      <alignment horizontal="center"/>
      <protection locked="0"/>
    </xf>
    <xf numFmtId="49" fontId="15" fillId="0" borderId="7" xfId="1" applyNumberFormat="1" applyFont="1" applyBorder="1" applyAlignment="1" applyProtection="1">
      <alignment horizontal="center"/>
      <protection locked="0"/>
    </xf>
    <xf numFmtId="0" fontId="15" fillId="0" borderId="1" xfId="1" applyFont="1" applyBorder="1" applyAlignment="1" applyProtection="1">
      <alignment horizontal="center"/>
      <protection locked="0"/>
    </xf>
    <xf numFmtId="167" fontId="15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15" fillId="0" borderId="1" xfId="1" applyFont="1" applyBorder="1" applyProtection="1">
      <protection locked="0"/>
    </xf>
    <xf numFmtId="0" fontId="15" fillId="0" borderId="1" xfId="1" applyFont="1" applyBorder="1" applyAlignment="1" applyProtection="1"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49" fontId="15" fillId="0" borderId="1" xfId="1" applyNumberFormat="1" applyFont="1" applyBorder="1" applyAlignment="1" applyProtection="1">
      <alignment horizontal="center"/>
      <protection locked="0"/>
    </xf>
    <xf numFmtId="49" fontId="15" fillId="0" borderId="1" xfId="1" applyNumberFormat="1" applyFont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30" fillId="0" borderId="0" xfId="0" applyFont="1" applyBorder="1"/>
    <xf numFmtId="164" fontId="3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3" xfId="0" applyFont="1" applyBorder="1" applyAlignment="1">
      <alignment horizontal="left"/>
    </xf>
    <xf numFmtId="0" fontId="20" fillId="0" borderId="11" xfId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/>
    </xf>
    <xf numFmtId="0" fontId="20" fillId="0" borderId="7" xfId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0" fillId="0" borderId="4" xfId="1" applyFont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15" fillId="0" borderId="3" xfId="1" applyFont="1" applyBorder="1" applyAlignment="1" applyProtection="1">
      <alignment horizontal="center"/>
      <protection locked="0"/>
    </xf>
    <xf numFmtId="17" fontId="15" fillId="0" borderId="11" xfId="1" applyNumberFormat="1" applyFont="1" applyBorder="1" applyAlignment="1" applyProtection="1">
      <alignment horizontal="left"/>
      <protection locked="0"/>
    </xf>
    <xf numFmtId="167" fontId="15" fillId="0" borderId="15" xfId="1" applyNumberFormat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/>
      <protection locked="0"/>
    </xf>
    <xf numFmtId="1" fontId="15" fillId="0" borderId="15" xfId="1" applyNumberFormat="1" applyFont="1" applyBorder="1" applyAlignment="1" applyProtection="1">
      <alignment horizontal="center"/>
      <protection locked="0"/>
    </xf>
    <xf numFmtId="49" fontId="15" fillId="0" borderId="15" xfId="1" applyNumberFormat="1" applyFont="1" applyBorder="1" applyAlignment="1" applyProtection="1">
      <alignment horizontal="center"/>
      <protection locked="0"/>
    </xf>
    <xf numFmtId="167" fontId="15" fillId="0" borderId="13" xfId="1" applyNumberFormat="1" applyFont="1" applyBorder="1" applyAlignment="1" applyProtection="1">
      <alignment horizontal="center" vertical="center" wrapText="1"/>
      <protection locked="0"/>
    </xf>
    <xf numFmtId="49" fontId="15" fillId="0" borderId="15" xfId="1" applyNumberFormat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center" vertical="center" wrapText="1"/>
      <protection hidden="1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5" fillId="0" borderId="7" xfId="1" applyFont="1" applyBorder="1" applyAlignment="1" applyProtection="1">
      <protection locked="0"/>
    </xf>
    <xf numFmtId="0" fontId="3" fillId="0" borderId="7" xfId="0" applyFont="1" applyBorder="1"/>
    <xf numFmtId="0" fontId="15" fillId="0" borderId="7" xfId="1" applyFont="1" applyBorder="1" applyProtection="1">
      <protection locked="0"/>
    </xf>
    <xf numFmtId="49" fontId="15" fillId="0" borderId="7" xfId="1" applyNumberFormat="1" applyFont="1" applyBorder="1" applyAlignment="1" applyProtection="1">
      <alignment horizontal="left"/>
      <protection locked="0"/>
    </xf>
    <xf numFmtId="0" fontId="15" fillId="0" borderId="7" xfId="1" applyFont="1" applyBorder="1" applyAlignment="1" applyProtection="1">
      <alignment horizontal="left" vertical="center"/>
      <protection hidden="1"/>
    </xf>
    <xf numFmtId="17" fontId="15" fillId="0" borderId="4" xfId="1" applyNumberFormat="1" applyFont="1" applyBorder="1" applyAlignment="1" applyProtection="1">
      <alignment horizontal="left"/>
      <protection locked="0"/>
    </xf>
    <xf numFmtId="0" fontId="14" fillId="11" borderId="0" xfId="1" applyFill="1" applyAlignment="1">
      <alignment horizontal="center"/>
    </xf>
    <xf numFmtId="49" fontId="15" fillId="0" borderId="0" xfId="1" applyNumberFormat="1" applyFont="1" applyBorder="1" applyAlignment="1" applyProtection="1">
      <alignment horizontal="center" vertical="center" wrapText="1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17" fontId="15" fillId="0" borderId="0" xfId="1" applyNumberFormat="1" applyFont="1" applyBorder="1" applyAlignment="1" applyProtection="1">
      <alignment horizontal="left"/>
      <protection locked="0"/>
    </xf>
    <xf numFmtId="0" fontId="0" fillId="11" borderId="0" xfId="0" applyFill="1"/>
    <xf numFmtId="0" fontId="0" fillId="11" borderId="0" xfId="0" applyFill="1" applyAlignment="1">
      <alignment horizontal="center"/>
    </xf>
    <xf numFmtId="0" fontId="26" fillId="0" borderId="0" xfId="0" applyFont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17" fontId="0" fillId="0" borderId="0" xfId="0" applyNumberFormat="1"/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3" xfId="0" applyFont="1" applyBorder="1" applyAlignment="1">
      <alignment horizontal="left"/>
    </xf>
    <xf numFmtId="0" fontId="20" fillId="0" borderId="1" xfId="1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0" fillId="0" borderId="11" xfId="1" applyFont="1" applyFill="1" applyBorder="1" applyAlignment="1">
      <alignment horizontal="left" vertical="center"/>
    </xf>
    <xf numFmtId="10" fontId="31" fillId="13" borderId="0" xfId="2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12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wrapText="1"/>
    </xf>
    <xf numFmtId="165" fontId="6" fillId="0" borderId="0" xfId="1" applyNumberFormat="1" applyFont="1" applyAlignment="1">
      <alignment horizontal="center"/>
    </xf>
    <xf numFmtId="0" fontId="16" fillId="0" borderId="0" xfId="1" applyFont="1" applyBorder="1" applyAlignment="1">
      <alignment horizontal="center" wrapText="1"/>
    </xf>
    <xf numFmtId="0" fontId="17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 wrapText="1"/>
    </xf>
    <xf numFmtId="1" fontId="18" fillId="0" borderId="2" xfId="1" applyNumberFormat="1" applyFont="1" applyBorder="1" applyAlignment="1">
      <alignment horizontal="center" wrapText="1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16" fillId="0" borderId="0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6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8" fillId="0" borderId="2" xfId="0" applyNumberFormat="1" applyFont="1" applyBorder="1" applyAlignment="1">
      <alignment horizontal="center"/>
    </xf>
  </cellXfs>
  <cellStyles count="3">
    <cellStyle name="Обычный" xfId="0" builtinId="0"/>
    <cellStyle name="Обычный_Заключение" xfId="1"/>
    <cellStyle name="Процентный" xfId="2" builtinId="5"/>
  </cellStyles>
  <dxfs count="70">
    <dxf>
      <font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2" formatCode="mmm/yy"/>
    </dxf>
    <dxf>
      <numFmt numFmtId="22" formatCode="mmm/yy"/>
    </dxf>
    <dxf>
      <numFmt numFmtId="22" formatCode="mmm/yy"/>
    </dxf>
    <dxf>
      <numFmt numFmtId="22" formatCode="m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/Relationships>
</file>

<file path=xl/queryTables/queryTable1.xml><?xml version="1.0" encoding="utf-8"?>
<queryTable xmlns="http://schemas.openxmlformats.org/spreadsheetml/2006/main" name="ExternalData_1" adjustColumnWidth="0" connectionId="2" autoFormatId="16" applyNumberFormats="0" applyBorderFormats="0" applyFontFormats="1" applyPatternFormats="1" applyAlignmentFormats="0" applyWidthHeightFormats="0">
  <queryTableRefresh nextId="20">
    <queryTableFields count="18">
      <queryTableField id="1" name="№" tableColumnId="52"/>
      <queryTableField id="2" name="ТИП" tableColumnId="53"/>
      <queryTableField id="3" name="Владелец" tableColumnId="54"/>
      <queryTableField id="4" name="Место " tableColumnId="55"/>
      <queryTableField id="5" name="Марка" tableColumnId="56"/>
      <queryTableField id="6" name="Рег. №" tableColumnId="57"/>
      <queryTableField id="7" name="Зав. №" tableColumnId="58"/>
      <queryTableField id="8" name="Год вып." tableColumnId="59"/>
      <queryTableField id="9" name="Ввод в экспл." tableColumnId="60"/>
      <queryTableField id="10" name="ЧТО" tableColumnId="61"/>
      <queryTableField id="11" name="ПТО" tableColumnId="62"/>
      <queryTableField id="12" name="Э/О" tableColumnId="63"/>
      <queryTableField id="13" name="Примечания" tableColumnId="64"/>
      <queryTableField id="14" name="наименвание" tableColumnId="65"/>
      <queryTableField id="15" name="пс/орд" tableColumnId="66"/>
      <queryTableField id="16" name="Юр лицо" tableColumnId="67"/>
      <queryTableField id="17" name="Ответственный" tableColumnId="68"/>
      <queryTableField id="19" name="К-во не рег" tableColumnId="7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R44" totalsRowShown="0" headerRowBorderDxfId="69" tableBorderDxfId="68" totalsRowBorderDxfId="67">
  <autoFilter ref="A1:R44"/>
  <tableColumns count="18">
    <tableColumn id="1" name="№" dataDxfId="66"/>
    <tableColumn id="2" name="ТИП" dataDxfId="65" dataCellStyle="Обычный_Заключение">
      <calculatedColumnFormula>INDEX(Запол!A:F,MATCH(C2,Запол!D:D,),MATCH("отчет",Запол!$A$1:$F$1,))</calculatedColumnFormula>
    </tableColumn>
    <tableColumn id="3" name="Владелец" dataDxfId="64"/>
    <tableColumn id="4" name="Место " dataDxfId="63" dataCellStyle="Обычный_Заключение">
      <calculatedColumnFormula>INDEX(Запол!$D$1:$F$14,MATCH(C2,Запол!$D$1:$D$14,),MATCH("Место",Запол!$D$1:$F$1,))</calculatedColumnFormula>
    </tableColumn>
    <tableColumn id="5" name="Марка" dataDxfId="62"/>
    <tableColumn id="6" name="Рег. №" dataDxfId="61"/>
    <tableColumn id="7" name="Зав. №" dataDxfId="60"/>
    <tableColumn id="8" name="Год вып." dataDxfId="59"/>
    <tableColumn id="9" name="Ввод в экспл." dataDxfId="58"/>
    <tableColumn id="10" name="ЧТО" dataDxfId="57"/>
    <tableColumn id="11" name="ПТО" dataDxfId="56"/>
    <tableColumn id="12" name="Э/О" dataDxfId="55">
      <calculatedColumnFormula>IFERROR(INDEX(Заключение!$R$3:$R$20000,_xlfn.AGGREGATE(14,6,ROW($A$1:$G$20000)/(($E2=Заключение!$C$3:$C$20000)*($G2=Заключение!$E$3:$E$20000)),1)),EDATE(I2,INDEX(Срок!$A$1:$F$3000,MATCH(E2,Срок!$A$1:$A$3000,),MATCH("Срок",Срок!$A$1:$F$1,))))</calculatedColumnFormula>
    </tableColumn>
    <tableColumn id="13" name="Примечания" dataDxfId="54">
      <calculatedColumnFormula>IF(L2&lt;$T$1,"требует ЭО","")</calculatedColumnFormula>
    </tableColumn>
    <tableColumn id="14" name="наименвание" dataDxfId="53">
      <calculatedColumnFormula>INDEX(Срок!$A$1:$F$315,MATCH(E2,Срок!$A$1:$A$315,),MATCH("Назначен",Срок!$A$1:$F$1,))</calculatedColumnFormula>
    </tableColumn>
    <tableColumn id="18" name="К-во не рег" dataDxfId="52">
      <calculatedColumnFormula>IF(N2="Не рег ТУ орд",1,IF(N2="Не рег ТУ пс",1,""))</calculatedColumnFormula>
    </tableColumn>
    <tableColumn id="15" name="пс/орд" dataDxfId="51">
      <calculatedColumnFormula>INDEX(Срок!$A$1:$F$315,MATCH(E2,Срок!$A$1:$A$315,),MATCH("пс/ орд",Срок!$A$1:$F$1,))</calculatedColumnFormula>
    </tableColumn>
    <tableColumn id="16" name="Юр лицо" dataDxfId="50" dataCellStyle="Обычный_Заключение">
      <calculatedColumnFormula>IF(INDEX(Запол!$A$1:$J$14,MATCH(C2,Запол!$D$1:$D$14,),8)="","",INDEX(Запол!$A$1:$J$14,MATCH(C2,Запол!$D$1:$D$14,),8))</calculatedColumnFormula>
    </tableColumn>
    <tableColumn id="17" name="Ответственный" dataDxfId="49" dataCellStyle="Обычный_Заключение">
      <calculatedColumnFormula>INDEX(Запол!$D$1:$J$14,MATCH(C2,Запол!$D$1:$D$14,),MATCH("Ответственный",Запол!$D$1:$J$1,))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1__2" displayName="Таблица1__2" ref="A1:R44" tableType="queryTable" totalsRowShown="0" headerRowDxfId="47">
  <autoFilter ref="A1:R44"/>
  <tableColumns count="18">
    <tableColumn id="52" uniqueName="52" name="№" queryTableFieldId="1" dataDxfId="46"/>
    <tableColumn id="53" uniqueName="53" name="ТИП" queryTableFieldId="2" dataDxfId="45"/>
    <tableColumn id="54" uniqueName="54" name="Владелец" queryTableFieldId="3" dataDxfId="44"/>
    <tableColumn id="55" uniqueName="55" name="Место " queryTableFieldId="4" dataDxfId="43"/>
    <tableColumn id="56" uniqueName="56" name="Марка" queryTableFieldId="5" dataDxfId="42"/>
    <tableColumn id="57" uniqueName="57" name="Рег. №" queryTableFieldId="6" dataDxfId="41"/>
    <tableColumn id="58" uniqueName="58" name="Зав. №" queryTableFieldId="7" dataDxfId="40"/>
    <tableColumn id="59" uniqueName="59" name="Год вып." queryTableFieldId="8" dataDxfId="39"/>
    <tableColumn id="60" uniqueName="60" name="Ввод в экспл." queryTableFieldId="9" dataDxfId="38"/>
    <tableColumn id="61" uniqueName="61" name="ЧТО" queryTableFieldId="10" dataDxfId="37"/>
    <tableColumn id="62" uniqueName="62" name="ПТО" queryTableFieldId="11" dataDxfId="36"/>
    <tableColumn id="63" uniqueName="63" name="Э/О" queryTableFieldId="12" dataDxfId="35"/>
    <tableColumn id="64" uniqueName="64" name="Примечания" queryTableFieldId="13" dataDxfId="34"/>
    <tableColumn id="65" uniqueName="65" name="наименвание" queryTableFieldId="14" dataDxfId="33"/>
    <tableColumn id="66" uniqueName="66" name="пс/орд" queryTableFieldId="15" dataDxfId="32"/>
    <tableColumn id="67" uniqueName="67" name="Юр лицо" queryTableFieldId="16" dataDxfId="31"/>
    <tableColumn id="68" uniqueName="68" name="Ответственный" queryTableFieldId="17" dataDxfId="30"/>
    <tableColumn id="70" uniqueName="70" name="К-во не рег" queryTableFieldId="19" dataDxfId="2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R14" totalsRowShown="0" tableBorderDxfId="28">
  <autoFilter ref="A1:R14"/>
  <tableColumns count="18">
    <tableColumn id="1" name="№ пп" dataDxfId="27" dataCellStyle="Обычный_Заключение"/>
    <tableColumn id="2" name="Дата" dataDxfId="26" dataCellStyle="Обычный_Заключение"/>
    <tableColumn id="3" name="наименование" dataDxfId="25" dataCellStyle="Обычный_Заключение"/>
    <tableColumn id="4" name="Назначен" dataDxfId="24">
      <calculatedColumnFormula>INDEX(Срок!A:F,MATCH(C2,Срок!A:A,),MATCH("Назначен",Срок!$A$1:$F$1,))</calculatedColumnFormula>
    </tableColumn>
    <tableColumn id="5" name="Рег. №" dataDxfId="23" dataCellStyle="Обычный_Заключение"/>
    <tableColumn id="6" name="Зав. №" dataDxfId="22" dataCellStyle="Обычный_Заключение"/>
    <tableColumn id="7" name="Исх. №" dataDxfId="21" dataCellStyle="Обычный_Заключение"/>
    <tableColumn id="8" name="Дата2" dataDxfId="20" dataCellStyle="Обычный_Заключение"/>
    <tableColumn id="9" name="подчин" dataDxfId="19" dataCellStyle="Обычный_Заключение">
      <calculatedColumnFormula>INDEX(Запол!A:F,MATCH(K2,Запол!D:D,),MATCH("Место",Запол!$A$1:$F$1,))</calculatedColumnFormula>
    </tableColumn>
    <tableColumn id="10" name="Столбец3" dataDxfId="18" dataCellStyle="Обычный_Заключение">
      <calculatedColumnFormula>INDEX(Запол!A:F,MATCH(K2,Запол!D:D,),MATCH("Отчет",Запол!$A$1:$F$1,))</calculatedColumnFormula>
    </tableColumn>
    <tableColumn id="11" name="Владелец" dataDxfId="17" dataCellStyle="Обычный_Заключение"/>
    <tableColumn id="13" name="место" dataDxfId="16" dataCellStyle="Обычный_Заключение">
      <calculatedColumnFormula>INDEX(Запол!D:F,MATCH(K2,Запол!D:D,),MATCH("Место",Запол!$D$1:$F$1,))</calculatedColumnFormula>
    </tableColumn>
    <tableColumn id="14" name="##" dataDxfId="15" dataCellStyle="Обычный_Заключение"/>
    <tableColumn id="15" name="№ заключ." dataDxfId="14" dataCellStyle="Обычный_Заключение"/>
    <tableColumn id="16" name="год" dataDxfId="13" dataCellStyle="Обычный_Заключение"/>
    <tableColumn id="17" name="эксп. Организация" dataDxfId="12" dataCellStyle="Обычный_Заключение"/>
    <tableColumn id="18" name="место нахождения эксп.орг." dataDxfId="11" dataCellStyle="Обычный_Заключение">
      <calculatedColumnFormula>INDEX(Запол!M:N,MATCH(P2,Запол!M:M,),MATCH("Дислокац эксп",Запол!$M$1:$N$1,))</calculatedColumnFormula>
    </tableColumn>
    <tableColumn id="19" name="Назаченый срок" dataDxfId="10" dataCellStyle="Обычный_Заключение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3"/>
    <outlinePr applyStyles="1"/>
    <pageSetUpPr fitToPage="1"/>
  </sheetPr>
  <dimension ref="A1:T52"/>
  <sheetViews>
    <sheetView tabSelected="1" zoomScaleNormal="100" zoomScaleSheetLayoutView="75" workbookViewId="0">
      <pane ySplit="1" topLeftCell="A2" activePane="bottomLeft" state="frozen"/>
      <selection pane="bottomLeft" activeCell="L2" sqref="L2"/>
    </sheetView>
  </sheetViews>
  <sheetFormatPr defaultRowHeight="12.75" x14ac:dyDescent="0.2"/>
  <cols>
    <col min="1" max="1" width="3.42578125" style="167" customWidth="1"/>
    <col min="2" max="2" width="6.5703125" style="167" customWidth="1"/>
    <col min="3" max="3" width="22.7109375" style="168" customWidth="1"/>
    <col min="4" max="4" width="12" style="159" customWidth="1"/>
    <col min="5" max="5" width="14.140625" style="167" customWidth="1"/>
    <col min="6" max="6" width="8.7109375" style="169" customWidth="1"/>
    <col min="7" max="7" width="11.28515625" style="170" customWidth="1"/>
    <col min="8" max="8" width="9.42578125" style="171" customWidth="1"/>
    <col min="9" max="9" width="12.28515625" style="165" customWidth="1"/>
    <col min="10" max="10" width="7" style="166" customWidth="1"/>
    <col min="11" max="11" width="7.42578125" style="166" customWidth="1"/>
    <col min="12" max="12" width="9.42578125" style="145" customWidth="1"/>
    <col min="13" max="13" width="15.28515625" style="172" customWidth="1"/>
    <col min="14" max="14" width="14.28515625" style="161" customWidth="1"/>
    <col min="15" max="15" width="6.28515625" style="272" customWidth="1"/>
    <col min="16" max="16" width="8" style="159" customWidth="1"/>
    <col min="17" max="17" width="12.85546875" style="159" customWidth="1"/>
    <col min="18" max="18" width="16" style="167" customWidth="1"/>
    <col min="19" max="19" width="8.42578125" style="159" customWidth="1"/>
    <col min="20" max="16384" width="9.140625" style="160"/>
  </cols>
  <sheetData>
    <row r="1" spans="1:20" s="116" customFormat="1" ht="24" x14ac:dyDescent="0.2">
      <c r="A1" s="216" t="s">
        <v>159</v>
      </c>
      <c r="B1" s="201" t="s">
        <v>619</v>
      </c>
      <c r="C1" s="201" t="s">
        <v>127</v>
      </c>
      <c r="D1" s="201" t="s">
        <v>620</v>
      </c>
      <c r="E1" s="201" t="s">
        <v>634</v>
      </c>
      <c r="F1" s="202" t="s">
        <v>231</v>
      </c>
      <c r="G1" s="201" t="s">
        <v>232</v>
      </c>
      <c r="H1" s="201" t="s">
        <v>233</v>
      </c>
      <c r="I1" s="201" t="s">
        <v>234</v>
      </c>
      <c r="J1" s="201" t="s">
        <v>635</v>
      </c>
      <c r="K1" s="201" t="s">
        <v>636</v>
      </c>
      <c r="L1" s="201" t="s">
        <v>277</v>
      </c>
      <c r="M1" s="203" t="s">
        <v>236</v>
      </c>
      <c r="N1" s="203" t="s">
        <v>47</v>
      </c>
      <c r="O1" s="202" t="s">
        <v>701</v>
      </c>
      <c r="P1" s="203" t="s">
        <v>692</v>
      </c>
      <c r="Q1" s="204" t="s">
        <v>595</v>
      </c>
      <c r="R1" s="205" t="s">
        <v>239</v>
      </c>
      <c r="T1" s="121">
        <f ca="1">TODAY()</f>
        <v>45531</v>
      </c>
    </row>
    <row r="2" spans="1:20" s="116" customFormat="1" ht="12.75" customHeight="1" x14ac:dyDescent="0.2">
      <c r="A2" s="199">
        <v>1</v>
      </c>
      <c r="B2" s="77" t="str">
        <f>INDEX(Запол!A:F,MATCH(C2,Запол!D:D,),MATCH("отчет",Запол!$A$1:$F$1,))</f>
        <v>АНО</v>
      </c>
      <c r="C2" s="78" t="s">
        <v>544</v>
      </c>
      <c r="D2" s="77" t="str">
        <f>INDEX(Запол!$D$1:$F$14,MATCH(C2,Запол!$D$1:$D$14,),MATCH("Место",Запол!$D$1:$F$1,))</f>
        <v>г. Кошкино</v>
      </c>
      <c r="E2" s="11" t="s">
        <v>322</v>
      </c>
      <c r="F2" s="125">
        <v>1042</v>
      </c>
      <c r="G2" s="6" t="s">
        <v>158</v>
      </c>
      <c r="H2" s="6" t="s">
        <v>161</v>
      </c>
      <c r="I2" s="9">
        <v>40533</v>
      </c>
      <c r="J2" s="7">
        <v>41974</v>
      </c>
      <c r="K2" s="7">
        <v>41974</v>
      </c>
      <c r="L2" s="7">
        <f>IFERROR(INDEX(Заключение!$R$3:$R$20000,_xlfn.AGGREGATE(14,6,ROW($A$1:$G$20000)/(($E2=Заключение!$C$3:$C$20000)*($G2=Заключение!$E$3:$E$20000)),1)),EDATE(I2,INDEX(Срок!$A$1:$F$3000,MATCH(E2,Срок!$A$1:$A$3000,),MATCH("Срок",Срок!$A$1:$F$1,))))</f>
        <v>44186</v>
      </c>
      <c r="M2" s="10" t="str">
        <f t="shared" ref="M2:M44" ca="1" si="0">IF(L2&lt;$T$1,"требует ЭО","")</f>
        <v>требует ЭО</v>
      </c>
      <c r="N2" s="13" t="str">
        <f>INDEX(Срок!$A$1:$F$315,MATCH(E2,Срок!$A$1:$A$315,),MATCH("Назначен",Срок!$A$1:$F$1,))</f>
        <v>гпм</v>
      </c>
      <c r="O2" s="271" t="str">
        <f t="shared" ref="O2:O44" si="1">IF(N2="Не рег ТУ орд",1,IF(N2="Не рег ТУ пс",1,""))</f>
        <v/>
      </c>
      <c r="P2" s="13" t="str">
        <f>INDEX(Срок!$A$1:$F$315,MATCH(E2,Срок!$A$1:$A$315,),MATCH("пс/ орд",Срок!$A$1:$F$1,))</f>
        <v>пс</v>
      </c>
      <c r="Q2" s="77" t="str">
        <f>IF(INDEX(Запол!$A$1:$J$14,MATCH(C2,Запол!$D$1:$D$14,),8)="","",INDEX(Запол!$A$1:$J$14,MATCH(C2,Запол!$D$1:$D$14,),8))</f>
        <v>АНО "Ученые"</v>
      </c>
      <c r="R2" s="200" t="str">
        <f>INDEX(Запол!$D$1:$J$14,MATCH(C2,Запол!$D$1:$D$14,),MATCH("Ответственный",Запол!$D$1:$J$1,))</f>
        <v>1 отдел</v>
      </c>
    </row>
    <row r="3" spans="1:20" s="116" customFormat="1" ht="12.75" customHeight="1" x14ac:dyDescent="0.2">
      <c r="A3" s="199"/>
      <c r="B3" s="77" t="str">
        <f>INDEX(Запол!A:F,MATCH(C3,Запол!D:D,),MATCH("отчет",Запол!$A$1:$F$1,))</f>
        <v>АНО</v>
      </c>
      <c r="C3" s="5" t="s">
        <v>544</v>
      </c>
      <c r="D3" s="77" t="str">
        <f>INDEX(Запол!$D$1:$F$14,MATCH(C3,Запол!$D$1:$D$14,),MATCH("Место",Запол!$D$1:$F$1,))</f>
        <v>г. Кошкино</v>
      </c>
      <c r="E3" s="11" t="s">
        <v>37</v>
      </c>
      <c r="F3" s="125">
        <v>1081</v>
      </c>
      <c r="G3" s="6" t="s">
        <v>262</v>
      </c>
      <c r="H3" s="6">
        <v>1981</v>
      </c>
      <c r="I3" s="9">
        <v>29740</v>
      </c>
      <c r="J3" s="7">
        <v>37048</v>
      </c>
      <c r="K3" s="7">
        <v>37048</v>
      </c>
      <c r="L3" s="7">
        <f>IFERROR(INDEX(Заключение!$R$3:$R$20000,_xlfn.AGGREGATE(14,6,ROW($A$1:$G$20000)/(($E3=Заключение!$C$3:$C$20000)*($G3=Заключение!$E$3:$E$20000)),1)),EDATE(I3,INDEX(Срок!$A$1:$F$3000,MATCH(E3,Срок!$A$1:$A$3000,),MATCH("Срок",Срок!$A$1:$F$1,))))</f>
        <v>37045</v>
      </c>
      <c r="M3" s="10" t="str">
        <f t="shared" ca="1" si="0"/>
        <v>требует ЭО</v>
      </c>
      <c r="N3" s="13" t="str">
        <f>INDEX(Срок!$A$1:$F$315,MATCH(E3,Срок!$A$1:$A$315,),MATCH("Назначен",Срок!$A$1:$F$1,))</f>
        <v>котел</v>
      </c>
      <c r="O3" s="271" t="str">
        <f t="shared" si="1"/>
        <v/>
      </c>
      <c r="P3" s="13" t="str">
        <f>INDEX(Срок!$A$1:$F$315,MATCH(E3,Срок!$A$1:$A$315,),MATCH("пс/ орд",Срок!$A$1:$F$1,))</f>
        <v>орд</v>
      </c>
      <c r="Q3" s="77" t="str">
        <f>IF(INDEX(Запол!$A$1:$J$14,MATCH(C3,Запол!$D$1:$D$14,),8)="","",INDEX(Запол!$A$1:$J$14,MATCH(C3,Запол!$D$1:$D$14,),8))</f>
        <v>АНО "Ученые"</v>
      </c>
      <c r="R3" s="200" t="str">
        <f>INDEX(Запол!$D$1:$J$14,MATCH(C3,Запол!$D$1:$D$14,),MATCH("Ответственный",Запол!$D$1:$J$1,))</f>
        <v>1 отдел</v>
      </c>
    </row>
    <row r="4" spans="1:20" s="116" customFormat="1" ht="12.75" customHeight="1" x14ac:dyDescent="0.2">
      <c r="A4" s="199">
        <v>1</v>
      </c>
      <c r="B4" s="77" t="str">
        <f>INDEX(Запол!A:F,MATCH(C4,Запол!D:D,),MATCH("отчет",Запол!$A$1:$F$1,))</f>
        <v>ИП</v>
      </c>
      <c r="C4" s="78" t="s">
        <v>552</v>
      </c>
      <c r="D4" s="77" t="str">
        <f>INDEX(Запол!$D$1:$F$14,MATCH(C4,Запол!$D$1:$D$14,),MATCH("Место",Запол!$D$1:$F$1,))</f>
        <v>г. Саратов</v>
      </c>
      <c r="E4" s="11" t="s">
        <v>103</v>
      </c>
      <c r="F4" s="125">
        <v>1043</v>
      </c>
      <c r="G4" s="6" t="s">
        <v>261</v>
      </c>
      <c r="H4" s="6" t="s">
        <v>161</v>
      </c>
      <c r="I4" s="9">
        <v>40533</v>
      </c>
      <c r="J4" s="7">
        <v>41974</v>
      </c>
      <c r="K4" s="7">
        <v>44166</v>
      </c>
      <c r="L4" s="7">
        <f>IFERROR(INDEX(Заключение!$R$3:$R$20000,_xlfn.AGGREGATE(14,6,ROW($A$1:$G$20000)/(($E4=Заключение!$C$3:$C$20000)*($G4=Заключение!$E$3:$E$20000)),1)),EDATE(I4,INDEX(Срок!$A$1:$F$3000,MATCH(E4,Срок!$A$1:$A$3000,),MATCH("Срок",Срок!$A$1:$F$1,))))</f>
        <v>44186</v>
      </c>
      <c r="M4" s="10" t="str">
        <f t="shared" ca="1" si="0"/>
        <v>требует ЭО</v>
      </c>
      <c r="N4" s="13" t="str">
        <f>INDEX(Срок!$A$1:$F$315,MATCH(E4,Срок!$A$1:$A$315,),MATCH("Назначен",Срок!$A$1:$F$1,))</f>
        <v>гпм</v>
      </c>
      <c r="O4" s="271" t="str">
        <f t="shared" si="1"/>
        <v/>
      </c>
      <c r="P4" s="13" t="str">
        <f>INDEX(Срок!$A$1:$F$315,MATCH(E4,Срок!$A$1:$A$315,),MATCH("пс/ орд",Срок!$A$1:$F$1,))</f>
        <v>пс</v>
      </c>
      <c r="Q4" s="77" t="str">
        <f>IF(INDEX(Запол!$A$1:$J$14,MATCH(C4,Запол!$D$1:$D$14,),8)="","",INDEX(Запол!$A$1:$J$14,MATCH(C4,Запол!$D$1:$D$14,),8))</f>
        <v/>
      </c>
      <c r="R4" s="200" t="str">
        <f>INDEX(Запол!$D$1:$J$14,MATCH(C4,Запол!$D$1:$D$14,),MATCH("Ответственный",Запол!$D$1:$J$1,))</f>
        <v>1 отдел</v>
      </c>
    </row>
    <row r="5" spans="1:20" s="116" customFormat="1" ht="12.75" customHeight="1" x14ac:dyDescent="0.2">
      <c r="A5" s="199"/>
      <c r="B5" s="77" t="str">
        <f>INDEX(Запол!A:F,MATCH(C5,Запол!D:D,),MATCH("отчет",Запол!$A$1:$F$1,))</f>
        <v>ИП</v>
      </c>
      <c r="C5" s="78" t="s">
        <v>552</v>
      </c>
      <c r="D5" s="77" t="str">
        <f>INDEX(Запол!$D$1:$F$14,MATCH(C5,Запол!$D$1:$D$14,),MATCH("Место",Запол!$D$1:$F$1,))</f>
        <v>г. Саратов</v>
      </c>
      <c r="E5" s="11" t="s">
        <v>284</v>
      </c>
      <c r="F5" s="125">
        <v>739</v>
      </c>
      <c r="G5" s="6" t="s">
        <v>509</v>
      </c>
      <c r="H5" s="6" t="s">
        <v>314</v>
      </c>
      <c r="I5" s="9">
        <v>33208</v>
      </c>
      <c r="J5" s="7">
        <v>36862</v>
      </c>
      <c r="K5" s="7">
        <v>36862</v>
      </c>
      <c r="L5" s="7">
        <f>IFERROR(INDEX(Заключение!$R$3:$R$20000,_xlfn.AGGREGATE(14,6,ROW($A$1:$G$20000)/(($E5=Заключение!$C$3:$C$20000)*($G5=Заключение!$E$3:$E$20000)),1)),EDATE(I5,INDEX(Срок!$A$1:$F$3000,MATCH(E5,Срок!$A$1:$A$3000,),MATCH("Срок",Срок!$A$1:$F$1,))))</f>
        <v>36861</v>
      </c>
      <c r="M5" s="10" t="str">
        <f t="shared" ca="1" si="0"/>
        <v>требует ЭО</v>
      </c>
      <c r="N5" s="13" t="str">
        <f>INDEX(Срок!$A$1:$F$315,MATCH(E5,Срок!$A$1:$A$315,),MATCH("Назначен",Срок!$A$1:$F$1,))</f>
        <v>гпм</v>
      </c>
      <c r="O5" s="271" t="str">
        <f t="shared" si="1"/>
        <v/>
      </c>
      <c r="P5" s="13" t="str">
        <f>INDEX(Срок!$A$1:$F$315,MATCH(E5,Срок!$A$1:$A$315,),MATCH("пс/ орд",Срок!$A$1:$F$1,))</f>
        <v>пс</v>
      </c>
      <c r="Q5" s="77" t="str">
        <f>IF(INDEX(Запол!$A$1:$J$14,MATCH(C5,Запол!$D$1:$D$14,),8)="","",INDEX(Запол!$A$1:$J$14,MATCH(C5,Запол!$D$1:$D$14,),8))</f>
        <v/>
      </c>
      <c r="R5" s="200" t="str">
        <f>INDEX(Запол!$D$1:$J$14,MATCH(C5,Запол!$D$1:$D$14,),MATCH("Ответственный",Запол!$D$1:$J$1,))</f>
        <v>1 отдел</v>
      </c>
      <c r="T5" s="195"/>
    </row>
    <row r="6" spans="1:20" s="116" customFormat="1" ht="12.75" customHeight="1" x14ac:dyDescent="0.2">
      <c r="A6" s="199"/>
      <c r="B6" s="77" t="str">
        <f>INDEX(Запол!A:F,MATCH(C6,Запол!D:D,),MATCH("отчет",Запол!$A$1:$F$1,))</f>
        <v>ИП</v>
      </c>
      <c r="C6" s="5" t="s">
        <v>552</v>
      </c>
      <c r="D6" s="77" t="str">
        <f>INDEX(Запол!$D$1:$F$14,MATCH(C6,Запол!$D$1:$D$14,),MATCH("Место",Запол!$D$1:$F$1,))</f>
        <v>г. Саратов</v>
      </c>
      <c r="E6" s="11" t="s">
        <v>218</v>
      </c>
      <c r="F6" s="125">
        <v>224</v>
      </c>
      <c r="G6" s="6" t="s">
        <v>67</v>
      </c>
      <c r="H6" s="6">
        <v>1998</v>
      </c>
      <c r="I6" s="9">
        <v>35796</v>
      </c>
      <c r="J6" s="7">
        <v>39114</v>
      </c>
      <c r="K6" s="7">
        <v>39114</v>
      </c>
      <c r="L6" s="7">
        <f>IFERROR(INDEX(Заключение!$R$3:$R$20000,_xlfn.AGGREGATE(14,6,ROW($A$1:$G$20000)/(($E6=Заключение!$C$3:$C$20000)*($G6=Заключение!$E$3:$E$20000)),1)),EDATE(I6,INDEX(Срок!$A$1:$F$3000,MATCH(E6,Срок!$A$1:$A$3000,),MATCH("Срок",Срок!$A$1:$F$1,))))</f>
        <v>38718</v>
      </c>
      <c r="M6" s="10" t="str">
        <f t="shared" ca="1" si="0"/>
        <v>требует ЭО</v>
      </c>
      <c r="N6" s="13" t="str">
        <f>INDEX(Срок!$A$1:$F$315,MATCH(E6,Срок!$A$1:$A$315,),MATCH("Назначен",Срок!$A$1:$F$1,))</f>
        <v>вышка</v>
      </c>
      <c r="O6" s="271" t="str">
        <f t="shared" si="1"/>
        <v/>
      </c>
      <c r="P6" s="13" t="str">
        <f>INDEX(Срок!$A$1:$F$315,MATCH(E6,Срок!$A$1:$A$315,),MATCH("пс/ орд",Срок!$A$1:$F$1,))</f>
        <v>пс</v>
      </c>
      <c r="Q6" s="77" t="str">
        <f>IF(INDEX(Запол!$A$1:$J$14,MATCH(C6,Запол!$D$1:$D$14,),8)="","",INDEX(Запол!$A$1:$J$14,MATCH(C6,Запол!$D$1:$D$14,),8))</f>
        <v/>
      </c>
      <c r="R6" s="200" t="str">
        <f>INDEX(Запол!$D$1:$J$14,MATCH(C6,Запол!$D$1:$D$14,),MATCH("Ответственный",Запол!$D$1:$J$1,))</f>
        <v>1 отдел</v>
      </c>
    </row>
    <row r="7" spans="1:20" s="116" customFormat="1" ht="12.75" customHeight="1" x14ac:dyDescent="0.2">
      <c r="A7" s="199"/>
      <c r="B7" s="77" t="str">
        <f>INDEX(Запол!A:F,MATCH(C7,Запол!D:D,),MATCH("отчет",Запол!$A$1:$F$1,))</f>
        <v>ИП</v>
      </c>
      <c r="C7" s="5" t="s">
        <v>552</v>
      </c>
      <c r="D7" s="77" t="str">
        <f>INDEX(Запол!$D$1:$F$14,MATCH(C7,Запол!$D$1:$D$14,),MATCH("Место",Запол!$D$1:$F$1,))</f>
        <v>г. Саратов</v>
      </c>
      <c r="E7" s="11" t="s">
        <v>218</v>
      </c>
      <c r="F7" s="125">
        <v>1079</v>
      </c>
      <c r="G7" s="6" t="s">
        <v>364</v>
      </c>
      <c r="H7" s="6">
        <v>2009</v>
      </c>
      <c r="I7" s="9">
        <v>39963</v>
      </c>
      <c r="J7" s="7">
        <v>42883</v>
      </c>
      <c r="K7" s="7">
        <v>42883</v>
      </c>
      <c r="L7" s="7">
        <f>IFERROR(INDEX(Заключение!$R$3:$R$20000,_xlfn.AGGREGATE(14,6,ROW($A$1:$G$20000)/(($E7=Заключение!$C$3:$C$20000)*($G7=Заключение!$E$3:$E$20000)),1)),EDATE(I7,INDEX(Срок!$A$1:$F$3000,MATCH(E7,Срок!$A$1:$A$3000,),MATCH("Срок",Срок!$A$1:$F$1,))))</f>
        <v>42885</v>
      </c>
      <c r="M7" s="10" t="str">
        <f t="shared" ca="1" si="0"/>
        <v>требует ЭО</v>
      </c>
      <c r="N7" s="13" t="str">
        <f>INDEX(Срок!$A$1:$F$315,MATCH(E7,Срок!$A$1:$A$315,),MATCH("Назначен",Срок!$A$1:$F$1,))</f>
        <v>вышка</v>
      </c>
      <c r="O7" s="271" t="str">
        <f t="shared" si="1"/>
        <v/>
      </c>
      <c r="P7" s="13" t="str">
        <f>INDEX(Срок!$A$1:$F$315,MATCH(E7,Срок!$A$1:$A$315,),MATCH("пс/ орд",Срок!$A$1:$F$1,))</f>
        <v>пс</v>
      </c>
      <c r="Q7" s="77" t="str">
        <f>IF(INDEX(Запол!$A$1:$J$14,MATCH(C7,Запол!$D$1:$D$14,),8)="","",INDEX(Запол!$A$1:$J$14,MATCH(C7,Запол!$D$1:$D$14,),8))</f>
        <v/>
      </c>
      <c r="R7" s="200" t="str">
        <f>INDEX(Запол!$D$1:$J$14,MATCH(C7,Запол!$D$1:$D$14,),MATCH("Ответственный",Запол!$D$1:$J$1,))</f>
        <v>1 отдел</v>
      </c>
    </row>
    <row r="8" spans="1:20" s="116" customFormat="1" ht="13.5" customHeight="1" x14ac:dyDescent="0.2">
      <c r="A8" s="199">
        <v>1</v>
      </c>
      <c r="B8" s="77" t="str">
        <f>INDEX(Запол!A:F,MATCH(C8,Запол!D:D,),MATCH("отчет",Запол!$A$1:$F$1,))</f>
        <v>МУ</v>
      </c>
      <c r="C8" s="5" t="s">
        <v>556</v>
      </c>
      <c r="D8" s="77" t="str">
        <f>INDEX(Запол!$D$1:$F$14,MATCH(C8,Запол!$D$1:$D$14,),MATCH("Место",Запол!$D$1:$F$1,))</f>
        <v>г. Вольск</v>
      </c>
      <c r="E8" s="11" t="s">
        <v>166</v>
      </c>
      <c r="F8" s="125">
        <v>8</v>
      </c>
      <c r="G8" s="6" t="s">
        <v>321</v>
      </c>
      <c r="H8" s="6">
        <v>1989</v>
      </c>
      <c r="I8" s="9">
        <v>32670</v>
      </c>
      <c r="J8" s="7">
        <v>40057</v>
      </c>
      <c r="K8" s="7">
        <v>40057</v>
      </c>
      <c r="L8" s="7">
        <f>IFERROR(INDEX(Заключение!$R$3:$R$20000,_xlfn.AGGREGATE(14,6,ROW($A$1:$G$20000)/(($E8=Заключение!$C$3:$C$20000)*($G8=Заключение!$E$3:$E$20000)),1)),EDATE(I8,INDEX(Срок!$A$1:$F$3000,MATCH(E8,Срок!$A$1:$A$3000,),MATCH("Срок",Срок!$A$1:$F$1,))))</f>
        <v>41801</v>
      </c>
      <c r="M8" s="10" t="str">
        <f t="shared" ca="1" si="0"/>
        <v>требует ЭО</v>
      </c>
      <c r="N8" s="13" t="str">
        <f>INDEX(Срок!$A$1:$F$315,MATCH(E8,Срок!$A$1:$A$315,),MATCH("Назначен",Срок!$A$1:$F$1,))</f>
        <v>сосуд</v>
      </c>
      <c r="O8" s="271" t="str">
        <f t="shared" si="1"/>
        <v/>
      </c>
      <c r="P8" s="13" t="str">
        <f>INDEX(Срок!$A$1:$F$315,MATCH(E8,Срок!$A$1:$A$315,),MATCH("пс/ орд",Срок!$A$1:$F$1,))</f>
        <v>орд</v>
      </c>
      <c r="Q8" s="77" t="str">
        <f>IF(INDEX(Запол!$A$1:$J$14,MATCH(C8,Запол!$D$1:$D$14,),8)="","",INDEX(Запол!$A$1:$J$14,MATCH(C8,Запол!$D$1:$D$14,),8))</f>
        <v>ГБ №3</v>
      </c>
      <c r="R8" s="200" t="str">
        <f>INDEX(Запол!$D$1:$J$14,MATCH(C8,Запол!$D$1:$D$14,),MATCH("Ответственный",Запол!$D$1:$J$1,))</f>
        <v>2 отдел</v>
      </c>
    </row>
    <row r="9" spans="1:20" s="116" customFormat="1" ht="12.75" customHeight="1" x14ac:dyDescent="0.2">
      <c r="A9" s="199"/>
      <c r="B9" s="77" t="str">
        <f>INDEX(Запол!A:F,MATCH(C9,Запол!D:D,),MATCH("отчет",Запол!$A$1:$F$1,))</f>
        <v>МУ</v>
      </c>
      <c r="C9" s="5" t="s">
        <v>556</v>
      </c>
      <c r="D9" s="77" t="str">
        <f>INDEX(Запол!$D$1:$F$14,MATCH(C9,Запол!$D$1:$D$14,),MATCH("Место",Запол!$D$1:$F$1,))</f>
        <v>г. Вольск</v>
      </c>
      <c r="E9" s="11" t="s">
        <v>502</v>
      </c>
      <c r="F9" s="125">
        <v>9</v>
      </c>
      <c r="G9" s="6" t="s">
        <v>436</v>
      </c>
      <c r="H9" s="6" t="s">
        <v>314</v>
      </c>
      <c r="I9" s="9">
        <v>33025</v>
      </c>
      <c r="J9" s="7">
        <v>40057</v>
      </c>
      <c r="K9" s="7">
        <v>40057</v>
      </c>
      <c r="L9" s="7">
        <f>IFERROR(INDEX(Заключение!$R$3:$R$20000,_xlfn.AGGREGATE(14,6,ROW($A$1:$G$20000)/(($E9=Заключение!$C$3:$C$20000)*($G9=Заключение!$E$3:$E$20000)),1)),EDATE(I9,INDEX(Срок!$A$1:$F$3000,MATCH(E9,Срок!$A$1:$A$3000,),MATCH("Срок",Срок!$A$1:$F$1,))))</f>
        <v>42156</v>
      </c>
      <c r="M9" s="10" t="str">
        <f t="shared" ca="1" si="0"/>
        <v>требует ЭО</v>
      </c>
      <c r="N9" s="13" t="str">
        <f>INDEX(Срок!$A$1:$F$315,MATCH(E9,Срок!$A$1:$A$315,),MATCH("Назначен",Срок!$A$1:$F$1,))</f>
        <v>сосуд</v>
      </c>
      <c r="O9" s="271" t="str">
        <f t="shared" si="1"/>
        <v/>
      </c>
      <c r="P9" s="13" t="str">
        <f>INDEX(Срок!$A$1:$F$315,MATCH(E9,Срок!$A$1:$A$315,),MATCH("пс/ орд",Срок!$A$1:$F$1,))</f>
        <v>орд</v>
      </c>
      <c r="Q9" s="77" t="str">
        <f>IF(INDEX(Запол!$A$1:$J$14,MATCH(C9,Запол!$D$1:$D$14,),8)="","",INDEX(Запол!$A$1:$J$14,MATCH(C9,Запол!$D$1:$D$14,),8))</f>
        <v>ГБ №3</v>
      </c>
      <c r="R9" s="200" t="str">
        <f>INDEX(Запол!$D$1:$J$14,MATCH(C9,Запол!$D$1:$D$14,),MATCH("Ответственный",Запол!$D$1:$J$1,))</f>
        <v>2 отдел</v>
      </c>
    </row>
    <row r="10" spans="1:20" s="116" customFormat="1" ht="12.75" customHeight="1" x14ac:dyDescent="0.2">
      <c r="A10" s="199"/>
      <c r="B10" s="77" t="str">
        <f>INDEX(Запол!A:F,MATCH(C10,Запол!D:D,),MATCH("отчет",Запол!$A$1:$F$1,))</f>
        <v>МУ</v>
      </c>
      <c r="C10" s="5" t="s">
        <v>556</v>
      </c>
      <c r="D10" s="77" t="str">
        <f>INDEX(Запол!$D$1:$F$14,MATCH(C10,Запол!$D$1:$D$14,),MATCH("Место",Запол!$D$1:$F$1,))</f>
        <v>г. Вольск</v>
      </c>
      <c r="E10" s="11" t="s">
        <v>366</v>
      </c>
      <c r="F10" s="125">
        <v>145</v>
      </c>
      <c r="G10" s="6" t="s">
        <v>267</v>
      </c>
      <c r="H10" s="6">
        <v>1984</v>
      </c>
      <c r="I10" s="9">
        <v>33878</v>
      </c>
      <c r="J10" s="7">
        <v>40057</v>
      </c>
      <c r="K10" s="7">
        <v>40057</v>
      </c>
      <c r="L10" s="7">
        <f>IFERROR(INDEX(Заключение!$R$3:$R$20000,_xlfn.AGGREGATE(14,6,ROW($A$1:$G$20000)/(($E10=Заключение!$C$3:$C$20000)*($G10=Заключение!$E$3:$E$20000)),1)),EDATE(I10,INDEX(Срок!$A$1:$F$3000,MATCH(E10,Срок!$A$1:$A$3000,),MATCH("Срок",Срок!$A$1:$F$1,))))</f>
        <v>43009</v>
      </c>
      <c r="M10" s="10" t="str">
        <f t="shared" ca="1" si="0"/>
        <v>требует ЭО</v>
      </c>
      <c r="N10" s="13" t="str">
        <f>INDEX(Срок!$A$1:$F$315,MATCH(E10,Срок!$A$1:$A$315,),MATCH("Назначен",Срок!$A$1:$F$1,))</f>
        <v>лифт</v>
      </c>
      <c r="O10" s="271" t="str">
        <f t="shared" si="1"/>
        <v/>
      </c>
      <c r="P10" s="13" t="str">
        <f>INDEX(Срок!$A$1:$F$315,MATCH(E10,Срок!$A$1:$A$315,),MATCH("пс/ орд",Срок!$A$1:$F$1,))</f>
        <v>пс</v>
      </c>
      <c r="Q10" s="77" t="str">
        <f>IF(INDEX(Запол!$A$1:$J$14,MATCH(C10,Запол!$D$1:$D$14,),8)="","",INDEX(Запол!$A$1:$J$14,MATCH(C10,Запол!$D$1:$D$14,),8))</f>
        <v>ГБ №3</v>
      </c>
      <c r="R10" s="200" t="str">
        <f>INDEX(Запол!$D$1:$J$14,MATCH(C10,Запол!$D$1:$D$14,),MATCH("Ответственный",Запол!$D$1:$J$1,))</f>
        <v>2 отдел</v>
      </c>
    </row>
    <row r="11" spans="1:20" s="116" customFormat="1" ht="12.75" customHeight="1" x14ac:dyDescent="0.2">
      <c r="A11" s="199"/>
      <c r="B11" s="77" t="str">
        <f>INDEX(Запол!A:F,MATCH(C11,Запол!D:D,),MATCH("отчет",Запол!$A$1:$F$1,))</f>
        <v>МУ</v>
      </c>
      <c r="C11" s="5" t="s">
        <v>556</v>
      </c>
      <c r="D11" s="77" t="str">
        <f>INDEX(Запол!$D$1:$F$14,MATCH(C11,Запол!$D$1:$D$14,),MATCH("Место",Запол!$D$1:$F$1,))</f>
        <v>г. Вольск</v>
      </c>
      <c r="E11" s="11" t="s">
        <v>366</v>
      </c>
      <c r="F11" s="125">
        <v>148</v>
      </c>
      <c r="G11" s="6" t="s">
        <v>268</v>
      </c>
      <c r="H11" s="6">
        <v>1985</v>
      </c>
      <c r="I11" s="9">
        <v>34243</v>
      </c>
      <c r="J11" s="7">
        <v>40057</v>
      </c>
      <c r="K11" s="7">
        <v>40057</v>
      </c>
      <c r="L11" s="7">
        <f>IFERROR(INDEX(Заключение!$R$3:$R$20000,_xlfn.AGGREGATE(14,6,ROW($A$1:$G$20000)/(($E11=Заключение!$C$3:$C$20000)*($G11=Заключение!$E$3:$E$20000)),1)),EDATE(I11,INDEX(Срок!$A$1:$F$3000,MATCH(E11,Срок!$A$1:$A$3000,),MATCH("Срок",Срок!$A$1:$F$1,))))</f>
        <v>43374</v>
      </c>
      <c r="M11" s="10" t="str">
        <f t="shared" ca="1" si="0"/>
        <v>требует ЭО</v>
      </c>
      <c r="N11" s="13" t="str">
        <f>INDEX(Срок!$A$1:$F$315,MATCH(E11,Срок!$A$1:$A$315,),MATCH("Назначен",Срок!$A$1:$F$1,))</f>
        <v>лифт</v>
      </c>
      <c r="O11" s="271" t="str">
        <f t="shared" si="1"/>
        <v/>
      </c>
      <c r="P11" s="13" t="str">
        <f>INDEX(Срок!$A$1:$F$315,MATCH(E11,Срок!$A$1:$A$315,),MATCH("пс/ орд",Срок!$A$1:$F$1,))</f>
        <v>пс</v>
      </c>
      <c r="Q11" s="77" t="str">
        <f>IF(INDEX(Запол!$A$1:$J$14,MATCH(C11,Запол!$D$1:$D$14,),8)="","",INDEX(Запол!$A$1:$J$14,MATCH(C11,Запол!$D$1:$D$14,),8))</f>
        <v>ГБ №3</v>
      </c>
      <c r="R11" s="200" t="str">
        <f>INDEX(Запол!$D$1:$J$14,MATCH(C11,Запол!$D$1:$D$14,),MATCH("Ответственный",Запол!$D$1:$J$1,))</f>
        <v>2 отдел</v>
      </c>
    </row>
    <row r="12" spans="1:20" s="116" customFormat="1" ht="12.75" customHeight="1" x14ac:dyDescent="0.2">
      <c r="A12" s="199"/>
      <c r="B12" s="77" t="str">
        <f>INDEX(Запол!A:F,MATCH(C12,Запол!D:D,),MATCH("отчет",Запол!$A$1:$F$1,))</f>
        <v>МУ</v>
      </c>
      <c r="C12" s="5" t="s">
        <v>556</v>
      </c>
      <c r="D12" s="77" t="str">
        <f>INDEX(Запол!$D$1:$F$14,MATCH(C12,Запол!$D$1:$D$14,),MATCH("Место",Запол!$D$1:$F$1,))</f>
        <v>г. Вольск</v>
      </c>
      <c r="E12" s="11" t="s">
        <v>345</v>
      </c>
      <c r="F12" s="125">
        <v>34</v>
      </c>
      <c r="G12" s="6" t="s">
        <v>135</v>
      </c>
      <c r="H12" s="6">
        <v>1993</v>
      </c>
      <c r="I12" s="9">
        <v>34304</v>
      </c>
      <c r="J12" s="7">
        <v>40057</v>
      </c>
      <c r="K12" s="7">
        <v>40057</v>
      </c>
      <c r="L12" s="7">
        <f>IFERROR(INDEX(Заключение!$R$3:$R$20000,_xlfn.AGGREGATE(14,6,ROW($A$1:$G$20000)/(($E12=Заключение!$C$3:$C$20000)*($G12=Заключение!$E$3:$E$20000)),1)),EDATE(I12,INDEX(Срок!$A$1:$F$3000,MATCH(E12,Срок!$A$1:$A$3000,),MATCH("Срок",Срок!$A$1:$F$1,))))</f>
        <v>44166</v>
      </c>
      <c r="M12" s="10" t="str">
        <f t="shared" ca="1" si="0"/>
        <v>требует ЭО</v>
      </c>
      <c r="N12" s="13" t="str">
        <f>INDEX(Срок!$A$1:$F$315,MATCH(E12,Срок!$A$1:$A$315,),MATCH("Назначен",Срок!$A$1:$F$1,))</f>
        <v>лифт</v>
      </c>
      <c r="O12" s="271" t="str">
        <f t="shared" si="1"/>
        <v/>
      </c>
      <c r="P12" s="13" t="str">
        <f>INDEX(Срок!$A$1:$F$315,MATCH(E12,Срок!$A$1:$A$315,),MATCH("пс/ орд",Срок!$A$1:$F$1,))</f>
        <v>пс</v>
      </c>
      <c r="Q12" s="77" t="str">
        <f>IF(INDEX(Запол!$A$1:$J$14,MATCH(C12,Запол!$D$1:$D$14,),8)="","",INDEX(Запол!$A$1:$J$14,MATCH(C12,Запол!$D$1:$D$14,),8))</f>
        <v>ГБ №3</v>
      </c>
      <c r="R12" s="200" t="str">
        <f>INDEX(Запол!$D$1:$J$14,MATCH(C12,Запол!$D$1:$D$14,),MATCH("Ответственный",Запол!$D$1:$J$1,))</f>
        <v>2 отдел</v>
      </c>
    </row>
    <row r="13" spans="1:20" s="116" customFormat="1" ht="12.75" customHeight="1" x14ac:dyDescent="0.2">
      <c r="A13" s="199"/>
      <c r="B13" s="77" t="str">
        <f>INDEX(Запол!A:F,MATCH(C13,Запол!D:D,),MATCH("отчет",Запол!$A$1:$F$1,))</f>
        <v>МУ</v>
      </c>
      <c r="C13" s="5" t="s">
        <v>556</v>
      </c>
      <c r="D13" s="77" t="str">
        <f>INDEX(Запол!$D$1:$F$14,MATCH(C13,Запол!$D$1:$D$14,),MATCH("Место",Запол!$D$1:$F$1,))</f>
        <v>г. Вольск</v>
      </c>
      <c r="E13" s="11" t="s">
        <v>504</v>
      </c>
      <c r="F13" s="125">
        <v>104</v>
      </c>
      <c r="G13" s="6" t="s">
        <v>335</v>
      </c>
      <c r="H13" s="6" t="s">
        <v>486</v>
      </c>
      <c r="I13" s="9">
        <v>31593</v>
      </c>
      <c r="J13" s="7">
        <v>40057</v>
      </c>
      <c r="K13" s="7">
        <v>40057</v>
      </c>
      <c r="L13" s="7">
        <f>IFERROR(INDEX(Заключение!$R$3:$R$20000,_xlfn.AGGREGATE(14,6,ROW($A$1:$G$20000)/(($E13=Заключение!$C$3:$C$20000)*($G13=Заключение!$E$3:$E$20000)),1)),EDATE(I13,INDEX(Срок!$A$1:$F$3000,MATCH(E13,Срок!$A$1:$A$3000,),MATCH("Срок",Срок!$A$1:$F$1,))))</f>
        <v>38168</v>
      </c>
      <c r="M13" s="10" t="str">
        <f t="shared" ca="1" si="0"/>
        <v>требует ЭО</v>
      </c>
      <c r="N13" s="13" t="str">
        <f>INDEX(Срок!$A$1:$F$315,MATCH(E13,Срок!$A$1:$A$315,),MATCH("Назначен",Срок!$A$1:$F$1,))</f>
        <v>сосуд</v>
      </c>
      <c r="O13" s="271" t="str">
        <f t="shared" si="1"/>
        <v/>
      </c>
      <c r="P13" s="13" t="str">
        <f>INDEX(Срок!$A$1:$F$315,MATCH(E13,Срок!$A$1:$A$315,),MATCH("пс/ орд",Срок!$A$1:$F$1,))</f>
        <v>орд</v>
      </c>
      <c r="Q13" s="77" t="str">
        <f>IF(INDEX(Запол!$A$1:$J$14,MATCH(C13,Запол!$D$1:$D$14,),8)="","",INDEX(Запол!$A$1:$J$14,MATCH(C13,Запол!$D$1:$D$14,),8))</f>
        <v>ГБ №3</v>
      </c>
      <c r="R13" s="200" t="str">
        <f>INDEX(Запол!$D$1:$J$14,MATCH(C13,Запол!$D$1:$D$14,),MATCH("Ответственный",Запол!$D$1:$J$1,))</f>
        <v>2 отдел</v>
      </c>
    </row>
    <row r="14" spans="1:20" s="116" customFormat="1" ht="12.75" customHeight="1" x14ac:dyDescent="0.2">
      <c r="A14" s="199"/>
      <c r="B14" s="77" t="str">
        <f>INDEX(Запол!A:F,MATCH(C14,Запол!D:D,),MATCH("отчет",Запол!$A$1:$F$1,))</f>
        <v>МУ</v>
      </c>
      <c r="C14" s="5" t="s">
        <v>556</v>
      </c>
      <c r="D14" s="77" t="str">
        <f>INDEX(Запол!$D$1:$F$14,MATCH(C14,Запол!$D$1:$D$14,),MATCH("Место",Запол!$D$1:$F$1,))</f>
        <v>г. Вольск</v>
      </c>
      <c r="E14" s="11" t="s">
        <v>504</v>
      </c>
      <c r="F14" s="125">
        <v>106</v>
      </c>
      <c r="G14" s="6" t="s">
        <v>336</v>
      </c>
      <c r="H14" s="6" t="s">
        <v>486</v>
      </c>
      <c r="I14" s="9">
        <v>31593</v>
      </c>
      <c r="J14" s="7">
        <v>40057</v>
      </c>
      <c r="K14" s="7">
        <v>40057</v>
      </c>
      <c r="L14" s="7">
        <f>IFERROR(INDEX(Заключение!$R$3:$R$20000,_xlfn.AGGREGATE(14,6,ROW($A$1:$G$20000)/(($E14=Заключение!$C$3:$C$20000)*($G14=Заключение!$E$3:$E$20000)),1)),EDATE(I14,INDEX(Срок!$A$1:$F$3000,MATCH(E14,Срок!$A$1:$A$3000,),MATCH("Срок",Срок!$A$1:$F$1,))))</f>
        <v>38168</v>
      </c>
      <c r="M14" s="10" t="str">
        <f t="shared" ca="1" si="0"/>
        <v>требует ЭО</v>
      </c>
      <c r="N14" s="13" t="str">
        <f>INDEX(Срок!$A$1:$F$315,MATCH(E14,Срок!$A$1:$A$315,),MATCH("Назначен",Срок!$A$1:$F$1,))</f>
        <v>сосуд</v>
      </c>
      <c r="O14" s="271" t="str">
        <f t="shared" si="1"/>
        <v/>
      </c>
      <c r="P14" s="13" t="str">
        <f>INDEX(Срок!$A$1:$F$315,MATCH(E14,Срок!$A$1:$A$315,),MATCH("пс/ орд",Срок!$A$1:$F$1,))</f>
        <v>орд</v>
      </c>
      <c r="Q14" s="77" t="str">
        <f>IF(INDEX(Запол!$A$1:$J$14,MATCH(C14,Запол!$D$1:$D$14,),8)="","",INDEX(Запол!$A$1:$J$14,MATCH(C14,Запол!$D$1:$D$14,),8))</f>
        <v>ГБ №3</v>
      </c>
      <c r="R14" s="200" t="str">
        <f>INDEX(Запол!$D$1:$J$14,MATCH(C14,Запол!$D$1:$D$14,),MATCH("Ответственный",Запол!$D$1:$J$1,))</f>
        <v>2 отдел</v>
      </c>
    </row>
    <row r="15" spans="1:20" s="116" customFormat="1" ht="12.75" customHeight="1" x14ac:dyDescent="0.2">
      <c r="A15" s="199">
        <v>1</v>
      </c>
      <c r="B15" s="77" t="str">
        <f>INDEX(Запол!A:F,MATCH(C15,Запол!D:D,),MATCH("отчет",Запол!$A$1:$F$1,))</f>
        <v>МУ</v>
      </c>
      <c r="C15" s="5" t="s">
        <v>574</v>
      </c>
      <c r="D15" s="77" t="str">
        <f>INDEX(Запол!$D$1:$F$14,MATCH(C15,Запол!$D$1:$D$14,),MATCH("Место",Запол!$D$1:$F$1,))</f>
        <v>с. Троицкое</v>
      </c>
      <c r="E15" s="11" t="s">
        <v>384</v>
      </c>
      <c r="F15" s="125"/>
      <c r="G15" s="6" t="s">
        <v>626</v>
      </c>
      <c r="H15" s="6" t="s">
        <v>623</v>
      </c>
      <c r="I15" s="9">
        <v>41061</v>
      </c>
      <c r="J15" s="7">
        <v>44075</v>
      </c>
      <c r="K15" s="7">
        <v>44682</v>
      </c>
      <c r="L15" s="7">
        <f>IFERROR(INDEX(Заключение!$R$3:$R$20000,_xlfn.AGGREGATE(14,6,ROW($A$1:$G$20000)/(($E15=Заключение!$C$3:$C$20000)*($G15=Заключение!$E$3:$E$20000)),1)),EDATE(I15,INDEX(Срок!$A$1:$F$3000,MATCH(E15,Срок!$A$1:$A$3000,),MATCH("Срок",Срок!$A$1:$F$1,))))</f>
        <v>44713</v>
      </c>
      <c r="M15" s="10" t="str">
        <f t="shared" ca="1" si="0"/>
        <v>требует ЭО</v>
      </c>
      <c r="N15" s="13" t="str">
        <f>INDEX(Срок!$A$1:$F$315,MATCH(E15,Срок!$A$1:$A$315,),MATCH("Назначен",Срок!$A$1:$F$1,))</f>
        <v>не рег ТУ орд</v>
      </c>
      <c r="O15" s="271">
        <f t="shared" si="1"/>
        <v>1</v>
      </c>
      <c r="P15" s="13" t="str">
        <f>INDEX(Срок!$A$1:$F$315,MATCH(E15,Срок!$A$1:$A$315,),MATCH("пс/ орд",Срок!$A$1:$F$1,))</f>
        <v>орд</v>
      </c>
      <c r="Q15" s="77" t="str">
        <f>IF(INDEX(Запол!$A$1:$J$14,MATCH(C15,Запол!$D$1:$D$14,),8)="","",INDEX(Запол!$A$1:$J$14,MATCH(C15,Запол!$D$1:$D$14,),8))</f>
        <v>г. Оренбург</v>
      </c>
      <c r="R15" s="200" t="str">
        <f>INDEX(Запол!$D$1:$J$14,MATCH(C15,Запол!$D$1:$D$14,),MATCH("Ответственный",Запол!$D$1:$J$1,))</f>
        <v>2 отдел</v>
      </c>
    </row>
    <row r="16" spans="1:20" s="116" customFormat="1" ht="12.75" customHeight="1" x14ac:dyDescent="0.2">
      <c r="A16" s="199"/>
      <c r="B16" s="77" t="str">
        <f>INDEX(Запол!A:F,MATCH(C16,Запол!D:D,),MATCH("отчет",Запол!$A$1:$F$1,))</f>
        <v>МУ</v>
      </c>
      <c r="C16" s="5" t="s">
        <v>556</v>
      </c>
      <c r="D16" s="77" t="str">
        <f>INDEX(Запол!$D$1:$F$14,MATCH(C16,Запол!$D$1:$D$14,),MATCH("Место",Запол!$D$1:$F$1,))</f>
        <v>г. Вольск</v>
      </c>
      <c r="E16" s="11" t="s">
        <v>384</v>
      </c>
      <c r="F16" s="125"/>
      <c r="G16" s="6" t="s">
        <v>627</v>
      </c>
      <c r="H16" s="6" t="s">
        <v>624</v>
      </c>
      <c r="I16" s="9">
        <v>39665</v>
      </c>
      <c r="J16" s="7">
        <v>40057</v>
      </c>
      <c r="K16" s="7">
        <v>40057</v>
      </c>
      <c r="L16" s="7">
        <f>IFERROR(INDEX(Заключение!$R$3:$R$20000,_xlfn.AGGREGATE(14,6,ROW($A$1:$G$20000)/(($E16=Заключение!$C$3:$C$20000)*($G16=Заключение!$E$3:$E$20000)),1)),EDATE(I16,INDEX(Срок!$A$1:$F$3000,MATCH(E16,Срок!$A$1:$A$3000,),MATCH("Срок",Срок!$A$1:$F$1,))))</f>
        <v>43317</v>
      </c>
      <c r="M16" s="10" t="str">
        <f t="shared" ca="1" si="0"/>
        <v>требует ЭО</v>
      </c>
      <c r="N16" s="13" t="str">
        <f>INDEX(Срок!$A$1:$F$315,MATCH(E16,Срок!$A$1:$A$315,),MATCH("Назначен",Срок!$A$1:$F$1,))</f>
        <v>не рег ТУ орд</v>
      </c>
      <c r="O16" s="271">
        <f t="shared" si="1"/>
        <v>1</v>
      </c>
      <c r="P16" s="13" t="str">
        <f>INDEX(Срок!$A$1:$F$315,MATCH(E16,Срок!$A$1:$A$315,),MATCH("пс/ орд",Срок!$A$1:$F$1,))</f>
        <v>орд</v>
      </c>
      <c r="Q16" s="77" t="str">
        <f>IF(INDEX(Запол!$A$1:$J$14,MATCH(C16,Запол!$D$1:$D$14,),8)="","",INDEX(Запол!$A$1:$J$14,MATCH(C16,Запол!$D$1:$D$14,),8))</f>
        <v>ГБ №3</v>
      </c>
      <c r="R16" s="200" t="str">
        <f>INDEX(Запол!$D$1:$J$14,MATCH(C16,Запол!$D$1:$D$14,),MATCH("Ответственный",Запол!$D$1:$J$1,))</f>
        <v>2 отдел</v>
      </c>
    </row>
    <row r="17" spans="1:18" s="116" customFormat="1" ht="12.75" customHeight="1" x14ac:dyDescent="0.2">
      <c r="A17" s="199"/>
      <c r="B17" s="77" t="str">
        <f>INDEX(Запол!A:F,MATCH(C17,Запол!D:D,),MATCH("отчет",Запол!$A$1:$F$1,))</f>
        <v>МУ</v>
      </c>
      <c r="C17" s="5" t="s">
        <v>556</v>
      </c>
      <c r="D17" s="77" t="str">
        <f>INDEX(Запол!$D$1:$F$14,MATCH(C17,Запол!$D$1:$D$14,),MATCH("Место",Запол!$D$1:$F$1,))</f>
        <v>г. Вольск</v>
      </c>
      <c r="E17" s="11" t="s">
        <v>140</v>
      </c>
      <c r="F17" s="125"/>
      <c r="G17" s="6" t="s">
        <v>628</v>
      </c>
      <c r="H17" s="6" t="s">
        <v>625</v>
      </c>
      <c r="I17" s="9">
        <v>39666</v>
      </c>
      <c r="J17" s="7">
        <v>40057</v>
      </c>
      <c r="K17" s="7">
        <v>40057</v>
      </c>
      <c r="L17" s="7">
        <f>IFERROR(INDEX(Заключение!$R$3:$R$20000,_xlfn.AGGREGATE(14,6,ROW($A$1:$G$20000)/(($E17=Заключение!$C$3:$C$20000)*($G17=Заключение!$E$3:$E$20000)),1)),EDATE(I17,INDEX(Срок!$A$1:$F$3000,MATCH(E17,Срок!$A$1:$A$3000,),MATCH("Срок",Срок!$A$1:$F$1,))))</f>
        <v>43318</v>
      </c>
      <c r="M17" s="10" t="str">
        <f t="shared" ca="1" si="0"/>
        <v>требует ЭО</v>
      </c>
      <c r="N17" s="13" t="str">
        <f>INDEX(Срок!$A$1:$F$315,MATCH(E17,Срок!$A$1:$A$315,),MATCH("Назначен",Срок!$A$1:$F$1,))</f>
        <v>не рег ТУ орд</v>
      </c>
      <c r="O17" s="271">
        <f t="shared" si="1"/>
        <v>1</v>
      </c>
      <c r="P17" s="13" t="str">
        <f>INDEX(Срок!$A$1:$F$315,MATCH(E17,Срок!$A$1:$A$315,),MATCH("пс/ орд",Срок!$A$1:$F$1,))</f>
        <v>орд</v>
      </c>
      <c r="Q17" s="77" t="str">
        <f>IF(INDEX(Запол!$A$1:$J$14,MATCH(C17,Запол!$D$1:$D$14,),8)="","",INDEX(Запол!$A$1:$J$14,MATCH(C17,Запол!$D$1:$D$14,),8))</f>
        <v>ГБ №3</v>
      </c>
      <c r="R17" s="200" t="str">
        <f>INDEX(Запол!$D$1:$J$14,MATCH(C17,Запол!$D$1:$D$14,),MATCH("Ответственный",Запол!$D$1:$J$1,))</f>
        <v>2 отдел</v>
      </c>
    </row>
    <row r="18" spans="1:18" s="116" customFormat="1" ht="12.75" customHeight="1" x14ac:dyDescent="0.2">
      <c r="A18" s="199"/>
      <c r="B18" s="77" t="str">
        <f>INDEX(Запол!A:F,MATCH(C18,Запол!D:D,),MATCH("отчет",Запол!$A$1:$F$1,))</f>
        <v>МУ</v>
      </c>
      <c r="C18" s="5" t="s">
        <v>556</v>
      </c>
      <c r="D18" s="77" t="str">
        <f>INDEX(Запол!$D$1:$F$14,MATCH(C18,Запол!$D$1:$D$14,),MATCH("Место",Запол!$D$1:$F$1,))</f>
        <v>г. Вольск</v>
      </c>
      <c r="E18" s="11" t="s">
        <v>504</v>
      </c>
      <c r="F18" s="125">
        <v>768</v>
      </c>
      <c r="G18" s="6" t="s">
        <v>515</v>
      </c>
      <c r="H18" s="6" t="s">
        <v>381</v>
      </c>
      <c r="I18" s="9">
        <v>34366</v>
      </c>
      <c r="J18" s="7">
        <v>40057</v>
      </c>
      <c r="K18" s="7">
        <v>40057</v>
      </c>
      <c r="L18" s="7">
        <f>IFERROR(INDEX(Заключение!$R$3:$R$20000,_xlfn.AGGREGATE(14,6,ROW($A$1:$G$20000)/(($E18=Заключение!$C$3:$C$20000)*($G18=Заключение!$E$3:$E$20000)),1)),EDATE(I18,INDEX(Срок!$A$1:$F$3000,MATCH(E18,Срок!$A$1:$A$3000,),MATCH("Срок",Срок!$A$1:$F$1,))))</f>
        <v>40940</v>
      </c>
      <c r="M18" s="10" t="str">
        <f t="shared" ca="1" si="0"/>
        <v>требует ЭО</v>
      </c>
      <c r="N18" s="13" t="str">
        <f>INDEX(Срок!$A$1:$F$315,MATCH(E18,Срок!$A$1:$A$315,),MATCH("Назначен",Срок!$A$1:$F$1,))</f>
        <v>сосуд</v>
      </c>
      <c r="O18" s="271" t="str">
        <f t="shared" si="1"/>
        <v/>
      </c>
      <c r="P18" s="13" t="str">
        <f>INDEX(Срок!$A$1:$F$315,MATCH(E18,Срок!$A$1:$A$315,),MATCH("пс/ орд",Срок!$A$1:$F$1,))</f>
        <v>орд</v>
      </c>
      <c r="Q18" s="77" t="str">
        <f>IF(INDEX(Запол!$A$1:$J$14,MATCH(C18,Запол!$D$1:$D$14,),8)="","",INDEX(Запол!$A$1:$J$14,MATCH(C18,Запол!$D$1:$D$14,),8))</f>
        <v>ГБ №3</v>
      </c>
      <c r="R18" s="200" t="str">
        <f>INDEX(Запол!$D$1:$J$14,MATCH(C18,Запол!$D$1:$D$14,),MATCH("Ответственный",Запол!$D$1:$J$1,))</f>
        <v>2 отдел</v>
      </c>
    </row>
    <row r="19" spans="1:18" s="116" customFormat="1" ht="12.75" customHeight="1" x14ac:dyDescent="0.2">
      <c r="A19" s="199"/>
      <c r="B19" s="77" t="str">
        <f>INDEX(Запол!A:F,MATCH(C19,Запол!D:D,),MATCH("отчет",Запол!$A$1:$F$1,))</f>
        <v>МУ</v>
      </c>
      <c r="C19" s="5" t="s">
        <v>556</v>
      </c>
      <c r="D19" s="77" t="str">
        <f>INDEX(Запол!$D$1:$F$14,MATCH(C19,Запол!$D$1:$D$14,),MATCH("Место",Запол!$D$1:$F$1,))</f>
        <v>г. Вольск</v>
      </c>
      <c r="E19" s="11" t="s">
        <v>29</v>
      </c>
      <c r="F19" s="125">
        <v>1192</v>
      </c>
      <c r="G19" s="6" t="s">
        <v>507</v>
      </c>
      <c r="H19" s="6">
        <v>1985</v>
      </c>
      <c r="I19" s="9">
        <v>31168</v>
      </c>
      <c r="J19" s="7">
        <v>40057</v>
      </c>
      <c r="K19" s="7">
        <v>40057</v>
      </c>
      <c r="L19" s="7">
        <f>IFERROR(INDEX(Заключение!$R$3:$R$20000,_xlfn.AGGREGATE(14,6,ROW($A$1:$G$20000)/(($E19=Заключение!$C$3:$C$20000)*($G19=Заключение!$E$3:$E$20000)),1)),EDATE(I19,INDEX(Срок!$A$1:$F$3000,MATCH(E19,Срок!$A$1:$A$3000,),MATCH("Срок",Срок!$A$1:$F$1,))))</f>
        <v>41760</v>
      </c>
      <c r="M19" s="10" t="str">
        <f t="shared" ca="1" si="0"/>
        <v>требует ЭО</v>
      </c>
      <c r="N19" s="13" t="str">
        <f>INDEX(Срок!$A$1:$F$315,MATCH(E19,Срок!$A$1:$A$315,),MATCH("Назначен",Срок!$A$1:$F$1,))</f>
        <v>лифт</v>
      </c>
      <c r="O19" s="271" t="str">
        <f t="shared" si="1"/>
        <v/>
      </c>
      <c r="P19" s="13" t="str">
        <f>INDEX(Срок!$A$1:$F$315,MATCH(E19,Срок!$A$1:$A$315,),MATCH("пс/ орд",Срок!$A$1:$F$1,))</f>
        <v>пс</v>
      </c>
      <c r="Q19" s="77" t="str">
        <f>IF(INDEX(Запол!$A$1:$J$14,MATCH(C19,Запол!$D$1:$D$14,),8)="","",INDEX(Запол!$A$1:$J$14,MATCH(C19,Запол!$D$1:$D$14,),8))</f>
        <v>ГБ №3</v>
      </c>
      <c r="R19" s="200" t="str">
        <f>INDEX(Запол!$D$1:$J$14,MATCH(C19,Запол!$D$1:$D$14,),MATCH("Ответственный",Запол!$D$1:$J$1,))</f>
        <v>2 отдел</v>
      </c>
    </row>
    <row r="20" spans="1:18" s="116" customFormat="1" ht="12.75" customHeight="1" x14ac:dyDescent="0.2">
      <c r="A20" s="199"/>
      <c r="B20" s="77" t="str">
        <f>INDEX(Запол!A:F,MATCH(C20,Запол!D:D,),MATCH("отчет",Запол!$A$1:$F$1,))</f>
        <v>МУ</v>
      </c>
      <c r="C20" s="78" t="s">
        <v>574</v>
      </c>
      <c r="D20" s="77" t="str">
        <f>INDEX(Запол!$D$1:$F$14,MATCH(C20,Запол!$D$1:$D$14,),MATCH("Место",Запол!$D$1:$F$1,))</f>
        <v>с. Троицкое</v>
      </c>
      <c r="E20" s="11" t="s">
        <v>4</v>
      </c>
      <c r="F20" s="125">
        <v>155</v>
      </c>
      <c r="G20" s="6" t="s">
        <v>62</v>
      </c>
      <c r="H20" s="6" t="s">
        <v>109</v>
      </c>
      <c r="I20" s="9">
        <v>28642</v>
      </c>
      <c r="J20" s="7">
        <v>35916</v>
      </c>
      <c r="K20" s="7">
        <v>35916</v>
      </c>
      <c r="L20" s="7">
        <f>IFERROR(INDEX(Заключение!$R$3:$R$20000,_xlfn.AGGREGATE(14,6,ROW($A$1:$G$20000)/(($E20=Заключение!$C$3:$C$20000)*($G20=Заключение!$E$3:$E$20000)),1)),EDATE(I20,INDEX(Срок!$A$1:$F$3000,MATCH(E20,Срок!$A$1:$A$3000,),MATCH("Срок",Срок!$A$1:$F$1,))))</f>
        <v>35947</v>
      </c>
      <c r="M20" s="10" t="str">
        <f t="shared" ca="1" si="0"/>
        <v>требует ЭО</v>
      </c>
      <c r="N20" s="13" t="str">
        <f>INDEX(Срок!$A$1:$F$315,MATCH(E20,Срок!$A$1:$A$315,),MATCH("Назначен",Срок!$A$1:$F$1,))</f>
        <v>баллон</v>
      </c>
      <c r="O20" s="271" t="str">
        <f t="shared" si="1"/>
        <v/>
      </c>
      <c r="P20" s="13" t="str">
        <f>INDEX(Срок!$A$1:$F$315,MATCH(E20,Срок!$A$1:$A$315,),MATCH("пс/ орд",Срок!$A$1:$F$1,))</f>
        <v>орд</v>
      </c>
      <c r="Q20" s="77" t="str">
        <f>IF(INDEX(Запол!$A$1:$J$14,MATCH(C20,Запол!$D$1:$D$14,),8)="","",INDEX(Запол!$A$1:$J$14,MATCH(C20,Запол!$D$1:$D$14,),8))</f>
        <v>г. Оренбург</v>
      </c>
      <c r="R20" s="200" t="str">
        <f>INDEX(Запол!$D$1:$J$14,MATCH(C20,Запол!$D$1:$D$14,),MATCH("Ответственный",Запол!$D$1:$J$1,))</f>
        <v>2 отдел</v>
      </c>
    </row>
    <row r="21" spans="1:18" s="116" customFormat="1" ht="12.75" customHeight="1" x14ac:dyDescent="0.2">
      <c r="A21" s="199"/>
      <c r="B21" s="77" t="str">
        <f>INDEX(Запол!A:F,MATCH(C21,Запол!D:D,),MATCH("отчет",Запол!$A$1:$F$1,))</f>
        <v>МУ</v>
      </c>
      <c r="C21" s="78" t="s">
        <v>574</v>
      </c>
      <c r="D21" s="77" t="str">
        <f>INDEX(Запол!$D$1:$F$14,MATCH(C21,Запол!$D$1:$D$14,),MATCH("Место",Запол!$D$1:$F$1,))</f>
        <v>с. Троицкое</v>
      </c>
      <c r="E21" s="11" t="s">
        <v>4</v>
      </c>
      <c r="F21" s="125">
        <v>155</v>
      </c>
      <c r="G21" s="6" t="s">
        <v>201</v>
      </c>
      <c r="H21" s="6" t="s">
        <v>109</v>
      </c>
      <c r="I21" s="9">
        <v>28642</v>
      </c>
      <c r="J21" s="7">
        <v>35916</v>
      </c>
      <c r="K21" s="7">
        <v>35916</v>
      </c>
      <c r="L21" s="7">
        <f>IFERROR(INDEX(Заключение!$R$3:$R$20000,_xlfn.AGGREGATE(14,6,ROW($A$1:$G$20000)/(($E21=Заключение!$C$3:$C$20000)*($G21=Заключение!$E$3:$E$20000)),1)),EDATE(I21,INDEX(Срок!$A$1:$F$3000,MATCH(E21,Срок!$A$1:$A$3000,),MATCH("Срок",Срок!$A$1:$F$1,))))</f>
        <v>35947</v>
      </c>
      <c r="M21" s="10" t="str">
        <f t="shared" ca="1" si="0"/>
        <v>требует ЭО</v>
      </c>
      <c r="N21" s="13" t="str">
        <f>INDEX(Срок!$A$1:$F$315,MATCH(E21,Срок!$A$1:$A$315,),MATCH("Назначен",Срок!$A$1:$F$1,))</f>
        <v>баллон</v>
      </c>
      <c r="O21" s="271" t="str">
        <f t="shared" si="1"/>
        <v/>
      </c>
      <c r="P21" s="13" t="str">
        <f>INDEX(Срок!$A$1:$F$315,MATCH(E21,Срок!$A$1:$A$315,),MATCH("пс/ орд",Срок!$A$1:$F$1,))</f>
        <v>орд</v>
      </c>
      <c r="Q21" s="77" t="str">
        <f>IF(INDEX(Запол!$A$1:$J$14,MATCH(C21,Запол!$D$1:$D$14,),8)="","",INDEX(Запол!$A$1:$J$14,MATCH(C21,Запол!$D$1:$D$14,),8))</f>
        <v>г. Оренбург</v>
      </c>
      <c r="R21" s="200" t="str">
        <f>INDEX(Запол!$D$1:$J$14,MATCH(C21,Запол!$D$1:$D$14,),MATCH("Ответственный",Запол!$D$1:$J$1,))</f>
        <v>2 отдел</v>
      </c>
    </row>
    <row r="22" spans="1:18" s="116" customFormat="1" ht="12.75" customHeight="1" x14ac:dyDescent="0.2">
      <c r="A22" s="199">
        <v>1</v>
      </c>
      <c r="B22" s="77" t="str">
        <f>INDEX(Запол!A:F,MATCH(C22,Запол!D:D,),MATCH("отчет",Запол!$A$1:$F$1,))</f>
        <v>ОАО</v>
      </c>
      <c r="C22" s="5" t="s">
        <v>563</v>
      </c>
      <c r="D22" s="77" t="str">
        <f>INDEX(Запол!$D$1:$F$14,MATCH(C22,Запол!$D$1:$D$14,),MATCH("Место",Запол!$D$1:$F$1,))</f>
        <v>г. Йошкар-Ола</v>
      </c>
      <c r="E22" s="11" t="s">
        <v>207</v>
      </c>
      <c r="F22" s="125">
        <v>373</v>
      </c>
      <c r="G22" s="6" t="s">
        <v>263</v>
      </c>
      <c r="H22" s="6" t="s">
        <v>485</v>
      </c>
      <c r="I22" s="9">
        <v>30926</v>
      </c>
      <c r="J22" s="7">
        <v>38200</v>
      </c>
      <c r="K22" s="7">
        <v>38200</v>
      </c>
      <c r="L22" s="7">
        <f>IFERROR(INDEX(Заключение!$R$3:$R$20000,_xlfn.AGGREGATE(14,6,ROW($A$1:$G$20000)/(($E22=Заключение!$C$3:$C$20000)*($G22=Заключение!$E$3:$E$20000)),1)),EDATE(I22,INDEX(Срок!$A$1:$F$3000,MATCH(E22,Срок!$A$1:$A$3000,),MATCH("Срок",Срок!$A$1:$F$1,))))</f>
        <v>38231</v>
      </c>
      <c r="M22" s="10" t="str">
        <f t="shared" ca="1" si="0"/>
        <v>требует ЭО</v>
      </c>
      <c r="N22" s="13" t="str">
        <f>INDEX(Срок!$A$1:$F$315,MATCH(E22,Срок!$A$1:$A$315,),MATCH("Назначен",Срок!$A$1:$F$1,))</f>
        <v>гпм</v>
      </c>
      <c r="O22" s="271" t="str">
        <f t="shared" si="1"/>
        <v/>
      </c>
      <c r="P22" s="13" t="str">
        <f>INDEX(Срок!$A$1:$F$315,MATCH(E22,Срок!$A$1:$A$315,),MATCH("пс/ орд",Срок!$A$1:$F$1,))</f>
        <v>пс</v>
      </c>
      <c r="Q22" s="77" t="str">
        <f>IF(INDEX(Запол!$A$1:$J$14,MATCH(C22,Запол!$D$1:$D$14,),8)="","",INDEX(Запол!$A$1:$J$14,MATCH(C22,Запол!$D$1:$D$14,),8))</f>
        <v>СУМР №22</v>
      </c>
      <c r="R22" s="200" t="str">
        <f>INDEX(Запол!$D$1:$J$14,MATCH(C22,Запол!$D$1:$D$14,),MATCH("Ответственный",Запол!$D$1:$J$1,))</f>
        <v>1 отдел</v>
      </c>
    </row>
    <row r="23" spans="1:18" s="116" customFormat="1" ht="12.75" customHeight="1" x14ac:dyDescent="0.2">
      <c r="A23" s="199">
        <v>1</v>
      </c>
      <c r="B23" s="77" t="str">
        <f>INDEX(Запол!A:F,MATCH(C23,Запол!D:D,),MATCH("отчет",Запол!$A$1:$F$1,))</f>
        <v>ОАО</v>
      </c>
      <c r="C23" s="5" t="s">
        <v>610</v>
      </c>
      <c r="D23" s="77" t="str">
        <f>INDEX(Запол!$D$1:$F$14,MATCH(C23,Запол!$D$1:$D$14,),MATCH("Место",Запол!$D$1:$F$1,))</f>
        <v>г. Казань</v>
      </c>
      <c r="E23" s="11" t="s">
        <v>271</v>
      </c>
      <c r="F23" s="154">
        <v>1111</v>
      </c>
      <c r="G23" s="155" t="s">
        <v>477</v>
      </c>
      <c r="H23" s="155" t="s">
        <v>93</v>
      </c>
      <c r="I23" s="156">
        <v>34274</v>
      </c>
      <c r="J23" s="7">
        <v>40057</v>
      </c>
      <c r="K23" s="7">
        <v>40057</v>
      </c>
      <c r="L23" s="7">
        <f>IFERROR(INDEX(Заключение!$R$3:$R$20000,_xlfn.AGGREGATE(14,6,ROW($A$1:$G$20000)/(($E23=Заключение!$C$3:$C$20000)*($G23=Заключение!$E$3:$E$20000)),1)),EDATE(I23,INDEX(Срок!$A$1:$F$3000,MATCH(E23,Срок!$A$1:$A$3000,),MATCH("Срок",Срок!$A$1:$F$1,))))</f>
        <v>37926</v>
      </c>
      <c r="M23" s="10" t="str">
        <f t="shared" ca="1" si="0"/>
        <v>требует ЭО</v>
      </c>
      <c r="N23" s="13" t="str">
        <f>INDEX(Срок!$A$1:$F$315,MATCH(E23,Срок!$A$1:$A$315,),MATCH("Назначен",Срок!$A$1:$F$1,))</f>
        <v>гпм</v>
      </c>
      <c r="O23" s="271" t="str">
        <f t="shared" si="1"/>
        <v/>
      </c>
      <c r="P23" s="13" t="str">
        <f>INDEX(Срок!$A$1:$F$315,MATCH(E23,Срок!$A$1:$A$315,),MATCH("пс/ орд",Срок!$A$1:$F$1,))</f>
        <v>пс</v>
      </c>
      <c r="Q23" s="77"/>
      <c r="R23" s="200" t="str">
        <f>INDEX(Запол!$D$1:$J$14,MATCH(C23,Запол!$D$1:$D$14,),MATCH("Ответственный",Запол!$D$1:$J$1,))</f>
        <v>2 отдел</v>
      </c>
    </row>
    <row r="24" spans="1:18" s="116" customFormat="1" ht="12.75" customHeight="1" x14ac:dyDescent="0.2">
      <c r="A24" s="259"/>
      <c r="B24" s="260" t="str">
        <f>INDEX(Запол!A:F,MATCH(C24,Запол!D:D,),MATCH("отчет",Запол!$A$1:$F$1,))</f>
        <v>ОАО</v>
      </c>
      <c r="C24" s="5" t="s">
        <v>610</v>
      </c>
      <c r="D24" s="260" t="str">
        <f>INDEX(Запол!$D$1:$F$14,MATCH(C24,Запол!$D$1:$D$14,),MATCH("Место",Запол!$D$1:$F$1,))</f>
        <v>г. Казань</v>
      </c>
      <c r="E24" s="261" t="s">
        <v>522</v>
      </c>
      <c r="F24" s="262"/>
      <c r="G24" s="263" t="s">
        <v>697</v>
      </c>
      <c r="H24" s="263" t="s">
        <v>161</v>
      </c>
      <c r="I24" s="264">
        <v>42135</v>
      </c>
      <c r="J24" s="264">
        <v>44346</v>
      </c>
      <c r="K24" s="264">
        <v>44346</v>
      </c>
      <c r="L24" s="7">
        <f>IFERROR(INDEX(Заключение!$R$3:$R$20000,_xlfn.AGGREGATE(14,6,ROW($A$1:$G$20000)/(($E24=Заключение!$C$3:$C$20000)*($G24=Заключение!$E$3:$E$20000)),1)),EDATE(I24,INDEX(Срок!$A$1:$F$3000,MATCH(E24,Срок!$A$1:$A$3000,),MATCH("Срок",Срок!$A$1:$F$1,))))</f>
        <v>47979</v>
      </c>
      <c r="M24" s="10" t="str">
        <f t="shared" ca="1" si="0"/>
        <v/>
      </c>
      <c r="N24" s="266" t="str">
        <f>INDEX(Срок!$A$1:$F$315,MATCH(E24,Срок!$A$1:$A$315,),MATCH("Назначен",Срок!$A$1:$F$1,))</f>
        <v>не рег ТУ пс</v>
      </c>
      <c r="O24" s="271">
        <f t="shared" si="1"/>
        <v>1</v>
      </c>
      <c r="P24" s="265" t="str">
        <f>INDEX(Срок!$A$1:$F$315,MATCH(E24,Срок!$A$1:$A$315,),MATCH("пс/ орд",Срок!$A$1:$F$1,))</f>
        <v>пс</v>
      </c>
      <c r="Q24" s="260" t="str">
        <f>IF(INDEX(Запол!$A$1:$J$14,MATCH(C24,Запол!$D$1:$D$14,),8)="","",INDEX(Запол!$A$1:$J$14,MATCH(C24,Запол!$D$1:$D$14,),8))</f>
        <v/>
      </c>
      <c r="R24" s="267" t="str">
        <f>INDEX(Запол!$D$1:$J$14,MATCH(C24,Запол!$D$1:$D$14,),MATCH("Ответственный",Запол!$D$1:$J$1,))</f>
        <v>2 отдел</v>
      </c>
    </row>
    <row r="25" spans="1:18" s="116" customFormat="1" ht="12.75" customHeight="1" x14ac:dyDescent="0.2">
      <c r="A25" s="259"/>
      <c r="B25" s="77" t="str">
        <f>INDEX(Запол!A:F,MATCH(C25,Запол!D:D,),MATCH("отчет",Запол!$A$1:$F$1,))</f>
        <v>ОАО</v>
      </c>
      <c r="C25" s="5" t="s">
        <v>610</v>
      </c>
      <c r="D25" s="77" t="str">
        <f>INDEX(Запол!$D$1:$F$14,MATCH(C25,Запол!$D$1:$D$14,),MATCH("Место",Запол!$D$1:$F$1,))</f>
        <v>г. Казань</v>
      </c>
      <c r="E25" s="261" t="s">
        <v>487</v>
      </c>
      <c r="F25" s="262">
        <v>2121</v>
      </c>
      <c r="G25" s="263" t="s">
        <v>694</v>
      </c>
      <c r="H25" s="263" t="s">
        <v>695</v>
      </c>
      <c r="I25" s="264">
        <v>42430</v>
      </c>
      <c r="J25" s="264">
        <v>45748</v>
      </c>
      <c r="K25" s="264">
        <v>46082</v>
      </c>
      <c r="L25" s="7">
        <f>IFERROR(INDEX(Заключение!$R$3:$R$20000,_xlfn.AGGREGATE(14,6,ROW($A$1:$G$20000)/(($E25=Заключение!$C$3:$C$20000)*($G25=Заключение!$E$3:$E$20000)),1)),EDATE(I25,INDEX(Срок!$A$1:$F$3000,MATCH(E25,Срок!$A$1:$A$3000,),MATCH("Срок",Срок!$A$1:$F$1,))))</f>
        <v>46082</v>
      </c>
      <c r="M25" s="10" t="str">
        <f t="shared" ca="1" si="0"/>
        <v/>
      </c>
      <c r="N25" s="266" t="str">
        <f>INDEX(Срок!$A$1:$F$315,MATCH(E25,Срок!$A$1:$A$315,),MATCH("Назначен",Срок!$A$1:$F$1,))</f>
        <v>гпм</v>
      </c>
      <c r="O25" s="271" t="str">
        <f t="shared" si="1"/>
        <v/>
      </c>
      <c r="P25" s="265" t="str">
        <f>INDEX(Срок!$A$1:$F$315,MATCH(E25,Срок!$A$1:$A$315,),MATCH("пс/ орд",Срок!$A$1:$F$1,))</f>
        <v>пс</v>
      </c>
      <c r="Q25" s="260" t="str">
        <f>IF(INDEX(Запол!$A$1:$J$14,MATCH(C25,Запол!$D$1:$D$14,),8)="","",INDEX(Запол!$A$1:$J$14,MATCH(C25,Запол!$D$1:$D$14,),8))</f>
        <v/>
      </c>
      <c r="R25" s="267" t="str">
        <f>INDEX(Запол!$D$1:$J$14,MATCH(C25,Запол!$D$1:$D$14,),MATCH("Ответственный",Запол!$D$1:$J$1,))</f>
        <v>2 отдел</v>
      </c>
    </row>
    <row r="26" spans="1:18" s="116" customFormat="1" ht="12.75" customHeight="1" x14ac:dyDescent="0.2">
      <c r="A26" s="199"/>
      <c r="B26" s="77" t="str">
        <f>INDEX(Запол!A:F,MATCH(C26,Запол!D:D,),MATCH("отчет",Запол!$A$1:$F$1,))</f>
        <v>ОАО</v>
      </c>
      <c r="C26" s="5" t="s">
        <v>610</v>
      </c>
      <c r="D26" s="77" t="str">
        <f>INDEX(Запол!$D$1:$F$14,MATCH(C26,Запол!$D$1:$D$14,),MATCH("Место",Запол!$D$1:$F$1,))</f>
        <v>г. Казань</v>
      </c>
      <c r="E26" s="11" t="s">
        <v>110</v>
      </c>
      <c r="F26" s="154">
        <v>1112</v>
      </c>
      <c r="G26" s="155" t="s">
        <v>614</v>
      </c>
      <c r="H26" s="155" t="s">
        <v>381</v>
      </c>
      <c r="I26" s="156">
        <v>34669</v>
      </c>
      <c r="J26" s="7">
        <v>40057</v>
      </c>
      <c r="K26" s="7">
        <v>40057</v>
      </c>
      <c r="L26" s="7">
        <f>IFERROR(INDEX(Заключение!$R$3:$R$20000,_xlfn.AGGREGATE(14,6,ROW($A$1:$G$20000)/(($E26=Заключение!$C$3:$C$20000)*($G26=Заключение!$E$3:$E$20000)),1)),EDATE(I26,INDEX(Срок!$A$1:$F$3000,MATCH(E26,Срок!$A$1:$A$3000,),MATCH("Срок",Срок!$A$1:$F$1,))))</f>
        <v>38322</v>
      </c>
      <c r="M26" s="10" t="str">
        <f t="shared" ca="1" si="0"/>
        <v>требует ЭО</v>
      </c>
      <c r="N26" s="13" t="str">
        <f>INDEX(Срок!$A$1:$F$315,MATCH(E26,Срок!$A$1:$A$315,),MATCH("Назначен",Срок!$A$1:$F$1,))</f>
        <v>гпм</v>
      </c>
      <c r="O26" s="271" t="str">
        <f t="shared" si="1"/>
        <v/>
      </c>
      <c r="P26" s="13" t="str">
        <f>INDEX(Срок!$A$1:$F$315,MATCH(E26,Срок!$A$1:$A$315,),MATCH("пс/ орд",Срок!$A$1:$F$1,))</f>
        <v>пс</v>
      </c>
      <c r="Q26" s="77"/>
      <c r="R26" s="200" t="str">
        <f>INDEX(Запол!$D$1:$J$14,MATCH(C26,Запол!$D$1:$D$14,),MATCH("Ответственный",Запол!$D$1:$J$1,))</f>
        <v>2 отдел</v>
      </c>
    </row>
    <row r="27" spans="1:18" s="116" customFormat="1" ht="12.75" customHeight="1" x14ac:dyDescent="0.2">
      <c r="A27" s="199">
        <v>1</v>
      </c>
      <c r="B27" s="77" t="str">
        <f>INDEX(Запол!A:F,MATCH(C27,Запол!D:D,),MATCH("отчет",Запол!$A$1:$F$1,))</f>
        <v>ООО</v>
      </c>
      <c r="C27" s="5" t="s">
        <v>537</v>
      </c>
      <c r="D27" s="77" t="str">
        <f>INDEX(Запол!$D$1:$F$14,MATCH(C27,Запол!$D$1:$D$14,),MATCH("Место",Запол!$D$1:$F$1,))</f>
        <v>г. Самара</v>
      </c>
      <c r="E27" s="11" t="s">
        <v>365</v>
      </c>
      <c r="F27" s="125">
        <v>935</v>
      </c>
      <c r="G27" s="6" t="s">
        <v>286</v>
      </c>
      <c r="H27" s="6" t="s">
        <v>393</v>
      </c>
      <c r="I27" s="9">
        <v>32069</v>
      </c>
      <c r="J27" s="7">
        <v>35704</v>
      </c>
      <c r="K27" s="7">
        <v>35704</v>
      </c>
      <c r="L27" s="7">
        <f>IFERROR(INDEX(Заключение!$R$3:$R$20000,_xlfn.AGGREGATE(14,6,ROW($A$1:$G$20000)/(($E27=Заключение!$C$3:$C$20000)*($G27=Заключение!$E$3:$E$20000)),1)),EDATE(I27,INDEX(Срок!$A$1:$F$3000,MATCH(E27,Срок!$A$1:$A$3000,),MATCH("Срок",Срок!$A$1:$F$1,))))</f>
        <v>35722</v>
      </c>
      <c r="M27" s="10" t="str">
        <f t="shared" ca="1" si="0"/>
        <v>требует ЭО</v>
      </c>
      <c r="N27" s="13" t="str">
        <f>INDEX(Срок!$A$1:$F$315,MATCH(E27,Срок!$A$1:$A$315,),MATCH("Назначен",Срок!$A$1:$F$1,))</f>
        <v>гпм</v>
      </c>
      <c r="O27" s="271" t="str">
        <f t="shared" si="1"/>
        <v/>
      </c>
      <c r="P27" s="13" t="str">
        <f>INDEX(Срок!$A$1:$F$315,MATCH(E27,Срок!$A$1:$A$315,),MATCH("пс/ орд",Срок!$A$1:$F$1,))</f>
        <v>пс</v>
      </c>
      <c r="Q27" s="77" t="str">
        <f>IF(INDEX(Запол!$A$1:$J$14,MATCH(C27,Запол!$D$1:$D$14,),8)="","",INDEX(Запол!$A$1:$J$14,MATCH(C27,Запол!$D$1:$D$14,),8))</f>
        <v/>
      </c>
      <c r="R27" s="200" t="str">
        <f>INDEX(Запол!$D$1:$J$14,MATCH(C27,Запол!$D$1:$D$14,),MATCH("Ответственный",Запол!$D$1:$J$1,))</f>
        <v>1 отдел</v>
      </c>
    </row>
    <row r="28" spans="1:18" s="116" customFormat="1" ht="12.75" customHeight="1" x14ac:dyDescent="0.2">
      <c r="A28" s="199"/>
      <c r="B28" s="77" t="str">
        <f>INDEX(Запол!A:F,MATCH(C28,Запол!D:D,),MATCH("отчет",Запол!$A$1:$F$1,))</f>
        <v>ООО</v>
      </c>
      <c r="C28" s="5" t="s">
        <v>537</v>
      </c>
      <c r="D28" s="77" t="str">
        <f>INDEX(Запол!$D$1:$F$14,MATCH(C28,Запол!$D$1:$D$14,),MATCH("Место",Запол!$D$1:$F$1,))</f>
        <v>г. Самара</v>
      </c>
      <c r="E28" s="11" t="s">
        <v>484</v>
      </c>
      <c r="F28" s="125">
        <v>20</v>
      </c>
      <c r="G28" s="6" t="s">
        <v>226</v>
      </c>
      <c r="H28" s="6">
        <v>1991</v>
      </c>
      <c r="I28" s="9">
        <v>35966</v>
      </c>
      <c r="J28" s="7">
        <v>40057</v>
      </c>
      <c r="K28" s="7">
        <v>40057</v>
      </c>
      <c r="L28" s="7">
        <f>IFERROR(INDEX(Заключение!$R$3:$R$20000,_xlfn.AGGREGATE(14,6,ROW($A$1:$G$20000)/(($E28=Заключение!$C$3:$C$20000)*($G28=Заключение!$E$3:$E$20000)),1)),EDATE(I28,INDEX(Срок!$A$1:$F$3000,MATCH(E28,Срок!$A$1:$A$3000,),MATCH("Срок",Срок!$A$1:$F$1,))))</f>
        <v>39619</v>
      </c>
      <c r="M28" s="10" t="str">
        <f t="shared" ca="1" si="0"/>
        <v>требует ЭО</v>
      </c>
      <c r="N28" s="13" t="str">
        <f>INDEX(Срок!$A$1:$F$315,MATCH(E28,Срок!$A$1:$A$315,),MATCH("Назначен",Срок!$A$1:$F$1,))</f>
        <v>гпм</v>
      </c>
      <c r="O28" s="271" t="str">
        <f t="shared" si="1"/>
        <v/>
      </c>
      <c r="P28" s="13" t="str">
        <f>INDEX(Срок!$A$1:$F$315,MATCH(E28,Срок!$A$1:$A$315,),MATCH("пс/ орд",Срок!$A$1:$F$1,))</f>
        <v>пс</v>
      </c>
      <c r="Q28" s="77" t="str">
        <f>IF(INDEX(Запол!$A$1:$J$14,MATCH(C28,Запол!$D$1:$D$14,),8)="","",INDEX(Запол!$A$1:$J$14,MATCH(C28,Запол!$D$1:$D$14,),8))</f>
        <v/>
      </c>
      <c r="R28" s="200" t="str">
        <f>INDEX(Запол!$D$1:$J$14,MATCH(C28,Запол!$D$1:$D$14,),MATCH("Ответственный",Запол!$D$1:$J$1,))</f>
        <v>1 отдел</v>
      </c>
    </row>
    <row r="29" spans="1:18" s="116" customFormat="1" ht="12.75" customHeight="1" x14ac:dyDescent="0.2">
      <c r="A29" s="199"/>
      <c r="B29" s="77" t="str">
        <f>INDEX(Запол!A:F,MATCH(C29,Запол!D:D,),MATCH("отчет",Запол!$A$1:$F$1,))</f>
        <v>ООО</v>
      </c>
      <c r="C29" s="5" t="s">
        <v>537</v>
      </c>
      <c r="D29" s="77" t="str">
        <f>INDEX(Запол!$D$1:$F$14,MATCH(C29,Запол!$D$1:$D$14,),MATCH("Место",Запол!$D$1:$F$1,))</f>
        <v>г. Самара</v>
      </c>
      <c r="E29" s="11" t="s">
        <v>411</v>
      </c>
      <c r="F29" s="125">
        <v>23</v>
      </c>
      <c r="G29" s="6" t="s">
        <v>227</v>
      </c>
      <c r="H29" s="6">
        <v>1984</v>
      </c>
      <c r="I29" s="9">
        <v>39619</v>
      </c>
      <c r="J29" s="7">
        <v>43850</v>
      </c>
      <c r="K29" s="7">
        <v>45311</v>
      </c>
      <c r="L29" s="7">
        <f>IFERROR(INDEX(Заключение!$R$3:$R$20000,_xlfn.AGGREGATE(14,6,ROW($A$1:$G$20000)/(($E29=Заключение!$C$3:$C$20000)*($G29=Заключение!$E$3:$E$20000)),1)),EDATE(I29,INDEX(Срок!$A$1:$F$3000,MATCH(E29,Срок!$A$1:$A$3000,),MATCH("Срок",Срок!$A$1:$F$1,))))</f>
        <v>46924</v>
      </c>
      <c r="M29" s="10" t="str">
        <f t="shared" ca="1" si="0"/>
        <v/>
      </c>
      <c r="N29" s="13" t="str">
        <f>INDEX(Срок!$A$1:$F$315,MATCH(E29,Срок!$A$1:$A$315,),MATCH("Назначен",Срок!$A$1:$F$1,))</f>
        <v>баллон</v>
      </c>
      <c r="O29" s="271" t="str">
        <f t="shared" si="1"/>
        <v/>
      </c>
      <c r="P29" s="13" t="str">
        <f>INDEX(Срок!$A$1:$F$315,MATCH(E29,Срок!$A$1:$A$315,),MATCH("пс/ орд",Срок!$A$1:$F$1,))</f>
        <v>орд</v>
      </c>
      <c r="Q29" s="77" t="str">
        <f>IF(INDEX(Запол!$A$1:$J$14,MATCH(C29,Запол!$D$1:$D$14,),8)="","",INDEX(Запол!$A$1:$J$14,MATCH(C29,Запол!$D$1:$D$14,),8))</f>
        <v/>
      </c>
      <c r="R29" s="200" t="str">
        <f>INDEX(Запол!$D$1:$J$14,MATCH(C29,Запол!$D$1:$D$14,),MATCH("Ответственный",Запол!$D$1:$J$1,))</f>
        <v>1 отдел</v>
      </c>
    </row>
    <row r="30" spans="1:18" s="116" customFormat="1" ht="12.75" customHeight="1" x14ac:dyDescent="0.2">
      <c r="A30" s="199"/>
      <c r="B30" s="77" t="str">
        <f>INDEX(Запол!A:F,MATCH(C30,Запол!D:D,),MATCH("отчет",Запол!$A$1:$F$1,))</f>
        <v>ООО</v>
      </c>
      <c r="C30" s="5" t="s">
        <v>537</v>
      </c>
      <c r="D30" s="77" t="str">
        <f>INDEX(Запол!$D$1:$F$14,MATCH(C30,Запол!$D$1:$D$14,),MATCH("Место",Запол!$D$1:$F$1,))</f>
        <v>г. Самара</v>
      </c>
      <c r="E30" s="11" t="s">
        <v>411</v>
      </c>
      <c r="F30" s="125">
        <v>24</v>
      </c>
      <c r="G30" s="6" t="s">
        <v>228</v>
      </c>
      <c r="H30" s="6">
        <v>1991</v>
      </c>
      <c r="I30" s="9">
        <v>39619</v>
      </c>
      <c r="J30" s="7">
        <v>45311</v>
      </c>
      <c r="K30" s="7">
        <v>45311</v>
      </c>
      <c r="L30" s="7">
        <f>IFERROR(INDEX(Заключение!$R$3:$R$20000,_xlfn.AGGREGATE(14,6,ROW($A$1:$G$20000)/(($E30=Заключение!$C$3:$C$20000)*($G30=Заключение!$E$3:$E$20000)),1)),EDATE(I30,INDEX(Срок!$A$1:$F$3000,MATCH(E30,Срок!$A$1:$A$3000,),MATCH("Срок",Срок!$A$1:$F$1,))))</f>
        <v>46924</v>
      </c>
      <c r="M30" s="10" t="str">
        <f t="shared" ca="1" si="0"/>
        <v/>
      </c>
      <c r="N30" s="13" t="str">
        <f>INDEX(Срок!$A$1:$F$315,MATCH(E30,Срок!$A$1:$A$315,),MATCH("Назначен",Срок!$A$1:$F$1,))</f>
        <v>баллон</v>
      </c>
      <c r="O30" s="271" t="str">
        <f t="shared" si="1"/>
        <v/>
      </c>
      <c r="P30" s="13" t="str">
        <f>INDEX(Срок!$A$1:$F$315,MATCH(E30,Срок!$A$1:$A$315,),MATCH("пс/ орд",Срок!$A$1:$F$1,))</f>
        <v>орд</v>
      </c>
      <c r="Q30" s="77" t="str">
        <f>IF(INDEX(Запол!$A$1:$J$14,MATCH(C30,Запол!$D$1:$D$14,),8)="","",INDEX(Запол!$A$1:$J$14,MATCH(C30,Запол!$D$1:$D$14,),8))</f>
        <v/>
      </c>
      <c r="R30" s="200" t="str">
        <f>INDEX(Запол!$D$1:$J$14,MATCH(C30,Запол!$D$1:$D$14,),MATCH("Ответственный",Запол!$D$1:$J$1,))</f>
        <v>1 отдел</v>
      </c>
    </row>
    <row r="31" spans="1:18" s="116" customFormat="1" ht="12.75" customHeight="1" x14ac:dyDescent="0.2">
      <c r="A31" s="199"/>
      <c r="B31" s="77" t="str">
        <f>INDEX(Запол!A:F,MATCH(C31,Запол!D:D,),MATCH("отчет",Запол!$A$1:$F$1,))</f>
        <v>ООО</v>
      </c>
      <c r="C31" s="5" t="s">
        <v>537</v>
      </c>
      <c r="D31" s="77" t="str">
        <f>INDEX(Запол!$D$1:$F$14,MATCH(C31,Запол!$D$1:$D$14,),MATCH("Место",Запол!$D$1:$F$1,))</f>
        <v>г. Самара</v>
      </c>
      <c r="E31" s="11" t="s">
        <v>411</v>
      </c>
      <c r="F31" s="125">
        <v>25</v>
      </c>
      <c r="G31" s="6" t="s">
        <v>229</v>
      </c>
      <c r="H31" s="6">
        <v>1991</v>
      </c>
      <c r="I31" s="9">
        <v>39619</v>
      </c>
      <c r="J31" s="7">
        <v>45311</v>
      </c>
      <c r="K31" s="7">
        <v>45311</v>
      </c>
      <c r="L31" s="7">
        <f>IFERROR(INDEX(Заключение!$R$3:$R$20000,_xlfn.AGGREGATE(14,6,ROW($A$1:$G$20000)/(($E31=Заключение!$C$3:$C$20000)*($G31=Заключение!$E$3:$E$20000)),1)),EDATE(I31,INDEX(Срок!$A$1:$F$3000,MATCH(E31,Срок!$A$1:$A$3000,),MATCH("Срок",Срок!$A$1:$F$1,))))</f>
        <v>46924</v>
      </c>
      <c r="M31" s="10" t="str">
        <f t="shared" ca="1" si="0"/>
        <v/>
      </c>
      <c r="N31" s="13" t="str">
        <f>INDEX(Срок!$A$1:$F$315,MATCH(E31,Срок!$A$1:$A$315,),MATCH("Назначен",Срок!$A$1:$F$1,))</f>
        <v>баллон</v>
      </c>
      <c r="O31" s="271" t="str">
        <f t="shared" si="1"/>
        <v/>
      </c>
      <c r="P31" s="13" t="str">
        <f>INDEX(Срок!$A$1:$F$315,MATCH(E31,Срок!$A$1:$A$315,),MATCH("пс/ орд",Срок!$A$1:$F$1,))</f>
        <v>орд</v>
      </c>
      <c r="Q31" s="77" t="str">
        <f>IF(INDEX(Запол!$A$1:$J$14,MATCH(C31,Запол!$D$1:$D$14,),8)="","",INDEX(Запол!$A$1:$J$14,MATCH(C31,Запол!$D$1:$D$14,),8))</f>
        <v/>
      </c>
      <c r="R31" s="200" t="str">
        <f>INDEX(Запол!$D$1:$J$14,MATCH(C31,Запол!$D$1:$D$14,),MATCH("Ответственный",Запол!$D$1:$J$1,))</f>
        <v>1 отдел</v>
      </c>
    </row>
    <row r="32" spans="1:18" s="116" customFormat="1" ht="12.75" customHeight="1" x14ac:dyDescent="0.2">
      <c r="A32" s="199"/>
      <c r="B32" s="77" t="str">
        <f>INDEX(Запол!A:F,MATCH(C32,Запол!D:D,),MATCH("отчет",Запол!$A$1:$F$1,))</f>
        <v>ООО</v>
      </c>
      <c r="C32" s="5" t="s">
        <v>537</v>
      </c>
      <c r="D32" s="77" t="str">
        <f>INDEX(Запол!$D$1:$F$14,MATCH(C32,Запол!$D$1:$D$14,),MATCH("Место",Запол!$D$1:$F$1,))</f>
        <v>г. Самара</v>
      </c>
      <c r="E32" s="11" t="s">
        <v>31</v>
      </c>
      <c r="F32" s="125">
        <v>556</v>
      </c>
      <c r="G32" s="6" t="s">
        <v>9</v>
      </c>
      <c r="H32" s="6">
        <v>1972</v>
      </c>
      <c r="I32" s="9">
        <v>26444</v>
      </c>
      <c r="J32" s="7">
        <v>33725</v>
      </c>
      <c r="K32" s="7">
        <v>33725</v>
      </c>
      <c r="L32" s="7">
        <f>IFERROR(INDEX(Заключение!$R$3:$R$20000,_xlfn.AGGREGATE(14,6,ROW($A$1:$G$20000)/(($E32=Заключение!$C$3:$C$20000)*($G32=Заключение!$E$3:$E$20000)),1)),EDATE(I32,INDEX(Срок!$A$1:$F$3000,MATCH(E32,Срок!$A$1:$A$3000,),MATCH("Срок",Срок!$A$1:$F$1,))))</f>
        <v>33749</v>
      </c>
      <c r="M32" s="10" t="str">
        <f t="shared" ca="1" si="0"/>
        <v>требует ЭО</v>
      </c>
      <c r="N32" s="13" t="str">
        <f>INDEX(Срок!$A$1:$F$315,MATCH(E32,Срок!$A$1:$A$315,),MATCH("Назначен",Срок!$A$1:$F$1,))</f>
        <v>сосуд</v>
      </c>
      <c r="O32" s="271" t="str">
        <f t="shared" si="1"/>
        <v/>
      </c>
      <c r="P32" s="13" t="str">
        <f>INDEX(Срок!$A$1:$F$315,MATCH(E32,Срок!$A$1:$A$315,),MATCH("пс/ орд",Срок!$A$1:$F$1,))</f>
        <v>орд</v>
      </c>
      <c r="Q32" s="77" t="str">
        <f>IF(INDEX(Запол!$A$1:$J$14,MATCH(C32,Запол!$D$1:$D$14,),8)="","",INDEX(Запол!$A$1:$J$14,MATCH(C32,Запол!$D$1:$D$14,),8))</f>
        <v/>
      </c>
      <c r="R32" s="200" t="str">
        <f>INDEX(Запол!$D$1:$J$14,MATCH(C32,Запол!$D$1:$D$14,),MATCH("Ответственный",Запол!$D$1:$J$1,))</f>
        <v>1 отдел</v>
      </c>
    </row>
    <row r="33" spans="1:18" s="116" customFormat="1" ht="12.75" customHeight="1" x14ac:dyDescent="0.2">
      <c r="A33" s="199"/>
      <c r="B33" s="77" t="str">
        <f>INDEX(Запол!A:F,MATCH(C33,Запол!D:D,),MATCH("отчет",Запол!$A$1:$F$1,))</f>
        <v>ООО</v>
      </c>
      <c r="C33" s="5" t="s">
        <v>537</v>
      </c>
      <c r="D33" s="77" t="str">
        <f>INDEX(Запол!$D$1:$F$14,MATCH(C33,Запол!$D$1:$D$14,),MATCH("Место",Запол!$D$1:$F$1,))</f>
        <v>г. Самара</v>
      </c>
      <c r="E33" s="11" t="s">
        <v>79</v>
      </c>
      <c r="F33" s="125">
        <v>561</v>
      </c>
      <c r="G33" s="6" t="s">
        <v>139</v>
      </c>
      <c r="H33" s="6">
        <v>1963</v>
      </c>
      <c r="I33" s="9">
        <v>23151</v>
      </c>
      <c r="J33" s="7">
        <v>28626</v>
      </c>
      <c r="K33" s="7">
        <v>28626</v>
      </c>
      <c r="L33" s="7">
        <f>IFERROR(INDEX(Заключение!$R$3:$R$20000,_xlfn.AGGREGATE(14,6,ROW($A$1:$G$20000)/(($E33=Заключение!$C$3:$C$20000)*($G33=Заключение!$E$3:$E$20000)),1)),EDATE(I33,INDEX(Срок!$A$1:$F$3000,MATCH(E33,Срок!$A$1:$A$3000,),MATCH("Срок",Срок!$A$1:$F$1,))))</f>
        <v>28630</v>
      </c>
      <c r="M33" s="10" t="str">
        <f t="shared" ca="1" si="0"/>
        <v>требует ЭО</v>
      </c>
      <c r="N33" s="13" t="str">
        <f>INDEX(Срок!$A$1:$F$315,MATCH(E33,Срок!$A$1:$A$315,),MATCH("Назначен",Срок!$A$1:$F$1,))</f>
        <v>сосуд</v>
      </c>
      <c r="O33" s="271" t="str">
        <f t="shared" si="1"/>
        <v/>
      </c>
      <c r="P33" s="13" t="str">
        <f>INDEX(Срок!$A$1:$F$315,MATCH(E33,Срок!$A$1:$A$315,),MATCH("пс/ орд",Срок!$A$1:$F$1,))</f>
        <v>орд</v>
      </c>
      <c r="Q33" s="77" t="str">
        <f>IF(INDEX(Запол!$A$1:$J$14,MATCH(C33,Запол!$D$1:$D$14,),8)="","",INDEX(Запол!$A$1:$J$14,MATCH(C33,Запол!$D$1:$D$14,),8))</f>
        <v/>
      </c>
      <c r="R33" s="200" t="str">
        <f>INDEX(Запол!$D$1:$J$14,MATCH(C33,Запол!$D$1:$D$14,),MATCH("Ответственный",Запол!$D$1:$J$1,))</f>
        <v>1 отдел</v>
      </c>
    </row>
    <row r="34" spans="1:18" s="116" customFormat="1" ht="12.75" customHeight="1" x14ac:dyDescent="0.2">
      <c r="A34" s="199"/>
      <c r="B34" s="77" t="str">
        <f>INDEX(Запол!A:F,MATCH(C34,Запол!D:D,),MATCH("отчет",Запол!$A$1:$F$1,))</f>
        <v>ООО</v>
      </c>
      <c r="C34" s="5" t="s">
        <v>537</v>
      </c>
      <c r="D34" s="77" t="str">
        <f>INDEX(Запол!$D$1:$F$14,MATCH(C34,Запол!$D$1:$D$14,),MATCH("Место",Запол!$D$1:$F$1,))</f>
        <v>г. Самара</v>
      </c>
      <c r="E34" s="11" t="s">
        <v>79</v>
      </c>
      <c r="F34" s="125">
        <v>570</v>
      </c>
      <c r="G34" s="6" t="s">
        <v>476</v>
      </c>
      <c r="H34" s="6" t="s">
        <v>691</v>
      </c>
      <c r="I34" s="9">
        <v>42273</v>
      </c>
      <c r="J34" s="7">
        <v>45536</v>
      </c>
      <c r="K34" s="7">
        <v>46997</v>
      </c>
      <c r="L34" s="7">
        <f>IFERROR(INDEX(Заключение!$R$3:$R$20000,_xlfn.AGGREGATE(14,6,ROW($A$1:$G$20000)/(($E34=Заключение!$C$3:$C$20000)*($G34=Заключение!$E$3:$E$20000)),1)),EDATE(I34,INDEX(Срок!$A$1:$F$3000,MATCH(E34,Срок!$A$1:$A$3000,),MATCH("Срок",Срок!$A$1:$F$1,))))</f>
        <v>47752</v>
      </c>
      <c r="M34" s="10" t="str">
        <f t="shared" ca="1" si="0"/>
        <v/>
      </c>
      <c r="N34" s="13" t="str">
        <f>INDEX(Срок!$A$1:$F$315,MATCH(E34,Срок!$A$1:$A$315,),MATCH("Назначен",Срок!$A$1:$F$1,))</f>
        <v>сосуд</v>
      </c>
      <c r="O34" s="271" t="str">
        <f t="shared" si="1"/>
        <v/>
      </c>
      <c r="P34" s="13" t="str">
        <f>INDEX(Срок!$A$1:$F$315,MATCH(E34,Срок!$A$1:$A$315,),MATCH("пс/ орд",Срок!$A$1:$F$1,))</f>
        <v>орд</v>
      </c>
      <c r="Q34" s="77" t="str">
        <f>IF(INDEX(Запол!$A$1:$J$14,MATCH(C34,Запол!$D$1:$D$14,),8)="","",INDEX(Запол!$A$1:$J$14,MATCH(C34,Запол!$D$1:$D$14,),8))</f>
        <v/>
      </c>
      <c r="R34" s="200" t="str">
        <f>INDEX(Запол!$D$1:$J$14,MATCH(C34,Запол!$D$1:$D$14,),MATCH("Ответственный",Запол!$D$1:$J$1,))</f>
        <v>1 отдел</v>
      </c>
    </row>
    <row r="35" spans="1:18" s="116" customFormat="1" ht="12.75" customHeight="1" x14ac:dyDescent="0.2">
      <c r="A35" s="199"/>
      <c r="B35" s="77" t="str">
        <f>INDEX(Запол!A:F,MATCH(C35,Запол!D:D,),MATCH("отчет",Запол!$A$1:$F$1,))</f>
        <v>ООО</v>
      </c>
      <c r="C35" s="5" t="s">
        <v>537</v>
      </c>
      <c r="D35" s="77" t="str">
        <f>INDEX(Запол!$D$1:$F$14,MATCH(C35,Запол!$D$1:$D$14,),MATCH("Место",Запол!$D$1:$F$1,))</f>
        <v>г. Самара</v>
      </c>
      <c r="E35" s="11" t="s">
        <v>131</v>
      </c>
      <c r="F35" s="125">
        <v>71</v>
      </c>
      <c r="G35" s="6" t="s">
        <v>391</v>
      </c>
      <c r="H35" s="6" t="s">
        <v>690</v>
      </c>
      <c r="I35" s="9">
        <v>29068</v>
      </c>
      <c r="J35" s="7">
        <v>38565</v>
      </c>
      <c r="K35" s="7">
        <v>38565</v>
      </c>
      <c r="L35" s="7">
        <f>IFERROR(INDEX(Заключение!$R$3:$R$20000,_xlfn.AGGREGATE(14,6,ROW($A$1:$G$20000)/(($E35=Заключение!$C$3:$C$20000)*($G35=Заключение!$E$3:$E$20000)),1)),EDATE(I35,INDEX(Срок!$A$1:$F$3000,MATCH(E35,Срок!$A$1:$A$3000,),MATCH("Срок",Срок!$A$1:$F$1,))))</f>
        <v>34912</v>
      </c>
      <c r="M35" s="10" t="str">
        <f t="shared" ca="1" si="0"/>
        <v>требует ЭО</v>
      </c>
      <c r="N35" s="13" t="str">
        <f>INDEX(Срок!$A$1:$F$315,MATCH(E35,Срок!$A$1:$A$315,),MATCH("Назначен",Срок!$A$1:$F$1,))</f>
        <v>гпм</v>
      </c>
      <c r="O35" s="271" t="str">
        <f t="shared" si="1"/>
        <v/>
      </c>
      <c r="P35" s="13" t="str">
        <f>INDEX(Срок!$A$1:$F$315,MATCH(E35,Срок!$A$1:$A$315,),MATCH("пс/ орд",Срок!$A$1:$F$1,))</f>
        <v>пс</v>
      </c>
      <c r="Q35" s="77" t="str">
        <f>IF(INDEX(Запол!$A$1:$J$14,MATCH(C35,Запол!$D$1:$D$14,),8)="","",INDEX(Запол!$A$1:$J$14,MATCH(C35,Запол!$D$1:$D$14,),8))</f>
        <v/>
      </c>
      <c r="R35" s="200" t="str">
        <f>INDEX(Запол!$D$1:$J$14,MATCH(C35,Запол!$D$1:$D$14,),MATCH("Ответственный",Запол!$D$1:$J$1,))</f>
        <v>1 отдел</v>
      </c>
    </row>
    <row r="36" spans="1:18" s="116" customFormat="1" ht="12.75" customHeight="1" x14ac:dyDescent="0.2">
      <c r="A36" s="199"/>
      <c r="B36" s="77" t="str">
        <f>INDEX(Запол!A:F,MATCH(C36,Запол!D:D,),MATCH("отчет",Запол!$A$1:$F$1,))</f>
        <v>ООО</v>
      </c>
      <c r="C36" s="5" t="s">
        <v>537</v>
      </c>
      <c r="D36" s="77" t="str">
        <f>INDEX(Запол!$D$1:$F$14,MATCH(C36,Запол!$D$1:$D$14,),MATCH("Место",Запол!$D$1:$F$1,))</f>
        <v>г. Самара</v>
      </c>
      <c r="E36" s="11" t="s">
        <v>283</v>
      </c>
      <c r="F36" s="125">
        <v>764</v>
      </c>
      <c r="G36" s="6" t="s">
        <v>132</v>
      </c>
      <c r="H36" s="6" t="s">
        <v>93</v>
      </c>
      <c r="I36" s="9">
        <v>34274</v>
      </c>
      <c r="J36" s="7">
        <v>38565</v>
      </c>
      <c r="K36" s="7">
        <v>38565</v>
      </c>
      <c r="L36" s="7">
        <f>IFERROR(INDEX(Заключение!$R$3:$R$20000,_xlfn.AGGREGATE(14,6,ROW($A$1:$G$20000)/(($E36=Заключение!$C$3:$C$20000)*($G36=Заключение!$E$3:$E$20000)),1)),EDATE(I36,INDEX(Срок!$A$1:$F$3000,MATCH(E36,Срок!$A$1:$A$3000,),MATCH("Срок",Срок!$A$1:$F$1,))))</f>
        <v>37926</v>
      </c>
      <c r="M36" s="10" t="str">
        <f t="shared" ca="1" si="0"/>
        <v>требует ЭО</v>
      </c>
      <c r="N36" s="13" t="str">
        <f>INDEX(Срок!$A$1:$F$315,MATCH(E36,Срок!$A$1:$A$315,),MATCH("Назначен",Срок!$A$1:$F$1,))</f>
        <v>гпм</v>
      </c>
      <c r="O36" s="271" t="str">
        <f t="shared" si="1"/>
        <v/>
      </c>
      <c r="P36" s="13" t="str">
        <f>INDEX(Срок!$A$1:$F$315,MATCH(E36,Срок!$A$1:$A$315,),MATCH("пс/ орд",Срок!$A$1:$F$1,))</f>
        <v>пс</v>
      </c>
      <c r="Q36" s="77" t="str">
        <f>IF(INDEX(Запол!$A$1:$J$14,MATCH(C36,Запол!$D$1:$D$14,),8)="","",INDEX(Запол!$A$1:$J$14,MATCH(C36,Запол!$D$1:$D$14,),8))</f>
        <v/>
      </c>
      <c r="R36" s="200" t="str">
        <f>INDEX(Запол!$D$1:$J$14,MATCH(C36,Запол!$D$1:$D$14,),MATCH("Ответственный",Запол!$D$1:$J$1,))</f>
        <v>1 отдел</v>
      </c>
    </row>
    <row r="37" spans="1:18" s="116" customFormat="1" ht="12.75" customHeight="1" x14ac:dyDescent="0.2">
      <c r="A37" s="199"/>
      <c r="B37" s="77" t="str">
        <f>INDEX(Запол!A:F,MATCH(C37,Запол!D:D,),MATCH("отчет",Запол!$A$1:$F$1,))</f>
        <v>ООО</v>
      </c>
      <c r="C37" s="5" t="s">
        <v>537</v>
      </c>
      <c r="D37" s="77" t="str">
        <f>INDEX(Запол!$D$1:$F$14,MATCH(C37,Запол!$D$1:$D$14,),MATCH("Место",Запол!$D$1:$F$1,))</f>
        <v>г. Самара</v>
      </c>
      <c r="E37" s="11" t="s">
        <v>148</v>
      </c>
      <c r="F37" s="125">
        <v>134</v>
      </c>
      <c r="G37" s="6" t="s">
        <v>116</v>
      </c>
      <c r="H37" s="6">
        <v>1984</v>
      </c>
      <c r="I37" s="9">
        <v>33878</v>
      </c>
      <c r="J37" s="7">
        <v>37528</v>
      </c>
      <c r="K37" s="7">
        <v>37528</v>
      </c>
      <c r="L37" s="7">
        <f>IFERROR(INDEX(Заключение!$R$3:$R$20000,_xlfn.AGGREGATE(14,6,ROW($A$1:$G$20000)/(($E37=Заключение!$C$3:$C$20000)*($G37=Заключение!$E$3:$E$20000)),1)),EDATE(I37,INDEX(Срок!$A$1:$F$3000,MATCH(E37,Срок!$A$1:$A$3000,),MATCH("Срок",Срок!$A$1:$F$1,))))</f>
        <v>37530</v>
      </c>
      <c r="M37" s="10" t="str">
        <f t="shared" ca="1" si="0"/>
        <v>требует ЭО</v>
      </c>
      <c r="N37" s="13" t="str">
        <f>INDEX(Срок!$A$1:$F$315,MATCH(E37,Срок!$A$1:$A$315,),MATCH("Назначен",Срок!$A$1:$F$1,))</f>
        <v>гпм</v>
      </c>
      <c r="O37" s="271" t="str">
        <f t="shared" si="1"/>
        <v/>
      </c>
      <c r="P37" s="13" t="str">
        <f>INDEX(Срок!$A$1:$F$315,MATCH(E37,Срок!$A$1:$A$315,),MATCH("пс/ орд",Срок!$A$1:$F$1,))</f>
        <v>пс</v>
      </c>
      <c r="Q37" s="77" t="str">
        <f>IF(INDEX(Запол!$A$1:$J$14,MATCH(C37,Запол!$D$1:$D$14,),8)="","",INDEX(Запол!$A$1:$J$14,MATCH(C37,Запол!$D$1:$D$14,),8))</f>
        <v/>
      </c>
      <c r="R37" s="200" t="str">
        <f>INDEX(Запол!$D$1:$J$14,MATCH(C37,Запол!$D$1:$D$14,),MATCH("Ответственный",Запол!$D$1:$J$1,))</f>
        <v>1 отдел</v>
      </c>
    </row>
    <row r="38" spans="1:18" s="116" customFormat="1" ht="12.75" customHeight="1" x14ac:dyDescent="0.2">
      <c r="A38" s="199">
        <v>1</v>
      </c>
      <c r="B38" s="77" t="str">
        <f>INDEX(Запол!A:F,MATCH(C38,Запол!D:D,),MATCH("отчет",Запол!$A$1:$F$1,))</f>
        <v>ООО</v>
      </c>
      <c r="C38" s="5" t="s">
        <v>561</v>
      </c>
      <c r="D38" s="77" t="str">
        <f>INDEX(Запол!$D$1:$F$14,MATCH(C38,Запол!$D$1:$D$14,),MATCH("Место",Запол!$D$1:$F$1,))</f>
        <v>с. Троицкое</v>
      </c>
      <c r="E38" s="11" t="s">
        <v>131</v>
      </c>
      <c r="F38" s="125">
        <v>1291</v>
      </c>
      <c r="G38" s="6" t="s">
        <v>399</v>
      </c>
      <c r="H38" s="6">
        <v>1962</v>
      </c>
      <c r="I38" s="9">
        <v>22827</v>
      </c>
      <c r="J38" s="7">
        <v>28667</v>
      </c>
      <c r="K38" s="7">
        <v>28667</v>
      </c>
      <c r="L38" s="7">
        <f>IFERROR(INDEX(Заключение!$R$3:$R$20000,_xlfn.AGGREGATE(14,6,ROW($A$1:$G$20000)/(($E38=Заключение!$C$3:$C$20000)*($G38=Заключение!$E$3:$E$20000)),1)),EDATE(I38,INDEX(Срок!$A$1:$F$3000,MATCH(E38,Срок!$A$1:$A$3000,),MATCH("Срок",Срок!$A$1:$F$1,))))</f>
        <v>28671</v>
      </c>
      <c r="M38" s="10" t="str">
        <f t="shared" ca="1" si="0"/>
        <v>требует ЭО</v>
      </c>
      <c r="N38" s="13" t="str">
        <f>INDEX(Срок!$A$1:$F$315,MATCH(E38,Срок!$A$1:$A$315,),MATCH("Назначен",Срок!$A$1:$F$1,))</f>
        <v>гпм</v>
      </c>
      <c r="O38" s="271" t="str">
        <f t="shared" si="1"/>
        <v/>
      </c>
      <c r="P38" s="13" t="str">
        <f>INDEX(Срок!$A$1:$F$315,MATCH(E38,Срок!$A$1:$A$315,),MATCH("пс/ орд",Срок!$A$1:$F$1,))</f>
        <v>пс</v>
      </c>
      <c r="Q38" s="77" t="str">
        <f>IF(INDEX(Запол!$A$1:$J$14,MATCH(C38,Запол!$D$1:$D$14,),8)="","",INDEX(Запол!$A$1:$J$14,MATCH(C38,Запол!$D$1:$D$14,),8))</f>
        <v>г. Оренбург</v>
      </c>
      <c r="R38" s="200" t="str">
        <f>INDEX(Запол!$D$1:$J$14,MATCH(C38,Запол!$D$1:$D$14,),MATCH("Ответственный",Запол!$D$1:$J$1,))</f>
        <v>3 отдел</v>
      </c>
    </row>
    <row r="39" spans="1:18" s="116" customFormat="1" ht="12.75" customHeight="1" x14ac:dyDescent="0.2">
      <c r="A39" s="199"/>
      <c r="B39" s="77" t="str">
        <f>INDEX(Запол!A:F,MATCH(C39,Запол!D:D,),MATCH("отчет",Запол!$A$1:$F$1,))</f>
        <v>ООО</v>
      </c>
      <c r="C39" s="5" t="s">
        <v>561</v>
      </c>
      <c r="D39" s="77" t="str">
        <f>INDEX(Запол!$D$1:$F$14,MATCH(C39,Запол!$D$1:$D$14,),MATCH("Место",Запол!$D$1:$F$1,))</f>
        <v>с. Троицкое</v>
      </c>
      <c r="E39" s="11" t="s">
        <v>374</v>
      </c>
      <c r="F39" s="10"/>
      <c r="G39" s="6" t="s">
        <v>256</v>
      </c>
      <c r="H39" s="6" t="s">
        <v>629</v>
      </c>
      <c r="I39" s="9">
        <v>33482</v>
      </c>
      <c r="J39" s="7">
        <v>37136</v>
      </c>
      <c r="K39" s="7">
        <v>37136</v>
      </c>
      <c r="L39" s="7">
        <f>IFERROR(INDEX(Заключение!$R$3:$R$20000,_xlfn.AGGREGATE(14,6,ROW($A$1:$G$20000)/(($E39=Заключение!$C$3:$C$20000)*($G39=Заключение!$E$3:$E$20000)),1)),EDATE(I39,INDEX(Срок!$A$1:$F$3000,MATCH(E39,Срок!$A$1:$A$3000,),MATCH("Срок",Срок!$A$1:$F$1,))))</f>
        <v>37135</v>
      </c>
      <c r="M39" s="10" t="str">
        <f t="shared" ca="1" si="0"/>
        <v>требует ЭО</v>
      </c>
      <c r="N39" s="13" t="str">
        <f>INDEX(Срок!$A$1:$F$315,MATCH(E39,Срок!$A$1:$A$315,),MATCH("Назначен",Срок!$A$1:$F$1,))</f>
        <v>гпм</v>
      </c>
      <c r="O39" s="271" t="str">
        <f t="shared" si="1"/>
        <v/>
      </c>
      <c r="P39" s="13" t="str">
        <f>INDEX(Срок!$A$1:$F$315,MATCH(E39,Срок!$A$1:$A$315,),MATCH("пс/ орд",Срок!$A$1:$F$1,))</f>
        <v>пс</v>
      </c>
      <c r="Q39" s="77" t="s">
        <v>630</v>
      </c>
      <c r="R39" s="200" t="str">
        <f>INDEX(Запол!$D$1:$J$14,MATCH(C39,Запол!$D$1:$D$14,),MATCH("Ответственный",Запол!$D$1:$J$1,))</f>
        <v>3 отдел</v>
      </c>
    </row>
    <row r="40" spans="1:18" s="116" customFormat="1" ht="12.75" customHeight="1" x14ac:dyDescent="0.2">
      <c r="A40" s="199">
        <v>1</v>
      </c>
      <c r="B40" s="77" t="str">
        <f>INDEX(Запол!A:F,MATCH(C40,Запол!D:D,),MATCH("отчет",Запол!$A$1:$F$1,))</f>
        <v>ЗАО</v>
      </c>
      <c r="C40" s="5" t="s">
        <v>565</v>
      </c>
      <c r="D40" s="77" t="str">
        <f>INDEX(Запол!$D$1:$F$14,MATCH(C40,Запол!$D$1:$D$14,),MATCH("Место",Запол!$D$1:$F$1,))</f>
        <v>г. Сызрань</v>
      </c>
      <c r="E40" s="11" t="s">
        <v>6</v>
      </c>
      <c r="F40" s="125">
        <v>276</v>
      </c>
      <c r="G40" s="6" t="s">
        <v>50</v>
      </c>
      <c r="H40" s="6">
        <v>1988</v>
      </c>
      <c r="I40" s="9">
        <v>32335</v>
      </c>
      <c r="J40" s="7">
        <v>39630</v>
      </c>
      <c r="K40" s="7">
        <v>39630</v>
      </c>
      <c r="L40" s="7">
        <f>IFERROR(INDEX(Заключение!$R$3:$R$20000,_xlfn.AGGREGATE(14,6,ROW($A$1:$G$20000)/(($E40=Заключение!$C$3:$C$20000)*($G40=Заключение!$E$3:$E$20000)),1)),EDATE(I40,INDEX(Срок!$A$1:$F$3000,MATCH(E40,Срок!$A$1:$A$3000,),MATCH("Срок",Срок!$A$1:$F$1,))))</f>
        <v>39640</v>
      </c>
      <c r="M40" s="10" t="str">
        <f t="shared" ca="1" si="0"/>
        <v>требует ЭО</v>
      </c>
      <c r="N40" s="13" t="str">
        <f>INDEX(Срок!$A$1:$F$315,MATCH(E40,Срок!$A$1:$A$315,),MATCH("Назначен",Срок!$A$1:$F$1,))</f>
        <v>сосуд</v>
      </c>
      <c r="O40" s="271" t="str">
        <f t="shared" si="1"/>
        <v/>
      </c>
      <c r="P40" s="13" t="str">
        <f>INDEX(Срок!$A$1:$F$315,MATCH(E40,Срок!$A$1:$A$315,),MATCH("пс/ орд",Срок!$A$1:$F$1,))</f>
        <v>орд</v>
      </c>
      <c r="Q40" s="77" t="str">
        <f>IF(INDEX(Запол!$A$1:$J$14,MATCH(C40,Запол!$D$1:$D$14,),8)="","",INDEX(Запол!$A$1:$J$14,MATCH(C40,Запол!$D$1:$D$14,),8))</f>
        <v/>
      </c>
      <c r="R40" s="200" t="str">
        <f>INDEX(Запол!$D$1:$J$14,MATCH(C40,Запол!$D$1:$D$14,),MATCH("Ответственный",Запол!$D$1:$J$1,))</f>
        <v>3 отдел</v>
      </c>
    </row>
    <row r="41" spans="1:18" s="116" customFormat="1" ht="12.75" customHeight="1" x14ac:dyDescent="0.2">
      <c r="A41" s="199"/>
      <c r="B41" s="77" t="str">
        <f>INDEX(Запол!A:F,MATCH(C41,Запол!D:D,),MATCH("отчет",Запол!$A$1:$F$1,))</f>
        <v>ЗАО</v>
      </c>
      <c r="C41" s="5" t="s">
        <v>565</v>
      </c>
      <c r="D41" s="77" t="str">
        <f>INDEX(Запол!$D$1:$F$14,MATCH(C41,Запол!$D$1:$D$14,),MATCH("Место",Запол!$D$1:$F$1,))</f>
        <v>г. Сызрань</v>
      </c>
      <c r="E41" s="11" t="s">
        <v>6</v>
      </c>
      <c r="F41" s="125">
        <v>322</v>
      </c>
      <c r="G41" s="6" t="s">
        <v>98</v>
      </c>
      <c r="H41" s="6">
        <v>1988</v>
      </c>
      <c r="I41" s="9">
        <v>32335</v>
      </c>
      <c r="J41" s="7">
        <v>39631</v>
      </c>
      <c r="K41" s="7">
        <v>39631</v>
      </c>
      <c r="L41" s="7">
        <f>IFERROR(INDEX(Заключение!$R$3:$R$20000,_xlfn.AGGREGATE(14,6,ROW($A$1:$G$20000)/(($E41=Заключение!$C$3:$C$20000)*($G41=Заключение!$E$3:$E$20000)),1)),EDATE(I41,INDEX(Срок!$A$1:$F$3000,MATCH(E41,Срок!$A$1:$A$3000,),MATCH("Срок",Срок!$A$1:$F$1,))))</f>
        <v>39640</v>
      </c>
      <c r="M41" s="10" t="str">
        <f t="shared" ca="1" si="0"/>
        <v>требует ЭО</v>
      </c>
      <c r="N41" s="13" t="str">
        <f>INDEX(Срок!$A$1:$F$315,MATCH(E41,Срок!$A$1:$A$315,),MATCH("Назначен",Срок!$A$1:$F$1,))</f>
        <v>сосуд</v>
      </c>
      <c r="O41" s="271" t="str">
        <f t="shared" si="1"/>
        <v/>
      </c>
      <c r="P41" s="13" t="str">
        <f>INDEX(Срок!$A$1:$F$315,MATCH(E41,Срок!$A$1:$A$315,),MATCH("пс/ орд",Срок!$A$1:$F$1,))</f>
        <v>орд</v>
      </c>
      <c r="Q41" s="77" t="str">
        <f>IF(INDEX(Запол!$A$1:$J$14,MATCH(C41,Запол!$D$1:$D$14,),8)="","",INDEX(Запол!$A$1:$J$14,MATCH(C41,Запол!$D$1:$D$14,),8))</f>
        <v/>
      </c>
      <c r="R41" s="200" t="str">
        <f>INDEX(Запол!$D$1:$J$14,MATCH(C41,Запол!$D$1:$D$14,),MATCH("Ответственный",Запол!$D$1:$J$1,))</f>
        <v>3 отдел</v>
      </c>
    </row>
    <row r="42" spans="1:18" s="116" customFormat="1" ht="12.75" customHeight="1" x14ac:dyDescent="0.2">
      <c r="A42" s="199"/>
      <c r="B42" s="77" t="str">
        <f>INDEX(Запол!A:F,MATCH(C42,Запол!D:D,),MATCH("отчет",Запол!$A$1:$F$1,))</f>
        <v>ЗАО</v>
      </c>
      <c r="C42" s="5" t="s">
        <v>565</v>
      </c>
      <c r="D42" s="77" t="str">
        <f>INDEX(Запол!$D$1:$F$14,MATCH(C42,Запол!$D$1:$D$14,),MATCH("Место",Запол!$D$1:$F$1,))</f>
        <v>г. Сызрань</v>
      </c>
      <c r="E42" s="11" t="s">
        <v>31</v>
      </c>
      <c r="F42" s="125">
        <v>349</v>
      </c>
      <c r="G42" s="6" t="s">
        <v>387</v>
      </c>
      <c r="H42" s="6">
        <v>1963</v>
      </c>
      <c r="I42" s="9">
        <v>23149</v>
      </c>
      <c r="J42" s="7">
        <v>30437</v>
      </c>
      <c r="K42" s="7">
        <v>30437</v>
      </c>
      <c r="L42" s="7">
        <f>IFERROR(INDEX(Заключение!$R$3:$R$20000,_xlfn.AGGREGATE(14,6,ROW($A$1:$G$20000)/(($E42=Заключение!$C$3:$C$20000)*($G42=Заключение!$E$3:$E$20000)),1)),EDATE(I42,INDEX(Срок!$A$1:$F$3000,MATCH(E42,Срок!$A$1:$A$3000,),MATCH("Срок",Срок!$A$1:$F$1,))))</f>
        <v>30454</v>
      </c>
      <c r="M42" s="10" t="str">
        <f t="shared" ca="1" si="0"/>
        <v>требует ЭО</v>
      </c>
      <c r="N42" s="13" t="str">
        <f>INDEX(Срок!$A$1:$F$315,MATCH(E42,Срок!$A$1:$A$315,),MATCH("Назначен",Срок!$A$1:$F$1,))</f>
        <v>сосуд</v>
      </c>
      <c r="O42" s="271" t="str">
        <f t="shared" si="1"/>
        <v/>
      </c>
      <c r="P42" s="13" t="str">
        <f>INDEX(Срок!$A$1:$F$315,MATCH(E42,Срок!$A$1:$A$315,),MATCH("пс/ орд",Срок!$A$1:$F$1,))</f>
        <v>орд</v>
      </c>
      <c r="Q42" s="77" t="str">
        <f>IF(INDEX(Запол!$A$1:$J$14,MATCH(C42,Запол!$D$1:$D$14,),8)="","",INDEX(Запол!$A$1:$J$14,MATCH(C42,Запол!$D$1:$D$14,),8))</f>
        <v/>
      </c>
      <c r="R42" s="200" t="str">
        <f>INDEX(Запол!$D$1:$J$14,MATCH(C42,Запол!$D$1:$D$14,),MATCH("Ответственный",Запол!$D$1:$J$1,))</f>
        <v>3 отдел</v>
      </c>
    </row>
    <row r="43" spans="1:18" s="116" customFormat="1" ht="12.75" customHeight="1" x14ac:dyDescent="0.2">
      <c r="A43" s="199"/>
      <c r="B43" s="77" t="str">
        <f>INDEX(Запол!A:F,MATCH(C43,Запол!D:D,),MATCH("отчет",Запол!$A$1:$F$1,))</f>
        <v>ЗАО</v>
      </c>
      <c r="C43" s="5" t="s">
        <v>565</v>
      </c>
      <c r="D43" s="77" t="str">
        <f>INDEX(Запол!$D$1:$F$14,MATCH(C43,Запол!$D$1:$D$14,),MATCH("Место",Запол!$D$1:$F$1,))</f>
        <v>г. Сызрань</v>
      </c>
      <c r="E43" s="11" t="s">
        <v>31</v>
      </c>
      <c r="F43" s="125">
        <v>350</v>
      </c>
      <c r="G43" s="6" t="s">
        <v>212</v>
      </c>
      <c r="H43" s="6">
        <v>1963</v>
      </c>
      <c r="I43" s="9">
        <v>23149</v>
      </c>
      <c r="J43" s="7">
        <v>30437</v>
      </c>
      <c r="K43" s="7">
        <v>30437</v>
      </c>
      <c r="L43" s="7">
        <f>IFERROR(INDEX(Заключение!$R$3:$R$20000,_xlfn.AGGREGATE(14,6,ROW($A$1:$G$20000)/(($E43=Заключение!$C$3:$C$20000)*($G43=Заключение!$E$3:$E$20000)),1)),EDATE(I43,INDEX(Срок!$A$1:$F$3000,MATCH(E43,Срок!$A$1:$A$3000,),MATCH("Срок",Срок!$A$1:$F$1,))))</f>
        <v>30454</v>
      </c>
      <c r="M43" s="10" t="str">
        <f t="shared" ca="1" si="0"/>
        <v>требует ЭО</v>
      </c>
      <c r="N43" s="13" t="str">
        <f>INDEX(Срок!$A$1:$F$315,MATCH(E43,Срок!$A$1:$A$315,),MATCH("Назначен",Срок!$A$1:$F$1,))</f>
        <v>сосуд</v>
      </c>
      <c r="O43" s="271" t="str">
        <f t="shared" si="1"/>
        <v/>
      </c>
      <c r="P43" s="13" t="str">
        <f>INDEX(Срок!$A$1:$F$315,MATCH(E43,Срок!$A$1:$A$315,),MATCH("пс/ орд",Срок!$A$1:$F$1,))</f>
        <v>орд</v>
      </c>
      <c r="Q43" s="77" t="str">
        <f>IF(INDEX(Запол!$A$1:$J$14,MATCH(C43,Запол!$D$1:$D$14,),8)="","",INDEX(Запол!$A$1:$J$14,MATCH(C43,Запол!$D$1:$D$14,),8))</f>
        <v/>
      </c>
      <c r="R43" s="200" t="str">
        <f>INDEX(Запол!$D$1:$J$14,MATCH(C43,Запол!$D$1:$D$14,),MATCH("Ответственный",Запол!$D$1:$J$1,))</f>
        <v>3 отдел</v>
      </c>
    </row>
    <row r="44" spans="1:18" s="116" customFormat="1" ht="12.75" customHeight="1" x14ac:dyDescent="0.2">
      <c r="A44" s="206"/>
      <c r="B44" s="207" t="str">
        <f>INDEX(Запол!A:F,MATCH(C44,Запол!D:D,),MATCH("отчет",Запол!$A$1:$F$1,))</f>
        <v>ЗАО</v>
      </c>
      <c r="C44" s="208" t="s">
        <v>565</v>
      </c>
      <c r="D44" s="207" t="str">
        <f>INDEX(Запол!$D$1:$F$14,MATCH(C44,Запол!$D$1:$D$14,),MATCH("Место",Запол!$D$1:$F$1,))</f>
        <v>г. Сызрань</v>
      </c>
      <c r="E44" s="209" t="s">
        <v>85</v>
      </c>
      <c r="F44" s="210">
        <v>1318</v>
      </c>
      <c r="G44" s="211" t="s">
        <v>216</v>
      </c>
      <c r="H44" s="211">
        <v>2005</v>
      </c>
      <c r="I44" s="212">
        <v>38715</v>
      </c>
      <c r="J44" s="213">
        <v>41609</v>
      </c>
      <c r="K44" s="213">
        <v>41609</v>
      </c>
      <c r="L44" s="7">
        <f>IFERROR(INDEX(Заключение!$R$3:$R$20000,_xlfn.AGGREGATE(14,6,ROW($A$1:$G$20000)/(($E44=Заключение!$C$3:$C$20000)*($G44=Заключение!$E$3:$E$20000)),1)),EDATE(I44,INDEX(Срок!$A$1:$F$3000,MATCH(E44,Срок!$A$1:$A$3000,),MATCH("Срок",Срок!$A$1:$F$1,))))</f>
        <v>41637</v>
      </c>
      <c r="M44" s="10" t="str">
        <f t="shared" ca="1" si="0"/>
        <v>требует ЭО</v>
      </c>
      <c r="N44" s="214" t="str">
        <f>INDEX(Срок!$A$1:$F$315,MATCH(E44,Срок!$A$1:$A$315,),MATCH("Назначен",Срок!$A$1:$F$1,))</f>
        <v>вышка</v>
      </c>
      <c r="O44" s="271" t="str">
        <f t="shared" si="1"/>
        <v/>
      </c>
      <c r="P44" s="214" t="str">
        <f>INDEX(Срок!$A$1:$F$315,MATCH(E44,Срок!$A$1:$A$315,),MATCH("пс/ орд",Срок!$A$1:$F$1,))</f>
        <v>пс</v>
      </c>
      <c r="Q44" s="207" t="str">
        <f>IF(INDEX(Запол!$A$1:$J$14,MATCH(C44,Запол!$D$1:$D$14,),8)="","",INDEX(Запол!$A$1:$J$14,MATCH(C44,Запол!$D$1:$D$14,),8))</f>
        <v/>
      </c>
      <c r="R44" s="215" t="str">
        <f>INDEX(Запол!$D$1:$J$14,MATCH(C44,Запол!$D$1:$D$14,),MATCH("Ответственный",Запол!$D$1:$J$1,))</f>
        <v>3 отдел</v>
      </c>
    </row>
    <row r="46" spans="1:18" x14ac:dyDescent="0.2">
      <c r="A46" s="195" t="s">
        <v>615</v>
      </c>
      <c r="K46" s="197"/>
    </row>
    <row r="47" spans="1:18" x14ac:dyDescent="0.2">
      <c r="A47" s="195" t="s">
        <v>689</v>
      </c>
    </row>
    <row r="48" spans="1:18" x14ac:dyDescent="0.2">
      <c r="A48" s="195" t="s">
        <v>688</v>
      </c>
    </row>
    <row r="49" spans="1:2" x14ac:dyDescent="0.2">
      <c r="A49" s="195" t="s">
        <v>686</v>
      </c>
    </row>
    <row r="50" spans="1:2" x14ac:dyDescent="0.2">
      <c r="A50" s="195" t="s">
        <v>696</v>
      </c>
    </row>
    <row r="52" spans="1:2" x14ac:dyDescent="0.2">
      <c r="B52" s="195"/>
    </row>
  </sheetData>
  <dataConsolidate function="max" link="1">
    <dataRefs count="3">
      <dataRef ref="E4068:G4068" sheet="база"/>
      <dataRef ref="C1:E65536" sheet="Заключение"/>
      <dataRef ref="O1:O65536" sheet="Заключение"/>
    </dataRefs>
  </dataConsolidate>
  <phoneticPr fontId="0" type="noConversion"/>
  <dataValidations count="1">
    <dataValidation type="list" showInputMessage="1" showErrorMessage="1" error="НЕТ ТАКОЙ КОНТОРЫ !_x000a_посмотри в листе Запол" sqref="C2:C44">
      <formula1>Владелец</formula1>
    </dataValidation>
  </dataValidations>
  <pageMargins left="0.2" right="0.2" top="0.24" bottom="0.59055118110236227" header="0.2" footer="0.39370078740157483"/>
  <pageSetup paperSize="9" scale="39" orientation="landscape" horizontalDpi="4294967293" verticalDpi="144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Не правильные данные ОГТН" error="Смотри в листе Срок">
          <x14:formula1>
            <xm:f>Срок!$A:$A</xm:f>
          </x14:formula1>
          <xm:sqref>E2:E44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43"/>
  <sheetViews>
    <sheetView workbookViewId="0">
      <selection activeCell="I1" sqref="I1:N2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7" style="58" customWidth="1"/>
    <col min="6" max="6" width="4.85546875" style="58" customWidth="1"/>
    <col min="7" max="7" width="6.85546875" style="58" customWidth="1"/>
    <col min="8" max="8" width="5.140625" style="58" customWidth="1"/>
    <col min="9" max="9" width="6.85546875" style="58" customWidth="1"/>
    <col min="10" max="10" width="9.42578125" style="58" customWidth="1"/>
    <col min="11" max="11" width="7.7109375" style="58" customWidth="1"/>
    <col min="12" max="12" width="6.140625" style="58" customWidth="1"/>
    <col min="13" max="13" width="9" style="58" customWidth="1"/>
    <col min="14" max="14" width="7.140625" style="58" customWidth="1"/>
    <col min="15" max="15" width="4.7109375" style="58" customWidth="1"/>
    <col min="16" max="16" width="5.28515625" style="58" customWidth="1"/>
    <col min="17" max="16384" width="9.140625" style="58"/>
  </cols>
  <sheetData>
    <row r="1" spans="1:16" x14ac:dyDescent="0.2">
      <c r="A1" s="52" t="s">
        <v>341</v>
      </c>
      <c r="C1" s="61"/>
      <c r="D1" s="62"/>
      <c r="I1" s="276" t="str">
        <f>INDEX(Запол!A:F,MATCH(P4,Запол!D:D,),MATCH("Шеф",Запол!$A$1:$F$1,))&amp;"у "&amp;INDEX(Запол!A:F,MATCH(INDEX('С учета'!C:C,A2),Запол!D:D,),MATCH("Владелец",Запол!$A$1:$F$1,))</f>
        <v>Директору СПМУ №6</v>
      </c>
      <c r="J1" s="276"/>
      <c r="K1" s="276"/>
      <c r="L1" s="276"/>
      <c r="M1" s="276"/>
      <c r="N1" s="276"/>
    </row>
    <row r="2" spans="1:16" ht="23.25" customHeight="1" x14ac:dyDescent="0.2">
      <c r="A2" s="59">
        <v>8</v>
      </c>
      <c r="B2" s="277" t="s">
        <v>548</v>
      </c>
      <c r="C2" s="277"/>
      <c r="D2" s="277"/>
      <c r="E2" s="277"/>
      <c r="F2" s="277"/>
      <c r="I2" s="276"/>
      <c r="J2" s="276"/>
      <c r="K2" s="276"/>
      <c r="L2" s="276"/>
      <c r="M2" s="276"/>
      <c r="N2" s="276"/>
    </row>
    <row r="3" spans="1:16" x14ac:dyDescent="0.2">
      <c r="A3" s="59">
        <f t="shared" ref="A3:A19" si="0">A2+1</f>
        <v>9</v>
      </c>
      <c r="B3" s="277" t="s">
        <v>587</v>
      </c>
      <c r="C3" s="277"/>
      <c r="D3" s="277"/>
      <c r="E3" s="277"/>
      <c r="F3" s="277"/>
      <c r="I3" s="280" t="str">
        <f>INDEX('С учета'!D:D,A2)</f>
        <v>г. Сызрань</v>
      </c>
      <c r="J3" s="280"/>
      <c r="K3" s="280"/>
      <c r="L3" s="280"/>
      <c r="M3" s="280"/>
      <c r="N3" s="280"/>
    </row>
    <row r="4" spans="1:16" ht="12.75" customHeight="1" x14ac:dyDescent="0.2">
      <c r="A4" s="59">
        <f t="shared" si="0"/>
        <v>10</v>
      </c>
      <c r="L4" s="85"/>
      <c r="P4" s="63" t="str">
        <f>INDEX('С учета'!C:C,A2)</f>
        <v>СПМУ №6</v>
      </c>
    </row>
    <row r="5" spans="1:16" ht="12.75" customHeight="1" x14ac:dyDescent="0.2">
      <c r="A5" s="59">
        <f t="shared" si="0"/>
        <v>11</v>
      </c>
      <c r="B5" s="278" t="s">
        <v>596</v>
      </c>
      <c r="C5" s="278"/>
      <c r="D5" s="278"/>
      <c r="E5" s="278"/>
      <c r="F5" s="278"/>
      <c r="L5" s="64"/>
    </row>
    <row r="6" spans="1:16" ht="12.75" customHeight="1" x14ac:dyDescent="0.2">
      <c r="A6" s="59">
        <f t="shared" si="0"/>
        <v>12</v>
      </c>
      <c r="B6" s="275" t="s">
        <v>654</v>
      </c>
      <c r="C6" s="275"/>
      <c r="D6" s="275"/>
      <c r="E6" s="275"/>
      <c r="F6" s="275"/>
      <c r="L6" s="70"/>
    </row>
    <row r="7" spans="1:16" x14ac:dyDescent="0.2">
      <c r="A7" s="59">
        <f t="shared" si="0"/>
        <v>13</v>
      </c>
      <c r="B7" s="277"/>
      <c r="C7" s="277"/>
      <c r="D7" s="277"/>
      <c r="E7" s="277"/>
      <c r="F7" s="277"/>
    </row>
    <row r="8" spans="1:16" ht="14.25" customHeight="1" x14ac:dyDescent="0.2">
      <c r="A8" s="59">
        <f t="shared" si="0"/>
        <v>14</v>
      </c>
      <c r="B8" s="65" t="s">
        <v>475</v>
      </c>
      <c r="C8" s="279"/>
      <c r="D8" s="279"/>
      <c r="E8" s="279"/>
      <c r="F8" s="279"/>
    </row>
    <row r="9" spans="1:16" ht="12.75" customHeight="1" x14ac:dyDescent="0.2">
      <c r="A9" s="59">
        <f t="shared" si="0"/>
        <v>15</v>
      </c>
    </row>
    <row r="10" spans="1:16" ht="12.75" customHeight="1" x14ac:dyDescent="0.2">
      <c r="A10" s="59">
        <f t="shared" si="0"/>
        <v>16</v>
      </c>
      <c r="B10" s="275"/>
      <c r="C10" s="275"/>
      <c r="D10" s="275"/>
      <c r="E10" s="275"/>
      <c r="F10" s="275"/>
    </row>
    <row r="11" spans="1:16" ht="12.75" customHeight="1" x14ac:dyDescent="0.2">
      <c r="A11" s="59">
        <f t="shared" si="0"/>
        <v>17</v>
      </c>
    </row>
    <row r="12" spans="1:16" ht="36.75" customHeight="1" x14ac:dyDescent="0.2">
      <c r="A12" s="59">
        <f t="shared" si="0"/>
        <v>18</v>
      </c>
      <c r="B12" s="273" t="s">
        <v>662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</row>
    <row r="13" spans="1:16" ht="15" customHeight="1" x14ac:dyDescent="0.25">
      <c r="A13" s="59">
        <f t="shared" si="0"/>
        <v>19</v>
      </c>
      <c r="B13" s="130"/>
      <c r="C13" s="137" t="str">
        <f>IF(INDEX('С учета'!E:E,A2)=0,"","1."&amp;INDEX('С учета'!E:E,A2)&amp;", Рег. № "&amp;INDEX('С учета'!F:F,A2)&amp;", Зав. № "&amp;INDEX('С учета'!G:G,A2)&amp;", "&amp;INDEX('С учета'!H:H,A2)&amp;" года выпуска")</f>
        <v>1.Трубопровод, Рег. № 2, Зав. № , 1971 года выпуска</v>
      </c>
      <c r="D13" s="136"/>
      <c r="E13" s="136"/>
      <c r="F13" s="131"/>
      <c r="G13" s="129"/>
      <c r="H13" s="129"/>
      <c r="I13" s="129"/>
      <c r="J13" s="128"/>
      <c r="K13" s="128"/>
      <c r="L13" s="128"/>
      <c r="M13" s="129"/>
      <c r="N13" s="129"/>
      <c r="O13" s="129"/>
    </row>
    <row r="14" spans="1:16" ht="12.75" customHeight="1" x14ac:dyDescent="0.25">
      <c r="A14" s="59">
        <f t="shared" si="0"/>
        <v>20</v>
      </c>
      <c r="B14" s="129"/>
      <c r="C14" s="137" t="str">
        <f>IF(INDEX('С учета'!E:E,A3)=0,"","2."&amp;INDEX('С учета'!E:E,A3)&amp;", Рег. № "&amp;INDEX('С учета'!F:F,A3)&amp;", Зав. № "&amp;INDEX('С учета'!G:G,A3)&amp;", "&amp;INDEX('С учета'!H:H,A3)&amp;" года выпуска")</f>
        <v/>
      </c>
      <c r="D14" s="132"/>
      <c r="E14" s="132"/>
      <c r="F14" s="132"/>
      <c r="G14" s="133"/>
      <c r="H14" s="134"/>
      <c r="I14" s="133"/>
      <c r="J14" s="134"/>
      <c r="K14" s="133"/>
      <c r="L14" s="129"/>
      <c r="M14" s="134"/>
      <c r="N14" s="135"/>
      <c r="O14" s="134"/>
    </row>
    <row r="15" spans="1:16" ht="15.75" x14ac:dyDescent="0.25">
      <c r="A15" s="59">
        <f t="shared" si="0"/>
        <v>21</v>
      </c>
      <c r="B15" s="129"/>
      <c r="C15" s="137" t="str">
        <f>IF(INDEX('С учета'!E:E,A4)=0,"","3."&amp;INDEX('С учета'!E:E,A4)&amp;", Рег. № "&amp;INDEX('С учета'!F:F,A4)&amp;", Зав. № "&amp;INDEX('С учета'!G:G,A4)&amp;", "&amp;INDEX('С учета'!H:H,A4)&amp;" года выпуска")</f>
        <v/>
      </c>
      <c r="D15" s="132"/>
      <c r="E15" s="132"/>
      <c r="F15" s="132"/>
      <c r="G15" s="133"/>
      <c r="H15" s="134"/>
      <c r="I15" s="133"/>
      <c r="J15" s="134"/>
      <c r="K15" s="133"/>
      <c r="L15" s="129"/>
      <c r="M15" s="134"/>
      <c r="N15" s="135"/>
      <c r="O15" s="134"/>
    </row>
    <row r="16" spans="1:16" ht="15.75" x14ac:dyDescent="0.25">
      <c r="A16" s="59">
        <f t="shared" si="0"/>
        <v>22</v>
      </c>
      <c r="B16" s="129"/>
      <c r="C16" s="137" t="str">
        <f>IF(INDEX('С учета'!E:E,A5)=0,"","4."&amp;INDEX('С учета'!E:E,A5)&amp;", Рег. № "&amp;INDEX('С учета'!F:F,A5)&amp;", Зав. № "&amp;INDEX('С учета'!G:G,A5)&amp;", "&amp;INDEX('С учета'!H:H,A5)&amp;" года выпуска")</f>
        <v/>
      </c>
      <c r="D16" s="132"/>
      <c r="E16" s="132"/>
      <c r="F16" s="132"/>
      <c r="G16" s="133"/>
      <c r="H16" s="134"/>
      <c r="I16" s="133"/>
      <c r="J16" s="134"/>
      <c r="K16" s="133"/>
      <c r="L16" s="129"/>
      <c r="M16" s="134"/>
      <c r="N16" s="135"/>
      <c r="O16" s="134"/>
    </row>
    <row r="17" spans="1:17" ht="15" customHeight="1" x14ac:dyDescent="0.25">
      <c r="A17" s="59">
        <f t="shared" si="0"/>
        <v>23</v>
      </c>
      <c r="B17" s="129"/>
      <c r="C17" s="137" t="str">
        <f>IF(INDEX('С учета'!E:E,A6)=0,"","5."&amp;INDEX('С учета'!E:E,A6)&amp;", Рег. № "&amp;INDEX('С учета'!F:F,A6)&amp;", Зав. № "&amp;INDEX('С учета'!G:G,A6)&amp;", "&amp;INDEX('С учета'!H:H,A6)&amp;" года выпуска")</f>
        <v/>
      </c>
      <c r="D17" s="132"/>
      <c r="E17" s="132"/>
      <c r="F17" s="132"/>
      <c r="G17" s="133"/>
      <c r="H17" s="134"/>
      <c r="I17" s="133"/>
      <c r="J17" s="134"/>
      <c r="K17" s="133"/>
      <c r="L17" s="129"/>
      <c r="M17" s="134"/>
      <c r="N17" s="135"/>
      <c r="O17" s="134"/>
    </row>
    <row r="18" spans="1:17" ht="15.75" x14ac:dyDescent="0.25">
      <c r="A18" s="59">
        <f t="shared" si="0"/>
        <v>24</v>
      </c>
      <c r="B18" s="129"/>
      <c r="C18" s="137" t="str">
        <f>IF(INDEX('С учета'!E:E,A7)=0,"","6."&amp;INDEX('С учета'!E:E,A7)&amp;", Рег. № "&amp;INDEX('С учета'!F:F,A7)&amp;", Зав. № "&amp;INDEX('С учета'!G:G,A7)&amp;", "&amp;INDEX('С учета'!H:H,A7)&amp;" года выпуска")</f>
        <v/>
      </c>
      <c r="D18" s="132"/>
      <c r="E18" s="132"/>
      <c r="F18" s="132"/>
      <c r="G18" s="133"/>
      <c r="H18" s="134"/>
      <c r="I18" s="133"/>
      <c r="J18" s="134"/>
      <c r="K18" s="133"/>
      <c r="L18" s="129"/>
      <c r="M18" s="134"/>
      <c r="N18" s="135"/>
      <c r="O18" s="134"/>
    </row>
    <row r="19" spans="1:17" s="129" customFormat="1" ht="15.75" x14ac:dyDescent="0.25">
      <c r="A19" s="59">
        <f t="shared" si="0"/>
        <v>25</v>
      </c>
      <c r="C19" s="137" t="str">
        <f>IF(INDEX('С учета'!E:E,A8)=0,"","7."&amp;INDEX('С учета'!E:E,A8)&amp;", Рег. № "&amp;INDEX('С учета'!F:F,A8)&amp;", Зав. № "&amp;INDEX('С учета'!G:G,A8)&amp;", "&amp;INDEX('С учета'!H:H,A8)&amp;" года выпуска")</f>
        <v/>
      </c>
      <c r="D19" s="132"/>
      <c r="E19" s="132"/>
      <c r="F19" s="132"/>
      <c r="G19" s="133"/>
      <c r="H19" s="134"/>
      <c r="I19" s="133"/>
      <c r="J19" s="134"/>
      <c r="K19" s="133"/>
      <c r="M19" s="134"/>
      <c r="N19" s="135"/>
      <c r="O19" s="134"/>
    </row>
    <row r="20" spans="1:17" s="129" customFormat="1" ht="15.75" x14ac:dyDescent="0.25">
      <c r="C20" s="137" t="str">
        <f>IF(INDEX('С учета'!E:E,A9)=0,"","8."&amp;INDEX('С учета'!E:E,A9)&amp;", Рег. № "&amp;INDEX('С учета'!F:F,A9)&amp;", Зав. № "&amp;INDEX('С учета'!G:G,A9)&amp;", "&amp;INDEX('С учета'!H:H,A9)&amp;" года выпуска")</f>
        <v/>
      </c>
      <c r="D20" s="132"/>
      <c r="E20" s="132"/>
      <c r="F20" s="132"/>
      <c r="G20" s="133"/>
      <c r="H20" s="134"/>
      <c r="I20" s="133"/>
      <c r="J20" s="134"/>
      <c r="K20" s="133"/>
      <c r="M20" s="134"/>
      <c r="N20" s="135"/>
      <c r="O20" s="134"/>
    </row>
    <row r="21" spans="1:17" s="129" customFormat="1" ht="15.75" x14ac:dyDescent="0.25">
      <c r="C21" s="137" t="str">
        <f>IF(INDEX('С учета'!E:E,A10)=0,"","9."&amp;INDEX('С учета'!E:E,A10)&amp;", Рег. № "&amp;INDEX('С учета'!F:F,A10)&amp;", Зав. № "&amp;INDEX('С учета'!G:G,A10)&amp;", "&amp;INDEX('С учета'!H:H,A10)&amp;" года выпуска")</f>
        <v/>
      </c>
      <c r="D21" s="132"/>
      <c r="E21" s="132"/>
      <c r="F21" s="132"/>
      <c r="G21" s="133"/>
      <c r="H21" s="134"/>
      <c r="I21" s="133"/>
      <c r="J21" s="134"/>
      <c r="K21" s="133"/>
      <c r="M21" s="134"/>
      <c r="N21" s="135"/>
      <c r="O21" s="134"/>
    </row>
    <row r="22" spans="1:17" s="129" customFormat="1" ht="15.75" x14ac:dyDescent="0.25">
      <c r="C22" s="137" t="str">
        <f>IF(INDEX('С учета'!E:E,A11)=0,"","10."&amp;INDEX('С учета'!E:E,A11)&amp;", Рег. № "&amp;INDEX('С учета'!F:F,A11)&amp;", Зав. № "&amp;INDEX('С учета'!G:G,A11)&amp;", "&amp;INDEX('С учета'!H:H,A11)&amp;" года выпуска")</f>
        <v/>
      </c>
      <c r="D22" s="132"/>
      <c r="E22" s="132"/>
      <c r="F22" s="132"/>
      <c r="G22" s="133"/>
      <c r="H22" s="134"/>
      <c r="I22" s="133"/>
      <c r="J22" s="134"/>
      <c r="K22" s="133"/>
      <c r="M22" s="134"/>
      <c r="N22" s="135"/>
      <c r="O22" s="134"/>
    </row>
    <row r="23" spans="1:17" ht="15.75" x14ac:dyDescent="0.25">
      <c r="B23" s="129"/>
      <c r="C23" s="137" t="str">
        <f>IF(INDEX('С учета'!E:E,A12)=0,"","11."&amp;INDEX('С учета'!E:E,A12)&amp;", Рег. № "&amp;INDEX('С учета'!F:F,A12)&amp;", Зав. № "&amp;INDEX('С учета'!G:G,A12)&amp;", "&amp;INDEX('С учета'!H:H,A12)&amp;" года выпуска")</f>
        <v/>
      </c>
      <c r="D23" s="132"/>
      <c r="E23" s="132"/>
      <c r="F23" s="132"/>
      <c r="G23" s="133"/>
      <c r="H23" s="134"/>
      <c r="I23" s="133"/>
      <c r="J23" s="134"/>
      <c r="K23" s="133"/>
      <c r="L23" s="129"/>
      <c r="M23" s="134"/>
      <c r="N23" s="135"/>
      <c r="O23" s="134"/>
    </row>
    <row r="24" spans="1:17" ht="15.75" x14ac:dyDescent="0.25">
      <c r="B24" s="129"/>
      <c r="C24" s="137" t="str">
        <f>IF(INDEX('С учета'!E:E,A13)=0,"","12."&amp;INDEX('С учета'!E:E,A13)&amp;", Рег. № "&amp;INDEX('С учета'!F:F,A13)&amp;", Зав. № "&amp;INDEX('С учета'!G:G,A13)&amp;", "&amp;INDEX('С учета'!H:H,A13)&amp;" года выпуска")</f>
        <v/>
      </c>
      <c r="D24" s="132"/>
      <c r="E24" s="132"/>
      <c r="F24" s="132"/>
      <c r="G24" s="133"/>
      <c r="H24" s="134"/>
      <c r="I24" s="133"/>
      <c r="J24" s="134"/>
      <c r="K24" s="133"/>
      <c r="L24" s="129"/>
      <c r="M24" s="134"/>
      <c r="N24" s="135"/>
      <c r="O24" s="134"/>
    </row>
    <row r="25" spans="1:17" ht="15.75" x14ac:dyDescent="0.25">
      <c r="B25" s="129"/>
      <c r="C25" s="137" t="str">
        <f>IF(INDEX('С учета'!E:E,A14)=0,"","13."&amp;INDEX('С учета'!E:E,A14)&amp;", Рег. № "&amp;INDEX('С учета'!F:F,A14)&amp;", Зав. № "&amp;INDEX('С учета'!G:G,A14)&amp;", "&amp;INDEX('С учета'!H:H,A14)&amp;" года выпуска")</f>
        <v/>
      </c>
      <c r="D25" s="132"/>
      <c r="E25" s="132"/>
      <c r="F25" s="132"/>
      <c r="G25" s="133"/>
      <c r="H25" s="134"/>
      <c r="I25" s="133"/>
      <c r="J25" s="134"/>
      <c r="K25" s="133"/>
      <c r="L25" s="129"/>
      <c r="M25" s="134"/>
      <c r="N25" s="135"/>
      <c r="O25" s="134"/>
      <c r="P25" s="129"/>
      <c r="Q25" s="86"/>
    </row>
    <row r="26" spans="1:17" ht="15.75" x14ac:dyDescent="0.25">
      <c r="B26" s="129"/>
      <c r="C26" s="137" t="str">
        <f>IF(INDEX('С учета'!E:E,A15)=0,"","14."&amp;INDEX('С учета'!E:E,A15)&amp;", Рег. № "&amp;INDEX('С учета'!F:F,A15)&amp;", Зав. № "&amp;INDEX('С учета'!G:G,A15)&amp;", "&amp;INDEX('С учета'!H:H,A15)&amp;" года выпуска")</f>
        <v/>
      </c>
      <c r="D26" s="132"/>
      <c r="E26" s="132"/>
      <c r="F26" s="132"/>
      <c r="G26" s="133"/>
      <c r="H26" s="134"/>
      <c r="I26" s="133"/>
      <c r="J26" s="134"/>
      <c r="K26" s="133"/>
      <c r="L26" s="129"/>
      <c r="M26" s="134"/>
      <c r="N26" s="135"/>
      <c r="O26" s="134"/>
      <c r="P26" s="129"/>
      <c r="Q26" s="86"/>
    </row>
    <row r="27" spans="1:17" ht="15.75" x14ac:dyDescent="0.25">
      <c r="B27" s="129"/>
      <c r="C27" s="137" t="str">
        <f>IF(INDEX('С учета'!E:E,A16)=0,"","15."&amp;INDEX('С учета'!E:E,A16)&amp;", Рег. № "&amp;INDEX('С учета'!F:F,A16)&amp;", Зав. № "&amp;INDEX('С учета'!G:G,A16)&amp;", "&amp;INDEX('С учета'!H:H,A16)&amp;" года выпуска")</f>
        <v/>
      </c>
      <c r="D27" s="132"/>
      <c r="E27" s="132"/>
      <c r="F27" s="132"/>
      <c r="G27" s="133"/>
      <c r="H27" s="134"/>
      <c r="I27" s="133"/>
      <c r="J27" s="134"/>
      <c r="K27" s="133"/>
      <c r="L27" s="129"/>
      <c r="M27" s="134"/>
      <c r="N27" s="135"/>
      <c r="O27" s="134"/>
      <c r="P27" s="129"/>
      <c r="Q27" s="86"/>
    </row>
    <row r="28" spans="1:17" ht="15.75" x14ac:dyDescent="0.25">
      <c r="B28" s="129"/>
      <c r="C28" s="137"/>
      <c r="D28" s="132"/>
      <c r="E28" s="132"/>
      <c r="F28" s="132"/>
      <c r="G28" s="133"/>
      <c r="H28" s="134"/>
      <c r="I28" s="133"/>
      <c r="J28" s="134"/>
      <c r="K28" s="133"/>
      <c r="L28" s="129"/>
      <c r="M28" s="134"/>
      <c r="N28" s="135"/>
      <c r="O28" s="134"/>
      <c r="P28" s="129"/>
      <c r="Q28" s="86"/>
    </row>
    <row r="29" spans="1:17" ht="15.75" x14ac:dyDescent="0.25">
      <c r="B29" s="128"/>
      <c r="C29" s="137" t="str">
        <f>IF(INDEX(Q32:Q33,A31)=0," ",INDEX(Q32:Q33,A31)&amp;" "&amp;COUNTA(C13:C27)-COUNTBLANK(C13:C27)&amp;" ед.")</f>
        <v>Приложение: Паспорт технического устройства - 1 ед.</v>
      </c>
      <c r="D29" s="132"/>
      <c r="E29" s="132"/>
      <c r="F29" s="132"/>
      <c r="G29" s="133"/>
      <c r="H29" s="134"/>
      <c r="I29" s="133"/>
      <c r="J29" s="134"/>
      <c r="K29" s="133"/>
      <c r="L29" s="129"/>
      <c r="M29" s="134"/>
      <c r="N29" s="135"/>
      <c r="O29" s="129"/>
      <c r="P29" s="129"/>
      <c r="Q29" s="86"/>
    </row>
    <row r="30" spans="1:17" ht="15.75" x14ac:dyDescent="0.25">
      <c r="C30" s="68"/>
      <c r="P30" s="88">
        <v>1</v>
      </c>
      <c r="Q30" s="173" t="s">
        <v>582</v>
      </c>
    </row>
    <row r="31" spans="1:17" ht="15.75" x14ac:dyDescent="0.25">
      <c r="A31" s="150">
        <v>1</v>
      </c>
      <c r="B31" s="282" t="str">
        <f>INDEX(Q30:Q31,A33)</f>
        <v>ДИРЕКТОР ООО «РОГА &amp; КОПЫТА»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88">
        <v>2</v>
      </c>
      <c r="Q31" s="173" t="s">
        <v>583</v>
      </c>
    </row>
    <row r="32" spans="1:17" ht="15.75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P32" s="150">
        <v>1</v>
      </c>
      <c r="Q32" s="86" t="s">
        <v>288</v>
      </c>
    </row>
    <row r="33" spans="1:17" ht="15.75" x14ac:dyDescent="0.25">
      <c r="A33" s="88">
        <v>1</v>
      </c>
      <c r="M33" s="127" t="str">
        <f>INDEX(Q37:Q43,A35)</f>
        <v>И.Иванов</v>
      </c>
      <c r="P33" s="150">
        <v>2</v>
      </c>
      <c r="Q33" s="86"/>
    </row>
    <row r="34" spans="1:17" x14ac:dyDescent="0.2">
      <c r="A34" s="87"/>
      <c r="P34" s="150"/>
      <c r="Q34" s="86"/>
    </row>
    <row r="35" spans="1:17" x14ac:dyDescent="0.2">
      <c r="A35" s="89">
        <v>1</v>
      </c>
      <c r="P35" s="87">
        <v>1</v>
      </c>
      <c r="Q35" s="86"/>
    </row>
    <row r="36" spans="1:17" x14ac:dyDescent="0.2">
      <c r="P36" s="87">
        <v>2</v>
      </c>
      <c r="Q36" s="86"/>
    </row>
    <row r="37" spans="1:17" x14ac:dyDescent="0.2">
      <c r="P37" s="89">
        <v>1</v>
      </c>
      <c r="Q37" s="173" t="s">
        <v>584</v>
      </c>
    </row>
    <row r="38" spans="1:17" ht="12.75" customHeight="1" x14ac:dyDescent="0.2">
      <c r="P38" s="89">
        <v>2</v>
      </c>
      <c r="Q38" s="173" t="s">
        <v>585</v>
      </c>
    </row>
    <row r="39" spans="1:17" x14ac:dyDescent="0.2">
      <c r="P39" s="89">
        <v>3</v>
      </c>
      <c r="Q39" s="173" t="s">
        <v>586</v>
      </c>
    </row>
    <row r="40" spans="1:17" x14ac:dyDescent="0.2">
      <c r="P40" s="89">
        <v>4</v>
      </c>
      <c r="Q40" s="86"/>
    </row>
    <row r="41" spans="1:17" x14ac:dyDescent="0.2">
      <c r="P41" s="89">
        <v>5</v>
      </c>
      <c r="Q41" s="86"/>
    </row>
    <row r="42" spans="1:17" x14ac:dyDescent="0.2">
      <c r="P42" s="89">
        <v>6</v>
      </c>
    </row>
    <row r="43" spans="1:17" x14ac:dyDescent="0.2">
      <c r="P43" s="89">
        <v>7</v>
      </c>
    </row>
  </sheetData>
  <mergeCells count="11">
    <mergeCell ref="B31:O31"/>
    <mergeCell ref="B6:F6"/>
    <mergeCell ref="B7:F7"/>
    <mergeCell ref="B10:F10"/>
    <mergeCell ref="B12:O12"/>
    <mergeCell ref="I1:N2"/>
    <mergeCell ref="B2:F2"/>
    <mergeCell ref="B3:F3"/>
    <mergeCell ref="B5:F5"/>
    <mergeCell ref="C8:F8"/>
    <mergeCell ref="I3:N3"/>
  </mergeCells>
  <phoneticPr fontId="2" type="noConversion"/>
  <pageMargins left="1.0900000000000001" right="0.27" top="1" bottom="1" header="0.5" footer="0.5"/>
  <pageSetup paperSize="9" orientation="portrait" verticalDpi="0" r:id="rId1"/>
  <headerFooter alignWithMargins="0">
    <oddFooter xml:space="preserve">&amp;L&amp;8Исп. Главный инспектор А.Александров
(846) 339-9898,
ogtn967@yandex.ru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81"/>
  <sheetViews>
    <sheetView workbookViewId="0">
      <pane ySplit="3" topLeftCell="A4" activePane="bottomLeft" state="frozen"/>
      <selection pane="bottomLeft" activeCell="N19" sqref="N19"/>
    </sheetView>
  </sheetViews>
  <sheetFormatPr defaultRowHeight="12.75" x14ac:dyDescent="0.2"/>
  <cols>
    <col min="1" max="1" width="6.28515625" customWidth="1"/>
    <col min="2" max="2" width="6.140625" style="25" customWidth="1"/>
    <col min="3" max="3" width="5.5703125" style="25" customWidth="1"/>
    <col min="4" max="4" width="17.85546875" customWidth="1"/>
    <col min="8" max="8" width="12" customWidth="1"/>
    <col min="11" max="11" width="10.42578125" customWidth="1"/>
    <col min="12" max="12" width="2.85546875" customWidth="1"/>
    <col min="13" max="13" width="3.42578125" style="1" customWidth="1"/>
    <col min="14" max="14" width="15.28515625" customWidth="1"/>
    <col min="15" max="15" width="6" customWidth="1"/>
    <col min="16" max="16" width="10.28515625" bestFit="1" customWidth="1"/>
  </cols>
  <sheetData>
    <row r="1" spans="1:16" ht="15.75" x14ac:dyDescent="0.25">
      <c r="A1" s="32" t="s">
        <v>341</v>
      </c>
      <c r="B1" s="297" t="s">
        <v>592</v>
      </c>
      <c r="C1" s="297"/>
      <c r="D1" s="297"/>
      <c r="E1" s="297"/>
      <c r="F1" s="297"/>
      <c r="G1" s="297"/>
      <c r="H1" s="297"/>
      <c r="I1" s="297"/>
      <c r="J1" s="297"/>
      <c r="K1" s="297"/>
      <c r="L1" s="15"/>
    </row>
    <row r="2" spans="1:16" ht="15.75" x14ac:dyDescent="0.25">
      <c r="A2" s="304">
        <v>2</v>
      </c>
      <c r="B2" s="297" t="s">
        <v>593</v>
      </c>
      <c r="C2" s="297"/>
      <c r="D2" s="297"/>
      <c r="E2" s="297"/>
      <c r="F2" s="297"/>
      <c r="G2" s="297"/>
      <c r="H2" s="297"/>
      <c r="I2" s="297"/>
      <c r="J2" s="297"/>
      <c r="K2" s="297"/>
      <c r="L2" s="15"/>
      <c r="N2" s="44" t="str">
        <f>INDEX(база!C:C,$A$2)</f>
        <v>АНО "хихи"</v>
      </c>
      <c r="O2" s="77" t="str">
        <f>INDEX(Запол!A:F,MATCH(N2,Запол!D:D,),MATCH("владелец",Запол!$A$1:$F$1,))</f>
        <v>АНО "хихи"</v>
      </c>
    </row>
    <row r="3" spans="1:16" ht="15.75" x14ac:dyDescent="0.25">
      <c r="A3" s="304"/>
      <c r="B3" s="299" t="s">
        <v>606</v>
      </c>
      <c r="C3" s="299"/>
      <c r="D3" s="299"/>
      <c r="E3" s="299"/>
      <c r="F3" s="299"/>
      <c r="G3" s="299"/>
      <c r="H3" s="299"/>
      <c r="I3" s="299"/>
      <c r="J3" s="299"/>
      <c r="K3" s="299"/>
      <c r="L3" s="16"/>
    </row>
    <row r="4" spans="1:16" ht="15.75" x14ac:dyDescent="0.25">
      <c r="B4" s="24"/>
      <c r="C4" s="24"/>
    </row>
    <row r="5" spans="1:16" ht="15.75" x14ac:dyDescent="0.25">
      <c r="B5" s="293" t="s">
        <v>617</v>
      </c>
      <c r="C5" s="293"/>
      <c r="D5" s="293"/>
      <c r="E5" s="293"/>
      <c r="F5" s="293"/>
      <c r="G5" s="293"/>
      <c r="H5" s="293"/>
      <c r="I5" s="293"/>
      <c r="J5" s="293"/>
      <c r="K5" s="293"/>
      <c r="L5" s="18"/>
      <c r="N5" s="23" t="s">
        <v>407</v>
      </c>
    </row>
    <row r="6" spans="1:16" ht="15.75" x14ac:dyDescent="0.25">
      <c r="B6" s="24"/>
      <c r="C6" s="24"/>
      <c r="M6" s="33">
        <v>1</v>
      </c>
      <c r="N6" s="23" t="s">
        <v>280</v>
      </c>
    </row>
    <row r="7" spans="1:16" ht="15.75" x14ac:dyDescent="0.25">
      <c r="A7" s="33">
        <v>1</v>
      </c>
      <c r="B7" s="299" t="str">
        <f>IF(INDEX(N6:N7,A7)="","",INDEX(N6:N7,A7))</f>
        <v>« С актом ознакомлен »</v>
      </c>
      <c r="C7" s="299"/>
      <c r="D7" s="299"/>
      <c r="K7" s="31" t="s">
        <v>599</v>
      </c>
      <c r="N7" s="23"/>
    </row>
    <row r="8" spans="1:16" ht="15.75" x14ac:dyDescent="0.25">
      <c r="B8" s="23" t="str">
        <f>IF(B7="","",INDEX(Запол!A:F,MATCH(N2,Запол!D:D,),MATCH("Шеф",Запол!$A$1:$F$1,))&amp;" "&amp;O2)</f>
        <v>Ректор АНО "хихи"</v>
      </c>
      <c r="C8" s="23"/>
      <c r="D8" s="23"/>
      <c r="E8" s="23"/>
      <c r="M8"/>
      <c r="N8" s="23"/>
    </row>
    <row r="9" spans="1:16" ht="15.75" x14ac:dyDescent="0.25">
      <c r="K9" s="31" t="s">
        <v>598</v>
      </c>
      <c r="L9" s="31"/>
      <c r="M9"/>
      <c r="N9" s="23"/>
    </row>
    <row r="10" spans="1:16" x14ac:dyDescent="0.2">
      <c r="B10" s="306" t="str">
        <f>IF(A7=0,"",N5)</f>
        <v>«___»  ________ 20__ г.</v>
      </c>
      <c r="C10" s="306"/>
      <c r="D10" s="306"/>
      <c r="H10" s="301">
        <f ca="1">TODAY()</f>
        <v>45531</v>
      </c>
      <c r="I10" s="301"/>
    </row>
    <row r="11" spans="1:16" ht="15.75" x14ac:dyDescent="0.25">
      <c r="B11" s="23"/>
      <c r="C11" s="23"/>
    </row>
    <row r="12" spans="1:16" ht="15.75" x14ac:dyDescent="0.25">
      <c r="A12" s="43">
        <v>2</v>
      </c>
      <c r="B12" s="23" t="s">
        <v>295</v>
      </c>
      <c r="C12" s="23"/>
      <c r="D12" s="300" t="str">
        <f>IF(INDEX(N12:N17,A12)="","",INDEX(N12:N17,A12))</f>
        <v>старшим помошником младшего пекаря Сидоровым П.А.</v>
      </c>
      <c r="E12" s="300"/>
      <c r="F12" s="300"/>
      <c r="G12" s="300"/>
      <c r="H12" s="300"/>
      <c r="I12" s="300"/>
      <c r="J12" s="300"/>
      <c r="K12" s="300"/>
      <c r="L12" s="30"/>
      <c r="M12" s="43">
        <v>1</v>
      </c>
      <c r="N12" s="35" t="s">
        <v>601</v>
      </c>
      <c r="O12" s="250">
        <v>1</v>
      </c>
      <c r="P12" t="s">
        <v>664</v>
      </c>
    </row>
    <row r="13" spans="1:16" ht="11.25" customHeight="1" x14ac:dyDescent="0.2">
      <c r="B13" s="298" t="s">
        <v>292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8"/>
      <c r="M13" s="43">
        <v>2</v>
      </c>
      <c r="N13" s="35" t="s">
        <v>600</v>
      </c>
      <c r="O13" s="250">
        <v>2</v>
      </c>
      <c r="P13" t="s">
        <v>665</v>
      </c>
    </row>
    <row r="14" spans="1:16" ht="15.75" x14ac:dyDescent="0.25">
      <c r="B14" s="29" t="s">
        <v>293</v>
      </c>
      <c r="C14" s="29"/>
      <c r="D14" s="300"/>
      <c r="E14" s="300"/>
      <c r="F14" s="300"/>
      <c r="G14" s="300"/>
      <c r="H14" s="300"/>
      <c r="I14" s="300"/>
      <c r="J14" s="300"/>
      <c r="K14" s="300"/>
      <c r="L14" s="30"/>
      <c r="M14" s="43">
        <v>3</v>
      </c>
      <c r="N14" s="35"/>
      <c r="O14" s="250">
        <v>3</v>
      </c>
      <c r="P14" t="s">
        <v>663</v>
      </c>
    </row>
    <row r="15" spans="1:16" ht="10.5" customHeight="1" x14ac:dyDescent="0.2">
      <c r="B15" s="298" t="s">
        <v>107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8"/>
      <c r="M15" s="43">
        <v>4</v>
      </c>
      <c r="N15" s="35"/>
      <c r="O15" s="250">
        <v>4</v>
      </c>
      <c r="P15" t="s">
        <v>666</v>
      </c>
    </row>
    <row r="16" spans="1:16" ht="15.75" x14ac:dyDescent="0.25">
      <c r="A16" s="249">
        <v>3</v>
      </c>
      <c r="B16" s="29" t="s">
        <v>294</v>
      </c>
      <c r="C16" s="29"/>
      <c r="D16" s="300" t="str">
        <f>INDEX(P12:P17,A16)&amp;" "&amp;INDEX(Срок!A:I,MATCH(INDEX(база!E2:E44,$A$2),Срок!A:A,),9)</f>
        <v>наружный и внутренний осмотр котла</v>
      </c>
      <c r="E16" s="300"/>
      <c r="F16" s="300"/>
      <c r="G16" s="300"/>
      <c r="H16" s="300"/>
      <c r="I16" s="300"/>
      <c r="J16" s="300"/>
      <c r="K16" s="300"/>
      <c r="L16" s="30"/>
      <c r="M16" s="43">
        <v>5</v>
      </c>
      <c r="N16" s="35"/>
      <c r="O16" s="250">
        <v>5</v>
      </c>
    </row>
    <row r="17" spans="1:16" ht="12" customHeight="1" x14ac:dyDescent="0.2">
      <c r="B17" s="298" t="s">
        <v>340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8"/>
      <c r="M17" s="43">
        <v>6</v>
      </c>
      <c r="N17" s="35"/>
      <c r="O17" s="250">
        <v>6</v>
      </c>
    </row>
    <row r="18" spans="1:16" ht="15.75" x14ac:dyDescent="0.25">
      <c r="B18" s="307" t="str">
        <f>INDEX(база!E2:E44,$A$2)&amp;", заводской номер "&amp;INDEX(база!G2:G44,$A$2)&amp;", регистрационный номер "&amp;INDEX(база!F2:F44,$A$2)</f>
        <v>Е-1/9 Г-3, заводской номер 939, регистрационный номер 1081</v>
      </c>
      <c r="C18" s="307"/>
      <c r="D18" s="307" t="e">
        <f>IF(INDEX(база!C7:C41,$A$2-4)="","",INDEX(база!C7:C41,$A$2-4))</f>
        <v>#VALUE!</v>
      </c>
      <c r="E18" s="307" t="e">
        <f>IF(INDEX(база!D7:D44,$A$2-4)="","",INDEX(база!D7:D44,$A$2-4))</f>
        <v>#VALUE!</v>
      </c>
      <c r="F18" s="307" t="e">
        <f>IF(INDEX(база!E7:E44,$A$2-4)="","",INDEX(база!E7:E44,$A$2-4))</f>
        <v>#VALUE!</v>
      </c>
      <c r="G18" s="307" t="e">
        <f>IF(INDEX(база!F7:F44,$A$2-4)="","",INDEX(база!F7:F44,$A$2-4))</f>
        <v>#VALUE!</v>
      </c>
      <c r="H18" s="307" t="e">
        <f>IF(INDEX(база!G7:G44,$A$2-4)="","",INDEX(база!G7:G44,$A$2-4))</f>
        <v>#VALUE!</v>
      </c>
      <c r="I18" s="307" t="e">
        <f>IF(INDEX(база!H7:H44,$A$2-4)="","",INDEX(база!H7:H44,$A$2-4))</f>
        <v>#VALUE!</v>
      </c>
      <c r="J18" s="307" t="e">
        <f>IF(INDEX(база!I7:I44,$A$2-4)="","",INDEX(база!I7:I44,$A$2-4))</f>
        <v>#VALUE!</v>
      </c>
      <c r="K18" s="307" t="e">
        <f>IF(INDEX(база!J7:J44,$A$2-4)="","",INDEX(база!J7:J44,$A$2-4))</f>
        <v>#VALUE!</v>
      </c>
      <c r="L18" s="30"/>
      <c r="N18" s="1"/>
    </row>
    <row r="19" spans="1:16" ht="15" x14ac:dyDescent="0.2">
      <c r="B19" s="305" t="s">
        <v>285</v>
      </c>
      <c r="C19" s="305"/>
      <c r="D19" s="305"/>
      <c r="E19" s="305"/>
      <c r="F19" s="305"/>
      <c r="G19" s="305"/>
      <c r="H19" s="305"/>
      <c r="I19" s="305"/>
      <c r="J19" s="305"/>
      <c r="K19" s="305"/>
      <c r="L19" s="28"/>
      <c r="N19" s="41" t="str">
        <f>INDEX(база!N2:N44,$A$2)</f>
        <v>котел</v>
      </c>
    </row>
    <row r="20" spans="1:16" ht="15.75" x14ac:dyDescent="0.25">
      <c r="B20" s="300" t="str">
        <f>N2&amp;",  "&amp;INDEX(база!D2:D44,$A$2-2)</f>
        <v>АНО "хихи",  с. Троицкое</v>
      </c>
      <c r="C20" s="300"/>
      <c r="D20" s="300" t="e">
        <f>IF(INDEX(база!C7:C41,$A$2-4)="","",INDEX(база!C7:C41,$A$2-4))</f>
        <v>#VALUE!</v>
      </c>
      <c r="E20" s="300" t="e">
        <f>IF(INDEX(база!D7:D44,$A$2-4)="","",INDEX(база!D7:D44,$A$2-4))</f>
        <v>#VALUE!</v>
      </c>
      <c r="F20" s="300" t="e">
        <f>IF(INDEX(база!E7:E44,$A$2-4)="","",INDEX(база!E7:E44,$A$2-4))</f>
        <v>#VALUE!</v>
      </c>
      <c r="G20" s="300" t="e">
        <f>IF(INDEX(база!F7:F44,$A$2-4)="","",INDEX(база!F7:F44,$A$2-4))</f>
        <v>#VALUE!</v>
      </c>
      <c r="H20" s="300" t="e">
        <f>IF(INDEX(база!G7:G44,$A$2-4)="","",INDEX(база!G7:G44,$A$2-4))</f>
        <v>#VALUE!</v>
      </c>
      <c r="I20" s="300" t="e">
        <f>IF(INDEX(база!H7:H44,$A$2-4)="","",INDEX(база!H7:H44,$A$2-4))</f>
        <v>#VALUE!</v>
      </c>
      <c r="J20" s="300" t="e">
        <f>IF(INDEX(база!I7:I44,$A$2-4)="","",INDEX(база!I7:I44,$A$2-4))</f>
        <v>#VALUE!</v>
      </c>
      <c r="K20" s="300" t="e">
        <f>IF(INDEX(база!J7:J44,$A$2-4)="","",INDEX(база!J7:J44,$A$2-4))</f>
        <v>#VALUE!</v>
      </c>
      <c r="L20" s="69">
        <v>1</v>
      </c>
      <c r="M20" s="42" t="s">
        <v>406</v>
      </c>
      <c r="N20" s="248" t="s">
        <v>659</v>
      </c>
      <c r="P20" s="248"/>
    </row>
    <row r="21" spans="1:16" ht="11.25" customHeight="1" x14ac:dyDescent="0.2">
      <c r="B21" s="305" t="s">
        <v>597</v>
      </c>
      <c r="C21" s="305"/>
      <c r="D21" s="305"/>
      <c r="E21" s="305"/>
      <c r="F21" s="305"/>
      <c r="G21" s="305"/>
      <c r="H21" s="305"/>
      <c r="I21" s="305"/>
      <c r="J21" s="305"/>
      <c r="K21" s="305"/>
      <c r="L21" s="69">
        <v>2</v>
      </c>
      <c r="M21" s="42" t="s">
        <v>45</v>
      </c>
      <c r="N21" t="s">
        <v>660</v>
      </c>
    </row>
    <row r="22" spans="1:16" ht="35.25" customHeight="1" x14ac:dyDescent="0.2">
      <c r="B22" s="302" t="str">
        <f>"       Техническое освидетельствование проводилось в объёме требований "&amp;INDEX(N20:N27,A23)</f>
        <v xml:space="preserve">       Техническое освидетельствование проводилось в объёме требований Федеральные нормы и правила в области промышленной безопасности "Правила промышленной безопасности опасных производственных объектов, на которых используется оборудование, работающее под избыточным давлением"</v>
      </c>
      <c r="C22" s="302"/>
      <c r="D22" s="302"/>
      <c r="E22" s="302"/>
      <c r="F22" s="302"/>
      <c r="G22" s="302"/>
      <c r="H22" s="302"/>
      <c r="I22" s="302"/>
      <c r="J22" s="302"/>
      <c r="K22" s="302"/>
      <c r="L22" s="69">
        <v>3</v>
      </c>
      <c r="M22" s="42" t="s">
        <v>46</v>
      </c>
      <c r="N22" t="s">
        <v>660</v>
      </c>
    </row>
    <row r="23" spans="1:16" ht="30" customHeight="1" x14ac:dyDescent="0.2">
      <c r="A23" s="40">
        <f>MATCH(N19,M20:M27,)</f>
        <v>2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69">
        <v>4</v>
      </c>
      <c r="M23" s="42" t="s">
        <v>43</v>
      </c>
      <c r="N23" t="s">
        <v>660</v>
      </c>
    </row>
    <row r="24" spans="1:16" ht="11.25" customHeight="1" x14ac:dyDescent="0.2">
      <c r="B24" s="305" t="s">
        <v>467</v>
      </c>
      <c r="C24" s="305"/>
      <c r="D24" s="305"/>
      <c r="E24" s="305"/>
      <c r="F24" s="305"/>
      <c r="G24" s="305"/>
      <c r="H24" s="305"/>
      <c r="I24" s="305"/>
      <c r="J24" s="305"/>
      <c r="K24" s="305"/>
      <c r="L24" s="69">
        <v>5</v>
      </c>
      <c r="M24" s="42" t="s">
        <v>44</v>
      </c>
      <c r="N24" s="198" t="s">
        <v>661</v>
      </c>
    </row>
    <row r="25" spans="1:16" ht="15.75" x14ac:dyDescent="0.25"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69">
        <v>6</v>
      </c>
      <c r="M25" s="42" t="s">
        <v>192</v>
      </c>
      <c r="N25" t="s">
        <v>660</v>
      </c>
    </row>
    <row r="26" spans="1:16" ht="15" x14ac:dyDescent="0.25">
      <c r="B26" s="298" t="s">
        <v>17</v>
      </c>
      <c r="C26" s="298"/>
      <c r="D26" s="298"/>
      <c r="E26" s="298"/>
      <c r="F26" s="298"/>
      <c r="G26" s="298"/>
      <c r="H26" s="298"/>
      <c r="I26" s="298"/>
      <c r="J26" s="298"/>
      <c r="K26" s="298"/>
      <c r="L26" s="69">
        <v>7</v>
      </c>
      <c r="M26" s="42" t="s">
        <v>94</v>
      </c>
      <c r="N26" s="248" t="s">
        <v>659</v>
      </c>
    </row>
    <row r="27" spans="1:16" ht="15.75" x14ac:dyDescent="0.25"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69">
        <v>8</v>
      </c>
      <c r="M27" s="42" t="s">
        <v>411</v>
      </c>
      <c r="N27" t="s">
        <v>660</v>
      </c>
    </row>
    <row r="28" spans="1:16" ht="15.75" x14ac:dyDescent="0.25">
      <c r="B28" s="23" t="s">
        <v>169</v>
      </c>
      <c r="C28" s="23"/>
    </row>
    <row r="29" spans="1:16" ht="9" customHeight="1" x14ac:dyDescent="0.25">
      <c r="B29" s="23"/>
      <c r="C29" s="23"/>
    </row>
    <row r="30" spans="1:16" ht="17.25" customHeight="1" x14ac:dyDescent="0.2">
      <c r="B30" s="8" t="s">
        <v>170</v>
      </c>
      <c r="C30" s="294" t="s">
        <v>171</v>
      </c>
      <c r="D30" s="295"/>
      <c r="E30" s="295"/>
      <c r="F30" s="295"/>
      <c r="G30" s="295"/>
      <c r="H30" s="295"/>
      <c r="I30" s="295"/>
      <c r="J30" s="295"/>
      <c r="K30" s="296"/>
      <c r="L30" s="34"/>
    </row>
    <row r="31" spans="1:16" ht="15.75" customHeight="1" x14ac:dyDescent="0.2">
      <c r="B31" s="8">
        <v>1</v>
      </c>
      <c r="C31" s="285" t="s">
        <v>197</v>
      </c>
      <c r="D31" s="286"/>
      <c r="E31" s="286"/>
      <c r="F31" s="286"/>
      <c r="G31" s="286"/>
      <c r="H31" s="286"/>
      <c r="I31" s="286"/>
      <c r="J31" s="286"/>
      <c r="K31" s="287"/>
      <c r="L31" s="36"/>
    </row>
    <row r="32" spans="1:16" ht="15.75" customHeight="1" x14ac:dyDescent="0.2">
      <c r="B32" s="8">
        <v>2</v>
      </c>
      <c r="C32" s="285" t="s">
        <v>198</v>
      </c>
      <c r="D32" s="286"/>
      <c r="E32" s="286"/>
      <c r="F32" s="286"/>
      <c r="G32" s="286"/>
      <c r="H32" s="286"/>
      <c r="I32" s="286"/>
      <c r="J32" s="286"/>
      <c r="K32" s="287"/>
      <c r="L32" s="36"/>
    </row>
    <row r="33" spans="2:12" ht="15.75" customHeight="1" x14ac:dyDescent="0.2">
      <c r="B33" s="8">
        <v>3</v>
      </c>
      <c r="C33" s="285" t="s">
        <v>199</v>
      </c>
      <c r="D33" s="286"/>
      <c r="E33" s="286"/>
      <c r="F33" s="286"/>
      <c r="G33" s="286"/>
      <c r="H33" s="286"/>
      <c r="I33" s="286"/>
      <c r="J33" s="286"/>
      <c r="K33" s="287"/>
      <c r="L33" s="36"/>
    </row>
    <row r="34" spans="2:12" ht="15.75" customHeight="1" x14ac:dyDescent="0.2">
      <c r="B34" s="8">
        <v>4</v>
      </c>
      <c r="C34" s="285" t="s">
        <v>278</v>
      </c>
      <c r="D34" s="286"/>
      <c r="E34" s="286"/>
      <c r="F34" s="286"/>
      <c r="G34" s="286"/>
      <c r="H34" s="286"/>
      <c r="I34" s="286"/>
      <c r="J34" s="286"/>
      <c r="K34" s="287"/>
      <c r="L34" s="36"/>
    </row>
    <row r="35" spans="2:12" ht="15.75" customHeight="1" x14ac:dyDescent="0.2">
      <c r="B35" s="8">
        <v>5</v>
      </c>
      <c r="C35" s="285" t="s">
        <v>425</v>
      </c>
      <c r="D35" s="286"/>
      <c r="E35" s="286"/>
      <c r="F35" s="286"/>
      <c r="G35" s="286"/>
      <c r="H35" s="286"/>
      <c r="I35" s="286"/>
      <c r="J35" s="286"/>
      <c r="K35" s="287"/>
      <c r="L35" s="36"/>
    </row>
    <row r="36" spans="2:12" ht="15.75" x14ac:dyDescent="0.2">
      <c r="B36" s="8">
        <v>6</v>
      </c>
      <c r="C36" s="285"/>
      <c r="D36" s="286"/>
      <c r="E36" s="286"/>
      <c r="F36" s="286"/>
      <c r="G36" s="286"/>
      <c r="H36" s="286"/>
      <c r="I36" s="286"/>
      <c r="J36" s="286"/>
      <c r="K36" s="287"/>
      <c r="L36" s="36"/>
    </row>
    <row r="37" spans="2:12" ht="15.75" hidden="1" x14ac:dyDescent="0.2">
      <c r="B37" s="8">
        <v>7</v>
      </c>
      <c r="C37" s="285"/>
      <c r="D37" s="286"/>
      <c r="E37" s="286"/>
      <c r="F37" s="286"/>
      <c r="G37" s="286"/>
      <c r="H37" s="286"/>
      <c r="I37" s="286"/>
      <c r="J37" s="286"/>
      <c r="K37" s="287"/>
      <c r="L37" s="36"/>
    </row>
    <row r="38" spans="2:12" ht="15.75" hidden="1" x14ac:dyDescent="0.2">
      <c r="B38" s="8">
        <v>8</v>
      </c>
      <c r="C38" s="285"/>
      <c r="D38" s="286"/>
      <c r="E38" s="286"/>
      <c r="F38" s="286"/>
      <c r="G38" s="286"/>
      <c r="H38" s="286"/>
      <c r="I38" s="286"/>
      <c r="J38" s="286"/>
      <c r="K38" s="287"/>
      <c r="L38" s="36"/>
    </row>
    <row r="39" spans="2:12" ht="15.75" hidden="1" x14ac:dyDescent="0.2">
      <c r="B39" s="8">
        <v>9</v>
      </c>
      <c r="C39" s="285"/>
      <c r="D39" s="286"/>
      <c r="E39" s="286"/>
      <c r="F39" s="286"/>
      <c r="G39" s="286"/>
      <c r="H39" s="286"/>
      <c r="I39" s="286"/>
      <c r="J39" s="286"/>
      <c r="K39" s="287"/>
      <c r="L39" s="36"/>
    </row>
    <row r="40" spans="2:12" ht="15.75" hidden="1" x14ac:dyDescent="0.2">
      <c r="B40" s="8">
        <v>10</v>
      </c>
      <c r="C40" s="285"/>
      <c r="D40" s="286"/>
      <c r="E40" s="286"/>
      <c r="F40" s="286"/>
      <c r="G40" s="286"/>
      <c r="H40" s="286"/>
      <c r="I40" s="286"/>
      <c r="J40" s="286"/>
      <c r="K40" s="287"/>
      <c r="L40" s="36"/>
    </row>
    <row r="41" spans="2:12" ht="15.75" hidden="1" x14ac:dyDescent="0.2">
      <c r="B41" s="8">
        <v>11</v>
      </c>
      <c r="C41" s="285"/>
      <c r="D41" s="286"/>
      <c r="E41" s="286"/>
      <c r="F41" s="286"/>
      <c r="G41" s="286"/>
      <c r="H41" s="286"/>
      <c r="I41" s="286"/>
      <c r="J41" s="286"/>
      <c r="K41" s="287"/>
      <c r="L41" s="36"/>
    </row>
    <row r="42" spans="2:12" ht="15.75" hidden="1" x14ac:dyDescent="0.2">
      <c r="B42" s="8">
        <v>12</v>
      </c>
      <c r="C42" s="285"/>
      <c r="D42" s="286"/>
      <c r="E42" s="286"/>
      <c r="F42" s="286"/>
      <c r="G42" s="286"/>
      <c r="H42" s="286"/>
      <c r="I42" s="286"/>
      <c r="J42" s="286"/>
      <c r="K42" s="287"/>
      <c r="L42" s="36"/>
    </row>
    <row r="43" spans="2:12" ht="15.75" hidden="1" x14ac:dyDescent="0.2">
      <c r="B43" s="8">
        <v>13</v>
      </c>
      <c r="C43" s="285"/>
      <c r="D43" s="286"/>
      <c r="E43" s="286"/>
      <c r="F43" s="286"/>
      <c r="G43" s="286"/>
      <c r="H43" s="286"/>
      <c r="I43" s="286"/>
      <c r="J43" s="286"/>
      <c r="K43" s="287"/>
      <c r="L43" s="36"/>
    </row>
    <row r="44" spans="2:12" ht="15.75" hidden="1" x14ac:dyDescent="0.2">
      <c r="B44" s="8">
        <v>14</v>
      </c>
      <c r="C44" s="285"/>
      <c r="D44" s="286"/>
      <c r="E44" s="286"/>
      <c r="F44" s="286"/>
      <c r="G44" s="286"/>
      <c r="H44" s="286"/>
      <c r="I44" s="286"/>
      <c r="J44" s="286"/>
      <c r="K44" s="287"/>
      <c r="L44" s="36"/>
    </row>
    <row r="45" spans="2:12" ht="15.75" hidden="1" x14ac:dyDescent="0.2">
      <c r="B45" s="8">
        <v>15</v>
      </c>
      <c r="C45" s="285"/>
      <c r="D45" s="286"/>
      <c r="E45" s="286"/>
      <c r="F45" s="286"/>
      <c r="G45" s="286"/>
      <c r="H45" s="286"/>
      <c r="I45" s="286"/>
      <c r="J45" s="286"/>
      <c r="K45" s="287"/>
      <c r="L45" s="36"/>
    </row>
    <row r="46" spans="2:12" ht="15.75" hidden="1" x14ac:dyDescent="0.2">
      <c r="B46" s="8">
        <v>16</v>
      </c>
      <c r="C46" s="285"/>
      <c r="D46" s="286"/>
      <c r="E46" s="286"/>
      <c r="F46" s="286"/>
      <c r="G46" s="286"/>
      <c r="H46" s="286"/>
      <c r="I46" s="286"/>
      <c r="J46" s="286"/>
      <c r="K46" s="287"/>
      <c r="L46" s="36"/>
    </row>
    <row r="47" spans="2:12" ht="15.75" hidden="1" x14ac:dyDescent="0.2">
      <c r="B47" s="8">
        <v>17</v>
      </c>
      <c r="C47" s="285"/>
      <c r="D47" s="286"/>
      <c r="E47" s="286"/>
      <c r="F47" s="286"/>
      <c r="G47" s="286"/>
      <c r="H47" s="286"/>
      <c r="I47" s="286"/>
      <c r="J47" s="286"/>
      <c r="K47" s="287"/>
      <c r="L47" s="36"/>
    </row>
    <row r="48" spans="2:12" ht="15.75" hidden="1" x14ac:dyDescent="0.2">
      <c r="B48" s="8">
        <v>18</v>
      </c>
      <c r="C48" s="285"/>
      <c r="D48" s="286"/>
      <c r="E48" s="286"/>
      <c r="F48" s="286"/>
      <c r="G48" s="286"/>
      <c r="H48" s="286"/>
      <c r="I48" s="286"/>
      <c r="J48" s="286"/>
      <c r="K48" s="287"/>
      <c r="L48" s="36"/>
    </row>
    <row r="49" spans="1:14" ht="15.75" hidden="1" x14ac:dyDescent="0.2">
      <c r="B49" s="8">
        <v>19</v>
      </c>
      <c r="C49" s="285"/>
      <c r="D49" s="286"/>
      <c r="E49" s="286"/>
      <c r="F49" s="286"/>
      <c r="G49" s="286"/>
      <c r="H49" s="286"/>
      <c r="I49" s="286"/>
      <c r="J49" s="286"/>
      <c r="K49" s="287"/>
      <c r="L49" s="36"/>
    </row>
    <row r="51" spans="1:14" ht="15.75" x14ac:dyDescent="0.25">
      <c r="B51" s="19" t="s">
        <v>607</v>
      </c>
      <c r="C51" s="19"/>
    </row>
    <row r="52" spans="1:14" ht="15.75" x14ac:dyDescent="0.25">
      <c r="B52" s="37" t="s">
        <v>136</v>
      </c>
      <c r="C52" s="37"/>
      <c r="D52" s="27"/>
      <c r="E52" s="27"/>
      <c r="F52" s="27"/>
      <c r="G52" s="27"/>
      <c r="H52" s="27"/>
      <c r="I52" s="27"/>
      <c r="J52" s="27"/>
      <c r="K52" s="27"/>
    </row>
    <row r="53" spans="1:14" ht="15.75" x14ac:dyDescent="0.25">
      <c r="B53" s="37" t="s">
        <v>594</v>
      </c>
      <c r="C53" s="37"/>
      <c r="D53" s="27"/>
      <c r="E53" s="27"/>
      <c r="F53" s="27"/>
      <c r="G53" s="27"/>
      <c r="H53" s="27"/>
      <c r="I53" s="27"/>
      <c r="J53" s="27"/>
      <c r="K53" s="27"/>
    </row>
    <row r="54" spans="1:14" ht="15.75" x14ac:dyDescent="0.25">
      <c r="B54" s="37"/>
      <c r="C54" s="37"/>
      <c r="D54" s="27"/>
      <c r="E54" s="27"/>
      <c r="F54" s="27"/>
      <c r="G54" s="27"/>
      <c r="H54" s="27"/>
      <c r="I54" s="27"/>
      <c r="J54" s="27"/>
      <c r="K54" s="27"/>
    </row>
    <row r="55" spans="1:14" ht="15.75" hidden="1" x14ac:dyDescent="0.25">
      <c r="B55" s="37"/>
      <c r="C55" s="37"/>
      <c r="D55" s="27"/>
      <c r="E55" s="27"/>
      <c r="F55" s="27"/>
      <c r="G55" s="27"/>
      <c r="H55" s="27"/>
      <c r="I55" s="27"/>
      <c r="J55" s="27"/>
      <c r="K55" s="27"/>
    </row>
    <row r="56" spans="1:14" ht="15.75" hidden="1" x14ac:dyDescent="0.25">
      <c r="B56" s="37"/>
      <c r="C56" s="37"/>
      <c r="D56" s="27"/>
      <c r="E56" s="27"/>
      <c r="F56" s="27"/>
      <c r="G56" s="27"/>
      <c r="H56" s="27"/>
      <c r="I56" s="27"/>
      <c r="J56" s="27"/>
      <c r="K56" s="27"/>
    </row>
    <row r="57" spans="1:14" ht="15.75" hidden="1" x14ac:dyDescent="0.25">
      <c r="B57" s="37"/>
      <c r="C57" s="37"/>
      <c r="D57" s="27"/>
      <c r="E57" s="27"/>
      <c r="F57" s="27"/>
      <c r="G57" s="27"/>
      <c r="H57" s="27"/>
      <c r="I57" s="27"/>
      <c r="J57" s="27"/>
      <c r="K57" s="27"/>
    </row>
    <row r="58" spans="1:14" ht="15.75" hidden="1" x14ac:dyDescent="0.25">
      <c r="B58" s="37"/>
      <c r="C58" s="37"/>
      <c r="D58" s="27"/>
      <c r="E58" s="27"/>
      <c r="F58" s="27"/>
      <c r="G58" s="27"/>
      <c r="H58" s="27"/>
      <c r="I58" s="27"/>
      <c r="J58" s="27"/>
      <c r="K58" s="27"/>
    </row>
    <row r="59" spans="1:14" x14ac:dyDescent="0.2">
      <c r="B59" s="17"/>
      <c r="C59" s="17"/>
    </row>
    <row r="60" spans="1:14" ht="15.75" x14ac:dyDescent="0.25">
      <c r="B60" s="293" t="s">
        <v>64</v>
      </c>
      <c r="C60" s="293"/>
      <c r="D60" s="293"/>
      <c r="E60" s="293"/>
      <c r="F60" s="293"/>
      <c r="G60" s="293"/>
      <c r="H60" s="293"/>
      <c r="I60" s="293"/>
      <c r="J60" s="293"/>
      <c r="K60" s="293"/>
    </row>
    <row r="61" spans="1:14" ht="15.75" x14ac:dyDescent="0.25">
      <c r="B61" s="18"/>
      <c r="C61" s="18"/>
    </row>
    <row r="62" spans="1:14" ht="15.75" customHeight="1" x14ac:dyDescent="0.2">
      <c r="A62" s="247">
        <v>2</v>
      </c>
      <c r="B62" s="288" t="str">
        <f>"а) "&amp;B18&amp;INDEX(N62:N63,A62)</f>
        <v>а) Е-1/9 Г-3, заводской номер 939, регистрационный номер 1081 не соответсвует обязательным требованиям</v>
      </c>
      <c r="C62" s="288"/>
      <c r="D62" s="288"/>
      <c r="E62" s="288"/>
      <c r="F62" s="288"/>
      <c r="G62" s="288"/>
      <c r="H62" s="288"/>
      <c r="I62" s="288"/>
      <c r="J62" s="288"/>
      <c r="K62" s="288"/>
      <c r="M62" s="247">
        <v>1</v>
      </c>
      <c r="N62" s="246" t="s">
        <v>657</v>
      </c>
    </row>
    <row r="63" spans="1:14" ht="9.75" customHeight="1" x14ac:dyDescent="0.2">
      <c r="B63" s="290" t="s">
        <v>604</v>
      </c>
      <c r="C63" s="290"/>
      <c r="D63" s="290"/>
      <c r="E63" s="290"/>
      <c r="F63" s="290"/>
      <c r="G63" s="290"/>
      <c r="H63" s="290"/>
      <c r="I63" s="290"/>
      <c r="J63" s="290"/>
      <c r="K63" s="290"/>
      <c r="M63" s="247">
        <v>2</v>
      </c>
      <c r="N63" s="246" t="s">
        <v>658</v>
      </c>
    </row>
    <row r="64" spans="1:14" x14ac:dyDescent="0.2">
      <c r="B64" s="20"/>
      <c r="C64" s="20"/>
    </row>
    <row r="65" spans="2:11" x14ac:dyDescent="0.2">
      <c r="B65" s="39" t="str">
        <f>"б) "&amp;B18</f>
        <v>б) Е-1/9 Г-3, заводской номер 939, регистрационный номер 1081</v>
      </c>
      <c r="C65" s="39"/>
      <c r="D65" s="38"/>
      <c r="E65" s="38"/>
      <c r="F65" s="38"/>
      <c r="G65" s="38"/>
      <c r="H65" s="38"/>
      <c r="K65" s="31" t="s">
        <v>656</v>
      </c>
    </row>
    <row r="66" spans="2:11" x14ac:dyDescent="0.2">
      <c r="B66" s="290" t="s">
        <v>603</v>
      </c>
      <c r="C66" s="290"/>
      <c r="D66" s="290"/>
      <c r="E66" s="290"/>
      <c r="F66" s="290"/>
      <c r="G66" s="290"/>
      <c r="H66" s="290"/>
      <c r="I66" s="290"/>
      <c r="J66" s="290"/>
      <c r="K66" s="290"/>
    </row>
    <row r="67" spans="2:11" ht="15.75" x14ac:dyDescent="0.25">
      <c r="B67" s="292" t="s">
        <v>190</v>
      </c>
      <c r="C67" s="292"/>
      <c r="D67" s="292"/>
      <c r="E67" s="292"/>
      <c r="F67" s="292"/>
      <c r="G67" s="292"/>
      <c r="H67" s="292"/>
      <c r="I67" s="292"/>
      <c r="J67" s="292"/>
      <c r="K67" s="292"/>
    </row>
    <row r="68" spans="2:11" x14ac:dyDescent="0.2">
      <c r="B68" s="290" t="s">
        <v>65</v>
      </c>
      <c r="C68" s="290"/>
      <c r="D68" s="291"/>
      <c r="E68" s="291"/>
      <c r="F68" s="291"/>
      <c r="G68" s="291"/>
      <c r="H68" s="291"/>
      <c r="I68" s="291"/>
      <c r="J68" s="291"/>
      <c r="K68" s="291"/>
    </row>
    <row r="69" spans="2:11" ht="15.75" x14ac:dyDescent="0.25">
      <c r="B69" s="22" t="s">
        <v>410</v>
      </c>
      <c r="C69" s="22"/>
    </row>
    <row r="70" spans="2:11" ht="15.75" x14ac:dyDescent="0.25">
      <c r="B70" s="292" t="s">
        <v>137</v>
      </c>
      <c r="C70" s="292"/>
      <c r="D70" s="292"/>
      <c r="E70" s="292"/>
      <c r="F70" s="292"/>
      <c r="G70" s="292"/>
      <c r="H70" s="292"/>
      <c r="I70" s="292"/>
      <c r="J70" s="292"/>
      <c r="K70" s="292"/>
    </row>
    <row r="71" spans="2:11" x14ac:dyDescent="0.2">
      <c r="B71" s="290" t="s">
        <v>605</v>
      </c>
      <c r="C71" s="290"/>
      <c r="D71" s="291"/>
      <c r="E71" s="291"/>
      <c r="F71" s="291"/>
      <c r="G71" s="291"/>
      <c r="H71" s="291"/>
      <c r="I71" s="291"/>
      <c r="J71" s="291"/>
      <c r="K71" s="291"/>
    </row>
    <row r="72" spans="2:11" ht="15.75" x14ac:dyDescent="0.25">
      <c r="B72" s="19" t="s">
        <v>60</v>
      </c>
      <c r="C72" s="19"/>
      <c r="H72" s="122" t="s">
        <v>138</v>
      </c>
      <c r="I72" s="27"/>
      <c r="J72" s="27"/>
      <c r="K72" s="27"/>
    </row>
    <row r="73" spans="2:11" ht="15.75" x14ac:dyDescent="0.25">
      <c r="B73" s="37"/>
      <c r="C73" s="37"/>
      <c r="D73" s="27"/>
      <c r="E73" s="27"/>
      <c r="F73" s="27"/>
      <c r="G73" s="27"/>
      <c r="H73" s="27"/>
      <c r="I73" s="27"/>
      <c r="J73" s="27"/>
      <c r="K73" s="27"/>
    </row>
    <row r="74" spans="2:11" ht="15.75" x14ac:dyDescent="0.25">
      <c r="B74" s="16"/>
      <c r="C74" s="16"/>
    </row>
    <row r="75" spans="2:11" ht="15.75" x14ac:dyDescent="0.25">
      <c r="B75" s="19" t="s">
        <v>291</v>
      </c>
      <c r="C75" s="19"/>
      <c r="G75" s="2" t="s">
        <v>367</v>
      </c>
    </row>
    <row r="76" spans="2:11" ht="15.75" x14ac:dyDescent="0.25">
      <c r="B76" s="19" t="s">
        <v>151</v>
      </c>
      <c r="C76" s="19"/>
      <c r="G76" s="2" t="s">
        <v>602</v>
      </c>
    </row>
    <row r="77" spans="2:11" ht="15.75" x14ac:dyDescent="0.25">
      <c r="B77" s="19"/>
      <c r="C77" s="19"/>
    </row>
    <row r="78" spans="2:11" ht="15.75" x14ac:dyDescent="0.25">
      <c r="B78" s="37"/>
      <c r="C78" s="37"/>
      <c r="D78" s="27"/>
      <c r="E78" s="27"/>
      <c r="H78" s="27"/>
      <c r="I78" s="27"/>
      <c r="J78" s="27"/>
    </row>
    <row r="79" spans="2:11" x14ac:dyDescent="0.2">
      <c r="B79" s="289" t="s">
        <v>442</v>
      </c>
      <c r="C79" s="289"/>
      <c r="D79" s="289"/>
      <c r="E79" s="289"/>
      <c r="H79" s="289" t="s">
        <v>442</v>
      </c>
      <c r="I79" s="289"/>
      <c r="J79" s="289"/>
    </row>
    <row r="80" spans="2:11" ht="15.75" x14ac:dyDescent="0.25">
      <c r="B80" s="19"/>
      <c r="C80" s="19"/>
    </row>
    <row r="81" spans="2:3" x14ac:dyDescent="0.2">
      <c r="B81" s="21"/>
      <c r="C81" s="21"/>
    </row>
  </sheetData>
  <mergeCells count="52">
    <mergeCell ref="C49:K49"/>
    <mergeCell ref="C41:K41"/>
    <mergeCell ref="B22:K23"/>
    <mergeCell ref="A2:A3"/>
    <mergeCell ref="B21:K21"/>
    <mergeCell ref="B24:K24"/>
    <mergeCell ref="B26:K26"/>
    <mergeCell ref="B17:K17"/>
    <mergeCell ref="B25:K25"/>
    <mergeCell ref="B19:K19"/>
    <mergeCell ref="B7:D7"/>
    <mergeCell ref="D16:K16"/>
    <mergeCell ref="B10:D10"/>
    <mergeCell ref="B18:K18"/>
    <mergeCell ref="B20:K20"/>
    <mergeCell ref="C47:K47"/>
    <mergeCell ref="B1:K1"/>
    <mergeCell ref="B2:K2"/>
    <mergeCell ref="B15:K15"/>
    <mergeCell ref="B13:K13"/>
    <mergeCell ref="B5:K5"/>
    <mergeCell ref="B3:K3"/>
    <mergeCell ref="D12:K12"/>
    <mergeCell ref="H10:I10"/>
    <mergeCell ref="D14:K14"/>
    <mergeCell ref="C30:K30"/>
    <mergeCell ref="C34:K34"/>
    <mergeCell ref="C40:K40"/>
    <mergeCell ref="C38:K38"/>
    <mergeCell ref="C39:K39"/>
    <mergeCell ref="C37:K37"/>
    <mergeCell ref="C31:K31"/>
    <mergeCell ref="C32:K32"/>
    <mergeCell ref="C33:K33"/>
    <mergeCell ref="C35:K35"/>
    <mergeCell ref="C36:K36"/>
    <mergeCell ref="C46:K46"/>
    <mergeCell ref="C42:K42"/>
    <mergeCell ref="C43:K43"/>
    <mergeCell ref="B62:K62"/>
    <mergeCell ref="B79:E79"/>
    <mergeCell ref="H79:J79"/>
    <mergeCell ref="B63:K63"/>
    <mergeCell ref="B66:K66"/>
    <mergeCell ref="B68:K68"/>
    <mergeCell ref="B70:K70"/>
    <mergeCell ref="B67:K67"/>
    <mergeCell ref="B71:K71"/>
    <mergeCell ref="C45:K45"/>
    <mergeCell ref="C44:K44"/>
    <mergeCell ref="B60:K60"/>
    <mergeCell ref="C48:K48"/>
  </mergeCells>
  <phoneticPr fontId="2" type="noConversion"/>
  <pageMargins left="0.45" right="0.28000000000000003" top="0.45" bottom="0.59" header="0.38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workbookViewId="0">
      <pane ySplit="1" topLeftCell="A2" activePane="bottomLeft" state="frozen"/>
      <selection pane="bottomLeft" activeCell="L2" sqref="L2"/>
    </sheetView>
  </sheetViews>
  <sheetFormatPr defaultRowHeight="12.75" x14ac:dyDescent="0.2"/>
  <cols>
    <col min="1" max="1" width="5.140625" customWidth="1"/>
    <col min="2" max="2" width="7.140625" style="258" customWidth="1"/>
    <col min="3" max="3" width="14" customWidth="1"/>
    <col min="4" max="4" width="13.7109375" customWidth="1"/>
    <col min="5" max="5" width="13.7109375" bestFit="1" customWidth="1"/>
    <col min="6" max="6" width="6.140625" customWidth="1"/>
    <col min="7" max="7" width="11.42578125" customWidth="1"/>
    <col min="8" max="8" width="7.140625" customWidth="1"/>
    <col min="9" max="9" width="7.85546875" customWidth="1"/>
    <col min="10" max="10" width="7" style="251" customWidth="1"/>
    <col min="11" max="11" width="6.7109375" style="251" customWidth="1"/>
    <col min="12" max="12" width="7.140625" style="251" customWidth="1"/>
    <col min="13" max="13" width="15.85546875" style="251" customWidth="1"/>
    <col min="14" max="14" width="13.5703125" customWidth="1"/>
    <col min="15" max="15" width="7.140625" customWidth="1"/>
    <col min="16" max="16" width="8.5703125" customWidth="1"/>
    <col min="17" max="17" width="10" customWidth="1"/>
    <col min="18" max="18" width="7.42578125" customWidth="1"/>
    <col min="19" max="19" width="3" customWidth="1"/>
    <col min="20" max="20" width="8.28515625" customWidth="1"/>
    <col min="21" max="21" width="7.85546875" customWidth="1"/>
    <col min="22" max="22" width="7" customWidth="1"/>
    <col min="23" max="23" width="8.28515625" customWidth="1"/>
  </cols>
  <sheetData>
    <row r="1" spans="1:25" s="252" customFormat="1" ht="36" customHeight="1" x14ac:dyDescent="0.2">
      <c r="A1" s="255" t="s">
        <v>159</v>
      </c>
      <c r="B1" s="255" t="s">
        <v>619</v>
      </c>
      <c r="C1" s="255" t="s">
        <v>127</v>
      </c>
      <c r="D1" s="255" t="s">
        <v>620</v>
      </c>
      <c r="E1" s="255" t="s">
        <v>634</v>
      </c>
      <c r="F1" s="255" t="s">
        <v>231</v>
      </c>
      <c r="G1" s="255" t="s">
        <v>232</v>
      </c>
      <c r="H1" s="255" t="s">
        <v>233</v>
      </c>
      <c r="I1" s="256" t="s">
        <v>234</v>
      </c>
      <c r="J1" s="256" t="s">
        <v>635</v>
      </c>
      <c r="K1" s="256" t="s">
        <v>636</v>
      </c>
      <c r="L1" s="256" t="s">
        <v>277</v>
      </c>
      <c r="M1" s="255" t="s">
        <v>236</v>
      </c>
      <c r="N1" s="255" t="s">
        <v>47</v>
      </c>
      <c r="O1" s="255" t="s">
        <v>692</v>
      </c>
      <c r="P1" s="255" t="s">
        <v>595</v>
      </c>
      <c r="Q1" s="255" t="s">
        <v>239</v>
      </c>
      <c r="R1" s="255" t="s">
        <v>701</v>
      </c>
      <c r="T1" s="252" t="str">
        <f>SUBTOTAL(3,A2:A44)&amp;" организ."</f>
        <v>9 организ.</v>
      </c>
      <c r="U1" s="268">
        <f ca="1">SUMPRODUCT(SUBTOTAL(103,OFFSET(B1,ROW(B2:B9269)-1,,1,1))*(L2:L9269&lt;база!T1))/SUBTOTAL(102,$L$2:$L$9269)</f>
        <v>0.86046511627906974</v>
      </c>
      <c r="V1" s="268" t="str">
        <f ca="1">SUMPRODUCT(SUBTOTAL(103,OFFSET(B1,ROW(B2:B9269)-1,,1,1))*(L2:L9269&lt;база!T1))&amp;" НЕТ ЭО"</f>
        <v>37 НЕТ ЭО</v>
      </c>
      <c r="W1" s="253" t="str">
        <f>"Всего "&amp;SUBTOTAL(3,L2:L44)&amp;" ТУ"</f>
        <v>Всего 43 ТУ</v>
      </c>
      <c r="X1" s="270" t="str">
        <f>SUBTOTAL(109,R2:R44)&amp;" не рег ТУ"</f>
        <v>4 не рег ТУ</v>
      </c>
      <c r="Y1" s="269"/>
    </row>
    <row r="2" spans="1:25" x14ac:dyDescent="0.2">
      <c r="A2" s="257">
        <v>1</v>
      </c>
      <c r="B2" s="254" t="s">
        <v>543</v>
      </c>
      <c r="C2" s="254" t="s">
        <v>544</v>
      </c>
      <c r="D2" s="254" t="s">
        <v>612</v>
      </c>
      <c r="E2" s="254" t="s">
        <v>322</v>
      </c>
      <c r="F2" s="254">
        <v>1042</v>
      </c>
      <c r="G2" s="254" t="s">
        <v>158</v>
      </c>
      <c r="H2" s="254">
        <v>2010</v>
      </c>
      <c r="I2" s="251">
        <v>40533</v>
      </c>
      <c r="J2" s="251">
        <v>41974</v>
      </c>
      <c r="K2" s="251">
        <v>41974</v>
      </c>
      <c r="L2" s="251">
        <v>44183</v>
      </c>
      <c r="M2" s="254" t="s">
        <v>693</v>
      </c>
      <c r="N2" s="254" t="s">
        <v>406</v>
      </c>
      <c r="O2" s="254" t="s">
        <v>27</v>
      </c>
      <c r="P2" s="254" t="s">
        <v>545</v>
      </c>
      <c r="Q2" s="254" t="s">
        <v>572</v>
      </c>
      <c r="R2" s="254" t="s">
        <v>693</v>
      </c>
    </row>
    <row r="3" spans="1:25" x14ac:dyDescent="0.2">
      <c r="A3" s="257"/>
      <c r="B3" s="254" t="s">
        <v>543</v>
      </c>
      <c r="C3" s="254" t="s">
        <v>544</v>
      </c>
      <c r="D3" s="254" t="s">
        <v>612</v>
      </c>
      <c r="E3" s="254" t="s">
        <v>37</v>
      </c>
      <c r="F3" s="254">
        <v>1081</v>
      </c>
      <c r="G3" s="254" t="s">
        <v>262</v>
      </c>
      <c r="H3" s="254">
        <v>1981</v>
      </c>
      <c r="I3" s="251">
        <v>29740</v>
      </c>
      <c r="J3" s="251">
        <v>37048</v>
      </c>
      <c r="K3" s="251">
        <v>37048</v>
      </c>
      <c r="L3" s="251">
        <v>37048</v>
      </c>
      <c r="M3" s="254" t="s">
        <v>687</v>
      </c>
      <c r="N3" s="254" t="s">
        <v>45</v>
      </c>
      <c r="O3" s="254" t="s">
        <v>28</v>
      </c>
      <c r="P3" s="254" t="s">
        <v>545</v>
      </c>
      <c r="Q3" s="254" t="s">
        <v>572</v>
      </c>
      <c r="R3" s="254" t="s">
        <v>693</v>
      </c>
    </row>
    <row r="4" spans="1:25" x14ac:dyDescent="0.2">
      <c r="A4" s="257">
        <v>1</v>
      </c>
      <c r="B4" s="254" t="s">
        <v>538</v>
      </c>
      <c r="C4" s="254" t="s">
        <v>552</v>
      </c>
      <c r="D4" s="254" t="s">
        <v>474</v>
      </c>
      <c r="E4" s="254" t="s">
        <v>103</v>
      </c>
      <c r="F4" s="254">
        <v>1043</v>
      </c>
      <c r="G4" s="254" t="s">
        <v>261</v>
      </c>
      <c r="H4" s="254">
        <v>2010</v>
      </c>
      <c r="I4" s="251">
        <v>40533</v>
      </c>
      <c r="J4" s="251">
        <v>41974</v>
      </c>
      <c r="K4" s="251">
        <v>44166</v>
      </c>
      <c r="L4" s="251">
        <v>44183</v>
      </c>
      <c r="M4" s="254" t="s">
        <v>693</v>
      </c>
      <c r="N4" s="254" t="s">
        <v>406</v>
      </c>
      <c r="O4" s="254" t="s">
        <v>27</v>
      </c>
      <c r="P4" s="254" t="s">
        <v>693</v>
      </c>
      <c r="Q4" s="254" t="s">
        <v>572</v>
      </c>
      <c r="R4" s="254" t="s">
        <v>693</v>
      </c>
    </row>
    <row r="5" spans="1:25" x14ac:dyDescent="0.2">
      <c r="A5" s="257"/>
      <c r="B5" s="254" t="s">
        <v>538</v>
      </c>
      <c r="C5" s="254" t="s">
        <v>552</v>
      </c>
      <c r="D5" s="254" t="s">
        <v>474</v>
      </c>
      <c r="E5" s="254" t="s">
        <v>284</v>
      </c>
      <c r="F5" s="254">
        <v>739</v>
      </c>
      <c r="G5" s="254" t="s">
        <v>509</v>
      </c>
      <c r="H5" s="254">
        <v>1990</v>
      </c>
      <c r="I5" s="251">
        <v>33208</v>
      </c>
      <c r="J5" s="251">
        <v>36862</v>
      </c>
      <c r="K5" s="251">
        <v>36862</v>
      </c>
      <c r="L5" s="251">
        <v>36862</v>
      </c>
      <c r="M5" s="254" t="s">
        <v>687</v>
      </c>
      <c r="N5" s="254" t="s">
        <v>406</v>
      </c>
      <c r="O5" s="254" t="s">
        <v>27</v>
      </c>
      <c r="P5" s="254" t="s">
        <v>693</v>
      </c>
      <c r="Q5" s="254" t="s">
        <v>572</v>
      </c>
      <c r="R5" s="254" t="s">
        <v>693</v>
      </c>
    </row>
    <row r="6" spans="1:25" x14ac:dyDescent="0.2">
      <c r="A6" s="257"/>
      <c r="B6" s="254" t="s">
        <v>538</v>
      </c>
      <c r="C6" s="254" t="s">
        <v>552</v>
      </c>
      <c r="D6" s="254" t="s">
        <v>474</v>
      </c>
      <c r="E6" s="254" t="s">
        <v>218</v>
      </c>
      <c r="F6" s="254">
        <v>224</v>
      </c>
      <c r="G6" s="254" t="s">
        <v>67</v>
      </c>
      <c r="H6" s="254">
        <v>1998</v>
      </c>
      <c r="I6" s="251">
        <v>35796</v>
      </c>
      <c r="J6" s="251">
        <v>39114</v>
      </c>
      <c r="K6" s="251">
        <v>39114</v>
      </c>
      <c r="L6" s="251">
        <v>38716</v>
      </c>
      <c r="M6" s="254" t="s">
        <v>687</v>
      </c>
      <c r="N6" s="254" t="s">
        <v>94</v>
      </c>
      <c r="O6" s="254" t="s">
        <v>27</v>
      </c>
      <c r="P6" s="254" t="s">
        <v>693</v>
      </c>
      <c r="Q6" s="254" t="s">
        <v>572</v>
      </c>
      <c r="R6" s="254" t="s">
        <v>693</v>
      </c>
    </row>
    <row r="7" spans="1:25" x14ac:dyDescent="0.2">
      <c r="A7" s="257"/>
      <c r="B7" s="254" t="s">
        <v>538</v>
      </c>
      <c r="C7" s="254" t="s">
        <v>552</v>
      </c>
      <c r="D7" s="254" t="s">
        <v>474</v>
      </c>
      <c r="E7" s="254" t="s">
        <v>218</v>
      </c>
      <c r="F7" s="254">
        <v>1079</v>
      </c>
      <c r="G7" s="254" t="s">
        <v>364</v>
      </c>
      <c r="H7" s="254">
        <v>2009</v>
      </c>
      <c r="I7" s="251">
        <v>39963</v>
      </c>
      <c r="J7" s="251">
        <v>42883</v>
      </c>
      <c r="K7" s="251">
        <v>42883</v>
      </c>
      <c r="L7" s="251">
        <v>42883</v>
      </c>
      <c r="M7" s="254" t="s">
        <v>687</v>
      </c>
      <c r="N7" s="254" t="s">
        <v>94</v>
      </c>
      <c r="O7" s="254" t="s">
        <v>27</v>
      </c>
      <c r="P7" s="254" t="s">
        <v>693</v>
      </c>
      <c r="Q7" s="254" t="s">
        <v>572</v>
      </c>
      <c r="R7" s="254" t="s">
        <v>693</v>
      </c>
    </row>
    <row r="8" spans="1:25" x14ac:dyDescent="0.2">
      <c r="A8" s="257">
        <v>1</v>
      </c>
      <c r="B8" s="254" t="s">
        <v>555</v>
      </c>
      <c r="C8" s="254" t="s">
        <v>556</v>
      </c>
      <c r="D8" s="254" t="s">
        <v>83</v>
      </c>
      <c r="E8" s="254" t="s">
        <v>166</v>
      </c>
      <c r="F8" s="254">
        <v>8</v>
      </c>
      <c r="G8" s="254" t="s">
        <v>321</v>
      </c>
      <c r="H8" s="254">
        <v>1989</v>
      </c>
      <c r="I8" s="251">
        <v>32670</v>
      </c>
      <c r="J8" s="251">
        <v>40057</v>
      </c>
      <c r="K8" s="251">
        <v>40057</v>
      </c>
      <c r="L8" s="251">
        <v>41795</v>
      </c>
      <c r="M8" s="254" t="s">
        <v>687</v>
      </c>
      <c r="N8" s="254" t="s">
        <v>43</v>
      </c>
      <c r="O8" s="254" t="s">
        <v>28</v>
      </c>
      <c r="P8" s="254" t="s">
        <v>558</v>
      </c>
      <c r="Q8" s="254" t="s">
        <v>573</v>
      </c>
      <c r="R8" s="254" t="s">
        <v>693</v>
      </c>
    </row>
    <row r="9" spans="1:25" x14ac:dyDescent="0.2">
      <c r="A9" s="257"/>
      <c r="B9" s="254" t="s">
        <v>555</v>
      </c>
      <c r="C9" s="254" t="s">
        <v>556</v>
      </c>
      <c r="D9" s="254" t="s">
        <v>83</v>
      </c>
      <c r="E9" s="254" t="s">
        <v>502</v>
      </c>
      <c r="F9" s="254">
        <v>9</v>
      </c>
      <c r="G9" s="254" t="s">
        <v>436</v>
      </c>
      <c r="H9" s="254">
        <v>1990</v>
      </c>
      <c r="I9" s="251">
        <v>33025</v>
      </c>
      <c r="J9" s="251">
        <v>40057</v>
      </c>
      <c r="K9" s="251">
        <v>40057</v>
      </c>
      <c r="L9" s="251">
        <v>42150</v>
      </c>
      <c r="M9" s="254" t="s">
        <v>687</v>
      </c>
      <c r="N9" s="254" t="s">
        <v>43</v>
      </c>
      <c r="O9" s="254" t="s">
        <v>28</v>
      </c>
      <c r="P9" s="254" t="s">
        <v>558</v>
      </c>
      <c r="Q9" s="254" t="s">
        <v>573</v>
      </c>
      <c r="R9" s="254" t="s">
        <v>693</v>
      </c>
    </row>
    <row r="10" spans="1:25" x14ac:dyDescent="0.2">
      <c r="A10" s="257"/>
      <c r="B10" s="254" t="s">
        <v>555</v>
      </c>
      <c r="C10" s="254" t="s">
        <v>556</v>
      </c>
      <c r="D10" s="254" t="s">
        <v>83</v>
      </c>
      <c r="E10" s="254" t="s">
        <v>366</v>
      </c>
      <c r="F10" s="254">
        <v>145</v>
      </c>
      <c r="G10" s="254" t="s">
        <v>267</v>
      </c>
      <c r="H10" s="254">
        <v>1984</v>
      </c>
      <c r="I10" s="251">
        <v>33878</v>
      </c>
      <c r="J10" s="251">
        <v>40057</v>
      </c>
      <c r="K10" s="251">
        <v>40057</v>
      </c>
      <c r="L10" s="251">
        <v>43011</v>
      </c>
      <c r="M10" s="254" t="s">
        <v>149</v>
      </c>
      <c r="N10" s="254" t="s">
        <v>44</v>
      </c>
      <c r="O10" s="254" t="s">
        <v>27</v>
      </c>
      <c r="P10" s="254" t="s">
        <v>558</v>
      </c>
      <c r="Q10" s="254" t="s">
        <v>573</v>
      </c>
      <c r="R10" s="254" t="s">
        <v>693</v>
      </c>
    </row>
    <row r="11" spans="1:25" x14ac:dyDescent="0.2">
      <c r="A11" s="257"/>
      <c r="B11" s="254" t="s">
        <v>555</v>
      </c>
      <c r="C11" s="254" t="s">
        <v>556</v>
      </c>
      <c r="D11" s="254" t="s">
        <v>83</v>
      </c>
      <c r="E11" s="254" t="s">
        <v>366</v>
      </c>
      <c r="F11" s="254">
        <v>148</v>
      </c>
      <c r="G11" s="254" t="s">
        <v>268</v>
      </c>
      <c r="H11" s="254">
        <v>1985</v>
      </c>
      <c r="I11" s="251">
        <v>34243</v>
      </c>
      <c r="J11" s="251">
        <v>40057</v>
      </c>
      <c r="K11" s="251">
        <v>40057</v>
      </c>
      <c r="L11" s="251">
        <v>43376</v>
      </c>
      <c r="M11" s="254" t="s">
        <v>149</v>
      </c>
      <c r="N11" s="254" t="s">
        <v>44</v>
      </c>
      <c r="O11" s="254" t="s">
        <v>27</v>
      </c>
      <c r="P11" s="254" t="s">
        <v>558</v>
      </c>
      <c r="Q11" s="254" t="s">
        <v>573</v>
      </c>
      <c r="R11" s="254" t="s">
        <v>693</v>
      </c>
    </row>
    <row r="12" spans="1:25" x14ac:dyDescent="0.2">
      <c r="A12" s="257"/>
      <c r="B12" s="254" t="s">
        <v>555</v>
      </c>
      <c r="C12" s="254" t="s">
        <v>556</v>
      </c>
      <c r="D12" s="254" t="s">
        <v>83</v>
      </c>
      <c r="E12" s="254" t="s">
        <v>345</v>
      </c>
      <c r="F12" s="254">
        <v>34</v>
      </c>
      <c r="G12" s="254" t="s">
        <v>135</v>
      </c>
      <c r="H12" s="254">
        <v>1993</v>
      </c>
      <c r="I12" s="251">
        <v>34304</v>
      </c>
      <c r="J12" s="251">
        <v>40057</v>
      </c>
      <c r="K12" s="251">
        <v>40057</v>
      </c>
      <c r="L12" s="251">
        <v>43437</v>
      </c>
      <c r="M12" s="254" t="s">
        <v>687</v>
      </c>
      <c r="N12" s="254" t="s">
        <v>44</v>
      </c>
      <c r="O12" s="254" t="s">
        <v>27</v>
      </c>
      <c r="P12" s="254" t="s">
        <v>558</v>
      </c>
      <c r="Q12" s="254" t="s">
        <v>573</v>
      </c>
      <c r="R12" s="254" t="s">
        <v>693</v>
      </c>
    </row>
    <row r="13" spans="1:25" x14ac:dyDescent="0.2">
      <c r="A13" s="257"/>
      <c r="B13" s="254" t="s">
        <v>555</v>
      </c>
      <c r="C13" s="254" t="s">
        <v>556</v>
      </c>
      <c r="D13" s="254" t="s">
        <v>83</v>
      </c>
      <c r="E13" s="254" t="s">
        <v>504</v>
      </c>
      <c r="F13" s="254">
        <v>104</v>
      </c>
      <c r="G13" s="254" t="s">
        <v>335</v>
      </c>
      <c r="H13" s="254">
        <v>1986</v>
      </c>
      <c r="I13" s="251">
        <v>31593</v>
      </c>
      <c r="J13" s="251">
        <v>40057</v>
      </c>
      <c r="K13" s="251">
        <v>40057</v>
      </c>
      <c r="L13" s="251">
        <v>38163</v>
      </c>
      <c r="M13" s="254" t="s">
        <v>687</v>
      </c>
      <c r="N13" s="254" t="s">
        <v>43</v>
      </c>
      <c r="O13" s="254" t="s">
        <v>28</v>
      </c>
      <c r="P13" s="254" t="s">
        <v>558</v>
      </c>
      <c r="Q13" s="254" t="s">
        <v>573</v>
      </c>
      <c r="R13" s="254" t="s">
        <v>693</v>
      </c>
    </row>
    <row r="14" spans="1:25" x14ac:dyDescent="0.2">
      <c r="A14" s="257"/>
      <c r="B14" s="254" t="s">
        <v>555</v>
      </c>
      <c r="C14" s="254" t="s">
        <v>556</v>
      </c>
      <c r="D14" s="254" t="s">
        <v>83</v>
      </c>
      <c r="E14" s="254" t="s">
        <v>504</v>
      </c>
      <c r="F14" s="254">
        <v>106</v>
      </c>
      <c r="G14" s="254" t="s">
        <v>336</v>
      </c>
      <c r="H14" s="254">
        <v>1986</v>
      </c>
      <c r="I14" s="251">
        <v>31593</v>
      </c>
      <c r="J14" s="251">
        <v>40057</v>
      </c>
      <c r="K14" s="251">
        <v>40057</v>
      </c>
      <c r="L14" s="251">
        <v>38163</v>
      </c>
      <c r="M14" s="254" t="s">
        <v>687</v>
      </c>
      <c r="N14" s="254" t="s">
        <v>43</v>
      </c>
      <c r="O14" s="254" t="s">
        <v>28</v>
      </c>
      <c r="P14" s="254" t="s">
        <v>558</v>
      </c>
      <c r="Q14" s="254" t="s">
        <v>573</v>
      </c>
      <c r="R14" s="254" t="s">
        <v>693</v>
      </c>
    </row>
    <row r="15" spans="1:25" x14ac:dyDescent="0.2">
      <c r="A15" s="257">
        <v>1</v>
      </c>
      <c r="B15" s="254" t="s">
        <v>555</v>
      </c>
      <c r="C15" s="254" t="s">
        <v>574</v>
      </c>
      <c r="D15" s="254" t="s">
        <v>562</v>
      </c>
      <c r="E15" s="254" t="s">
        <v>384</v>
      </c>
      <c r="F15" s="254"/>
      <c r="G15" s="254" t="s">
        <v>626</v>
      </c>
      <c r="H15" s="254">
        <v>2012</v>
      </c>
      <c r="I15" s="251">
        <v>41061</v>
      </c>
      <c r="J15" s="251">
        <v>44075</v>
      </c>
      <c r="K15" s="251">
        <v>44682</v>
      </c>
      <c r="L15" s="251">
        <v>44711</v>
      </c>
      <c r="M15" s="254" t="s">
        <v>693</v>
      </c>
      <c r="N15" s="254" t="s">
        <v>684</v>
      </c>
      <c r="O15" s="254" t="s">
        <v>28</v>
      </c>
      <c r="P15" s="254" t="s">
        <v>194</v>
      </c>
      <c r="Q15" s="254" t="s">
        <v>573</v>
      </c>
      <c r="R15" s="254">
        <v>1</v>
      </c>
    </row>
    <row r="16" spans="1:25" x14ac:dyDescent="0.2">
      <c r="A16" s="257"/>
      <c r="B16" s="254" t="s">
        <v>555</v>
      </c>
      <c r="C16" s="254" t="s">
        <v>556</v>
      </c>
      <c r="D16" s="254" t="s">
        <v>83</v>
      </c>
      <c r="E16" s="254" t="s">
        <v>384</v>
      </c>
      <c r="F16" s="254"/>
      <c r="G16" s="254" t="s">
        <v>627</v>
      </c>
      <c r="H16" s="254">
        <v>2008</v>
      </c>
      <c r="I16" s="251">
        <v>39665</v>
      </c>
      <c r="J16" s="251">
        <v>40057</v>
      </c>
      <c r="K16" s="251">
        <v>40057</v>
      </c>
      <c r="L16" s="251">
        <v>43315</v>
      </c>
      <c r="M16" s="254" t="s">
        <v>687</v>
      </c>
      <c r="N16" s="254" t="s">
        <v>684</v>
      </c>
      <c r="O16" s="254" t="s">
        <v>28</v>
      </c>
      <c r="P16" s="254" t="s">
        <v>558</v>
      </c>
      <c r="Q16" s="254" t="s">
        <v>573</v>
      </c>
      <c r="R16" s="254">
        <v>1</v>
      </c>
    </row>
    <row r="17" spans="1:18" x14ac:dyDescent="0.2">
      <c r="A17" s="257"/>
      <c r="B17" s="254" t="s">
        <v>555</v>
      </c>
      <c r="C17" s="254" t="s">
        <v>556</v>
      </c>
      <c r="D17" s="254" t="s">
        <v>83</v>
      </c>
      <c r="E17" s="254" t="s">
        <v>140</v>
      </c>
      <c r="F17" s="254"/>
      <c r="G17" s="254" t="s">
        <v>628</v>
      </c>
      <c r="H17" s="254">
        <v>2009</v>
      </c>
      <c r="I17" s="251">
        <v>39666</v>
      </c>
      <c r="J17" s="251">
        <v>40057</v>
      </c>
      <c r="K17" s="251">
        <v>40057</v>
      </c>
      <c r="L17" s="251">
        <v>43316</v>
      </c>
      <c r="M17" s="254" t="s">
        <v>687</v>
      </c>
      <c r="N17" s="254" t="s">
        <v>684</v>
      </c>
      <c r="O17" s="254" t="s">
        <v>28</v>
      </c>
      <c r="P17" s="254" t="s">
        <v>558</v>
      </c>
      <c r="Q17" s="254" t="s">
        <v>573</v>
      </c>
      <c r="R17" s="254">
        <v>1</v>
      </c>
    </row>
    <row r="18" spans="1:18" x14ac:dyDescent="0.2">
      <c r="A18" s="257"/>
      <c r="B18" s="254" t="s">
        <v>555</v>
      </c>
      <c r="C18" s="254" t="s">
        <v>556</v>
      </c>
      <c r="D18" s="254" t="s">
        <v>83</v>
      </c>
      <c r="E18" s="254" t="s">
        <v>504</v>
      </c>
      <c r="F18" s="254">
        <v>768</v>
      </c>
      <c r="G18" s="254" t="s">
        <v>515</v>
      </c>
      <c r="H18" s="254">
        <v>1994</v>
      </c>
      <c r="I18" s="251">
        <v>34366</v>
      </c>
      <c r="J18" s="251">
        <v>40057</v>
      </c>
      <c r="K18" s="251">
        <v>40057</v>
      </c>
      <c r="L18" s="251">
        <v>40936</v>
      </c>
      <c r="M18" s="254" t="s">
        <v>687</v>
      </c>
      <c r="N18" s="254" t="s">
        <v>43</v>
      </c>
      <c r="O18" s="254" t="s">
        <v>28</v>
      </c>
      <c r="P18" s="254" t="s">
        <v>558</v>
      </c>
      <c r="Q18" s="254" t="s">
        <v>573</v>
      </c>
      <c r="R18" s="254" t="s">
        <v>693</v>
      </c>
    </row>
    <row r="19" spans="1:18" x14ac:dyDescent="0.2">
      <c r="A19" s="257"/>
      <c r="B19" s="254" t="s">
        <v>555</v>
      </c>
      <c r="C19" s="254" t="s">
        <v>556</v>
      </c>
      <c r="D19" s="254" t="s">
        <v>83</v>
      </c>
      <c r="E19" s="254" t="s">
        <v>29</v>
      </c>
      <c r="F19" s="254">
        <v>1192</v>
      </c>
      <c r="G19" s="254" t="s">
        <v>507</v>
      </c>
      <c r="H19" s="254">
        <v>1985</v>
      </c>
      <c r="I19" s="251">
        <v>31168</v>
      </c>
      <c r="J19" s="251">
        <v>40057</v>
      </c>
      <c r="K19" s="251">
        <v>40057</v>
      </c>
      <c r="L19" s="251">
        <v>40301</v>
      </c>
      <c r="M19" s="254" t="s">
        <v>687</v>
      </c>
      <c r="N19" s="254" t="s">
        <v>44</v>
      </c>
      <c r="O19" s="254" t="s">
        <v>27</v>
      </c>
      <c r="P19" s="254" t="s">
        <v>558</v>
      </c>
      <c r="Q19" s="254" t="s">
        <v>573</v>
      </c>
      <c r="R19" s="254" t="s">
        <v>693</v>
      </c>
    </row>
    <row r="20" spans="1:18" x14ac:dyDescent="0.2">
      <c r="A20" s="257"/>
      <c r="B20" s="254" t="s">
        <v>555</v>
      </c>
      <c r="C20" s="254" t="s">
        <v>574</v>
      </c>
      <c r="D20" s="254" t="s">
        <v>562</v>
      </c>
      <c r="E20" s="254" t="s">
        <v>4</v>
      </c>
      <c r="F20" s="254">
        <v>155</v>
      </c>
      <c r="G20" s="254" t="s">
        <v>62</v>
      </c>
      <c r="H20" s="254">
        <v>1978</v>
      </c>
      <c r="I20" s="251">
        <v>28642</v>
      </c>
      <c r="J20" s="251">
        <v>35916</v>
      </c>
      <c r="K20" s="251">
        <v>35916</v>
      </c>
      <c r="L20" s="251">
        <v>35942</v>
      </c>
      <c r="M20" s="254" t="s">
        <v>687</v>
      </c>
      <c r="N20" s="254" t="s">
        <v>411</v>
      </c>
      <c r="O20" s="254" t="s">
        <v>28</v>
      </c>
      <c r="P20" s="254" t="s">
        <v>194</v>
      </c>
      <c r="Q20" s="254" t="s">
        <v>573</v>
      </c>
      <c r="R20" s="254" t="s">
        <v>693</v>
      </c>
    </row>
    <row r="21" spans="1:18" x14ac:dyDescent="0.2">
      <c r="A21" s="257"/>
      <c r="B21" s="254" t="s">
        <v>555</v>
      </c>
      <c r="C21" s="254" t="s">
        <v>574</v>
      </c>
      <c r="D21" s="254" t="s">
        <v>562</v>
      </c>
      <c r="E21" s="254" t="s">
        <v>4</v>
      </c>
      <c r="F21" s="254">
        <v>155</v>
      </c>
      <c r="G21" s="254" t="s">
        <v>201</v>
      </c>
      <c r="H21" s="254">
        <v>1978</v>
      </c>
      <c r="I21" s="251">
        <v>28642</v>
      </c>
      <c r="J21" s="251">
        <v>35916</v>
      </c>
      <c r="K21" s="251">
        <v>35916</v>
      </c>
      <c r="L21" s="251">
        <v>35942</v>
      </c>
      <c r="M21" s="254" t="s">
        <v>687</v>
      </c>
      <c r="N21" s="254" t="s">
        <v>411</v>
      </c>
      <c r="O21" s="254" t="s">
        <v>28</v>
      </c>
      <c r="P21" s="254" t="s">
        <v>194</v>
      </c>
      <c r="Q21" s="254" t="s">
        <v>573</v>
      </c>
      <c r="R21" s="254" t="s">
        <v>693</v>
      </c>
    </row>
    <row r="22" spans="1:18" x14ac:dyDescent="0.2">
      <c r="A22" s="257">
        <v>1</v>
      </c>
      <c r="B22" s="254" t="s">
        <v>542</v>
      </c>
      <c r="C22" s="254" t="s">
        <v>563</v>
      </c>
      <c r="D22" s="254" t="s">
        <v>23</v>
      </c>
      <c r="E22" s="254" t="s">
        <v>207</v>
      </c>
      <c r="F22" s="254">
        <v>373</v>
      </c>
      <c r="G22" s="254" t="s">
        <v>263</v>
      </c>
      <c r="H22" s="254">
        <v>1984</v>
      </c>
      <c r="I22" s="251">
        <v>30926</v>
      </c>
      <c r="J22" s="251">
        <v>38200</v>
      </c>
      <c r="K22" s="251">
        <v>38200</v>
      </c>
      <c r="L22" s="251">
        <v>38226</v>
      </c>
      <c r="M22" s="254" t="s">
        <v>687</v>
      </c>
      <c r="N22" s="254" t="s">
        <v>406</v>
      </c>
      <c r="O22" s="254" t="s">
        <v>27</v>
      </c>
      <c r="P22" s="254" t="s">
        <v>564</v>
      </c>
      <c r="Q22" s="254" t="s">
        <v>572</v>
      </c>
      <c r="R22" s="254" t="s">
        <v>693</v>
      </c>
    </row>
    <row r="23" spans="1:18" x14ac:dyDescent="0.2">
      <c r="A23" s="257">
        <v>1</v>
      </c>
      <c r="B23" s="254" t="s">
        <v>542</v>
      </c>
      <c r="C23" s="254" t="s">
        <v>610</v>
      </c>
      <c r="D23" s="254" t="s">
        <v>71</v>
      </c>
      <c r="E23" s="254" t="s">
        <v>271</v>
      </c>
      <c r="F23" s="254">
        <v>1111</v>
      </c>
      <c r="G23" s="254" t="s">
        <v>477</v>
      </c>
      <c r="H23" s="254">
        <v>1993</v>
      </c>
      <c r="I23" s="251">
        <v>34274</v>
      </c>
      <c r="J23" s="251">
        <v>40057</v>
      </c>
      <c r="K23" s="251">
        <v>40057</v>
      </c>
      <c r="L23" s="251">
        <v>44440</v>
      </c>
      <c r="M23" s="254" t="s">
        <v>693</v>
      </c>
      <c r="N23" s="254" t="s">
        <v>406</v>
      </c>
      <c r="O23" s="254" t="s">
        <v>27</v>
      </c>
      <c r="P23" s="254"/>
      <c r="Q23" s="254" t="s">
        <v>573</v>
      </c>
      <c r="R23" s="254" t="s">
        <v>693</v>
      </c>
    </row>
    <row r="24" spans="1:18" x14ac:dyDescent="0.2">
      <c r="A24" s="257"/>
      <c r="B24" s="254" t="s">
        <v>542</v>
      </c>
      <c r="C24" s="254" t="s">
        <v>610</v>
      </c>
      <c r="D24" s="254" t="s">
        <v>71</v>
      </c>
      <c r="E24" s="254" t="s">
        <v>522</v>
      </c>
      <c r="F24" s="254"/>
      <c r="G24" s="254" t="s">
        <v>697</v>
      </c>
      <c r="H24" s="254">
        <v>2010</v>
      </c>
      <c r="I24" s="251">
        <v>42135</v>
      </c>
      <c r="J24" s="251">
        <v>44346</v>
      </c>
      <c r="K24" s="251">
        <v>44346</v>
      </c>
      <c r="L24" s="251">
        <v>47975</v>
      </c>
      <c r="M24" s="254"/>
      <c r="N24" s="254" t="s">
        <v>685</v>
      </c>
      <c r="O24" s="254" t="s">
        <v>27</v>
      </c>
      <c r="P24" s="254" t="s">
        <v>693</v>
      </c>
      <c r="Q24" s="254" t="s">
        <v>573</v>
      </c>
      <c r="R24" s="254">
        <v>1</v>
      </c>
    </row>
    <row r="25" spans="1:18" x14ac:dyDescent="0.2">
      <c r="A25" s="257"/>
      <c r="B25" s="254" t="s">
        <v>542</v>
      </c>
      <c r="C25" s="254" t="s">
        <v>610</v>
      </c>
      <c r="D25" s="254" t="s">
        <v>71</v>
      </c>
      <c r="E25" s="254" t="s">
        <v>487</v>
      </c>
      <c r="F25" s="254">
        <v>2121</v>
      </c>
      <c r="G25" s="254" t="s">
        <v>694</v>
      </c>
      <c r="H25" s="254">
        <v>2016</v>
      </c>
      <c r="I25" s="251">
        <v>42430</v>
      </c>
      <c r="J25" s="251">
        <v>44287</v>
      </c>
      <c r="K25" s="251">
        <v>45017</v>
      </c>
      <c r="L25" s="251">
        <v>46084</v>
      </c>
      <c r="M25" s="254"/>
      <c r="N25" s="254" t="s">
        <v>406</v>
      </c>
      <c r="O25" s="254" t="s">
        <v>27</v>
      </c>
      <c r="P25" s="254" t="s">
        <v>693</v>
      </c>
      <c r="Q25" s="254" t="s">
        <v>573</v>
      </c>
      <c r="R25" s="254" t="s">
        <v>693</v>
      </c>
    </row>
    <row r="26" spans="1:18" x14ac:dyDescent="0.2">
      <c r="A26" s="257"/>
      <c r="B26" s="254" t="s">
        <v>542</v>
      </c>
      <c r="C26" s="254" t="s">
        <v>610</v>
      </c>
      <c r="D26" s="254" t="s">
        <v>71</v>
      </c>
      <c r="E26" s="254" t="s">
        <v>110</v>
      </c>
      <c r="F26" s="254">
        <v>1112</v>
      </c>
      <c r="G26" s="254" t="s">
        <v>614</v>
      </c>
      <c r="H26" s="254">
        <v>1994</v>
      </c>
      <c r="I26" s="251">
        <v>34669</v>
      </c>
      <c r="J26" s="251">
        <v>40057</v>
      </c>
      <c r="K26" s="251">
        <v>40057</v>
      </c>
      <c r="L26" s="251">
        <v>42430</v>
      </c>
      <c r="M26" s="254" t="s">
        <v>687</v>
      </c>
      <c r="N26" s="254" t="s">
        <v>406</v>
      </c>
      <c r="O26" s="254" t="s">
        <v>27</v>
      </c>
      <c r="P26" s="254"/>
      <c r="Q26" s="254" t="s">
        <v>573</v>
      </c>
      <c r="R26" s="254" t="s">
        <v>693</v>
      </c>
    </row>
    <row r="27" spans="1:18" x14ac:dyDescent="0.2">
      <c r="A27" s="257">
        <v>1</v>
      </c>
      <c r="B27" s="254" t="s">
        <v>548</v>
      </c>
      <c r="C27" s="254" t="s">
        <v>537</v>
      </c>
      <c r="D27" s="254" t="s">
        <v>469</v>
      </c>
      <c r="E27" s="254" t="s">
        <v>365</v>
      </c>
      <c r="F27" s="254">
        <v>935</v>
      </c>
      <c r="G27" s="254" t="s">
        <v>286</v>
      </c>
      <c r="H27" s="254">
        <v>1987</v>
      </c>
      <c r="I27" s="251">
        <v>32069</v>
      </c>
      <c r="J27" s="251">
        <v>35704</v>
      </c>
      <c r="K27" s="251">
        <v>35704</v>
      </c>
      <c r="L27" s="251">
        <v>35723</v>
      </c>
      <c r="M27" s="254" t="s">
        <v>687</v>
      </c>
      <c r="N27" s="254" t="s">
        <v>406</v>
      </c>
      <c r="O27" s="254" t="s">
        <v>27</v>
      </c>
      <c r="P27" s="254" t="s">
        <v>693</v>
      </c>
      <c r="Q27" s="254" t="s">
        <v>572</v>
      </c>
      <c r="R27" s="254" t="s">
        <v>693</v>
      </c>
    </row>
    <row r="28" spans="1:18" x14ac:dyDescent="0.2">
      <c r="A28" s="257"/>
      <c r="B28" s="254" t="s">
        <v>548</v>
      </c>
      <c r="C28" s="254" t="s">
        <v>537</v>
      </c>
      <c r="D28" s="254" t="s">
        <v>469</v>
      </c>
      <c r="E28" s="254" t="s">
        <v>484</v>
      </c>
      <c r="F28" s="254">
        <v>20</v>
      </c>
      <c r="G28" s="254" t="s">
        <v>226</v>
      </c>
      <c r="H28" s="254">
        <v>1991</v>
      </c>
      <c r="I28" s="251">
        <v>35966</v>
      </c>
      <c r="J28" s="251">
        <v>40057</v>
      </c>
      <c r="K28" s="251">
        <v>40057</v>
      </c>
      <c r="L28" s="251">
        <v>39616</v>
      </c>
      <c r="M28" s="254" t="s">
        <v>687</v>
      </c>
      <c r="N28" s="254" t="s">
        <v>406</v>
      </c>
      <c r="O28" s="254" t="s">
        <v>27</v>
      </c>
      <c r="P28" s="254" t="s">
        <v>693</v>
      </c>
      <c r="Q28" s="254" t="s">
        <v>572</v>
      </c>
      <c r="R28" s="254" t="s">
        <v>693</v>
      </c>
    </row>
    <row r="29" spans="1:18" x14ac:dyDescent="0.2">
      <c r="A29" s="257"/>
      <c r="B29" s="254" t="s">
        <v>548</v>
      </c>
      <c r="C29" s="254" t="s">
        <v>537</v>
      </c>
      <c r="D29" s="254" t="s">
        <v>469</v>
      </c>
      <c r="E29" s="254" t="s">
        <v>411</v>
      </c>
      <c r="F29" s="254">
        <v>23</v>
      </c>
      <c r="G29" s="254" t="s">
        <v>227</v>
      </c>
      <c r="H29" s="254">
        <v>1984</v>
      </c>
      <c r="I29" s="251">
        <v>39619</v>
      </c>
      <c r="J29" s="251">
        <v>43850</v>
      </c>
      <c r="K29" s="251">
        <v>45311</v>
      </c>
      <c r="L29" s="251">
        <v>46919</v>
      </c>
      <c r="M29" s="254" t="s">
        <v>693</v>
      </c>
      <c r="N29" s="254" t="s">
        <v>411</v>
      </c>
      <c r="O29" s="254" t="s">
        <v>28</v>
      </c>
      <c r="P29" s="254" t="s">
        <v>693</v>
      </c>
      <c r="Q29" s="254" t="s">
        <v>572</v>
      </c>
      <c r="R29" s="254" t="s">
        <v>693</v>
      </c>
    </row>
    <row r="30" spans="1:18" x14ac:dyDescent="0.2">
      <c r="A30" s="257"/>
      <c r="B30" s="254" t="s">
        <v>548</v>
      </c>
      <c r="C30" s="254" t="s">
        <v>537</v>
      </c>
      <c r="D30" s="254" t="s">
        <v>469</v>
      </c>
      <c r="E30" s="254" t="s">
        <v>411</v>
      </c>
      <c r="F30" s="254">
        <v>24</v>
      </c>
      <c r="G30" s="254" t="s">
        <v>228</v>
      </c>
      <c r="H30" s="254">
        <v>1991</v>
      </c>
      <c r="I30" s="251">
        <v>39619</v>
      </c>
      <c r="J30" s="251">
        <v>45311</v>
      </c>
      <c r="K30" s="251">
        <v>45311</v>
      </c>
      <c r="L30" s="251">
        <v>46919</v>
      </c>
      <c r="M30" s="254" t="s">
        <v>693</v>
      </c>
      <c r="N30" s="254" t="s">
        <v>411</v>
      </c>
      <c r="O30" s="254" t="s">
        <v>28</v>
      </c>
      <c r="P30" s="254" t="s">
        <v>693</v>
      </c>
      <c r="Q30" s="254" t="s">
        <v>572</v>
      </c>
      <c r="R30" s="254" t="s">
        <v>693</v>
      </c>
    </row>
    <row r="31" spans="1:18" x14ac:dyDescent="0.2">
      <c r="A31" s="257"/>
      <c r="B31" s="254" t="s">
        <v>548</v>
      </c>
      <c r="C31" s="254" t="s">
        <v>537</v>
      </c>
      <c r="D31" s="254" t="s">
        <v>469</v>
      </c>
      <c r="E31" s="254" t="s">
        <v>411</v>
      </c>
      <c r="F31" s="254">
        <v>25</v>
      </c>
      <c r="G31" s="254" t="s">
        <v>229</v>
      </c>
      <c r="H31" s="254">
        <v>1991</v>
      </c>
      <c r="I31" s="251">
        <v>39619</v>
      </c>
      <c r="J31" s="251">
        <v>45311</v>
      </c>
      <c r="K31" s="251">
        <v>45311</v>
      </c>
      <c r="L31" s="251">
        <v>46919</v>
      </c>
      <c r="M31" s="254" t="s">
        <v>693</v>
      </c>
      <c r="N31" s="254" t="s">
        <v>411</v>
      </c>
      <c r="O31" s="254" t="s">
        <v>28</v>
      </c>
      <c r="P31" s="254" t="s">
        <v>693</v>
      </c>
      <c r="Q31" s="254" t="s">
        <v>572</v>
      </c>
      <c r="R31" s="254" t="s">
        <v>693</v>
      </c>
    </row>
    <row r="32" spans="1:18" x14ac:dyDescent="0.2">
      <c r="A32" s="257"/>
      <c r="B32" s="254" t="s">
        <v>548</v>
      </c>
      <c r="C32" s="254" t="s">
        <v>537</v>
      </c>
      <c r="D32" s="254" t="s">
        <v>469</v>
      </c>
      <c r="E32" s="254" t="s">
        <v>31</v>
      </c>
      <c r="F32" s="254">
        <v>556</v>
      </c>
      <c r="G32" s="254" t="s">
        <v>9</v>
      </c>
      <c r="H32" s="254">
        <v>1972</v>
      </c>
      <c r="I32" s="251">
        <v>26444</v>
      </c>
      <c r="J32" s="251">
        <v>33725</v>
      </c>
      <c r="K32" s="251">
        <v>33725</v>
      </c>
      <c r="L32" s="251">
        <v>33744</v>
      </c>
      <c r="M32" s="254" t="s">
        <v>687</v>
      </c>
      <c r="N32" s="254" t="s">
        <v>43</v>
      </c>
      <c r="O32" s="254" t="s">
        <v>28</v>
      </c>
      <c r="P32" s="254" t="s">
        <v>693</v>
      </c>
      <c r="Q32" s="254" t="s">
        <v>572</v>
      </c>
      <c r="R32" s="254" t="s">
        <v>693</v>
      </c>
    </row>
    <row r="33" spans="1:18" x14ac:dyDescent="0.2">
      <c r="A33" s="257"/>
      <c r="B33" s="254" t="s">
        <v>548</v>
      </c>
      <c r="C33" s="254" t="s">
        <v>537</v>
      </c>
      <c r="D33" s="254" t="s">
        <v>469</v>
      </c>
      <c r="E33" s="254" t="s">
        <v>79</v>
      </c>
      <c r="F33" s="254">
        <v>561</v>
      </c>
      <c r="G33" s="254" t="s">
        <v>139</v>
      </c>
      <c r="H33" s="254">
        <v>1963</v>
      </c>
      <c r="I33" s="251">
        <v>23151</v>
      </c>
      <c r="J33" s="251">
        <v>28626</v>
      </c>
      <c r="K33" s="251">
        <v>28626</v>
      </c>
      <c r="L33" s="251">
        <v>28626</v>
      </c>
      <c r="M33" s="254" t="s">
        <v>687</v>
      </c>
      <c r="N33" s="254" t="s">
        <v>43</v>
      </c>
      <c r="O33" s="254" t="s">
        <v>28</v>
      </c>
      <c r="P33" s="254" t="s">
        <v>693</v>
      </c>
      <c r="Q33" s="254" t="s">
        <v>572</v>
      </c>
      <c r="R33" s="254" t="s">
        <v>693</v>
      </c>
    </row>
    <row r="34" spans="1:18" x14ac:dyDescent="0.2">
      <c r="A34" s="257"/>
      <c r="B34" s="254" t="s">
        <v>548</v>
      </c>
      <c r="C34" s="254" t="s">
        <v>537</v>
      </c>
      <c r="D34" s="254" t="s">
        <v>469</v>
      </c>
      <c r="E34" s="254" t="s">
        <v>79</v>
      </c>
      <c r="F34" s="254">
        <v>570</v>
      </c>
      <c r="G34" s="254" t="s">
        <v>476</v>
      </c>
      <c r="H34" s="254">
        <v>2013</v>
      </c>
      <c r="I34" s="251">
        <v>42273</v>
      </c>
      <c r="J34" s="251">
        <v>44075</v>
      </c>
      <c r="K34" s="251">
        <v>46997</v>
      </c>
      <c r="L34" s="251">
        <v>47748</v>
      </c>
      <c r="M34" s="254" t="s">
        <v>693</v>
      </c>
      <c r="N34" s="254" t="s">
        <v>43</v>
      </c>
      <c r="O34" s="254" t="s">
        <v>28</v>
      </c>
      <c r="P34" s="254" t="s">
        <v>693</v>
      </c>
      <c r="Q34" s="254" t="s">
        <v>572</v>
      </c>
      <c r="R34" s="254" t="s">
        <v>693</v>
      </c>
    </row>
    <row r="35" spans="1:18" x14ac:dyDescent="0.2">
      <c r="A35" s="257"/>
      <c r="B35" s="254" t="s">
        <v>548</v>
      </c>
      <c r="C35" s="254" t="s">
        <v>537</v>
      </c>
      <c r="D35" s="254" t="s">
        <v>469</v>
      </c>
      <c r="E35" s="254" t="s">
        <v>131</v>
      </c>
      <c r="F35" s="254">
        <v>71</v>
      </c>
      <c r="G35" s="254" t="s">
        <v>391</v>
      </c>
      <c r="H35" s="254">
        <v>1979</v>
      </c>
      <c r="I35" s="251">
        <v>29068</v>
      </c>
      <c r="J35" s="251">
        <v>38565</v>
      </c>
      <c r="K35" s="251">
        <v>38565</v>
      </c>
      <c r="L35" s="251">
        <v>34908</v>
      </c>
      <c r="M35" s="254" t="s">
        <v>687</v>
      </c>
      <c r="N35" s="254" t="s">
        <v>406</v>
      </c>
      <c r="O35" s="254" t="s">
        <v>27</v>
      </c>
      <c r="P35" s="254" t="s">
        <v>693</v>
      </c>
      <c r="Q35" s="254" t="s">
        <v>572</v>
      </c>
      <c r="R35" s="254" t="s">
        <v>693</v>
      </c>
    </row>
    <row r="36" spans="1:18" x14ac:dyDescent="0.2">
      <c r="A36" s="257"/>
      <c r="B36" s="254" t="s">
        <v>548</v>
      </c>
      <c r="C36" s="254" t="s">
        <v>537</v>
      </c>
      <c r="D36" s="254" t="s">
        <v>469</v>
      </c>
      <c r="E36" s="254" t="s">
        <v>283</v>
      </c>
      <c r="F36" s="254">
        <v>764</v>
      </c>
      <c r="G36" s="254" t="s">
        <v>132</v>
      </c>
      <c r="H36" s="254">
        <v>1993</v>
      </c>
      <c r="I36" s="251">
        <v>34274</v>
      </c>
      <c r="J36" s="251">
        <v>38565</v>
      </c>
      <c r="K36" s="251">
        <v>38565</v>
      </c>
      <c r="L36" s="251">
        <v>37928</v>
      </c>
      <c r="M36" s="254" t="s">
        <v>687</v>
      </c>
      <c r="N36" s="254" t="s">
        <v>406</v>
      </c>
      <c r="O36" s="254" t="s">
        <v>27</v>
      </c>
      <c r="P36" s="254" t="s">
        <v>693</v>
      </c>
      <c r="Q36" s="254" t="s">
        <v>572</v>
      </c>
      <c r="R36" s="254" t="s">
        <v>693</v>
      </c>
    </row>
    <row r="37" spans="1:18" x14ac:dyDescent="0.2">
      <c r="A37" s="257"/>
      <c r="B37" s="254" t="s">
        <v>548</v>
      </c>
      <c r="C37" s="254" t="s">
        <v>537</v>
      </c>
      <c r="D37" s="254" t="s">
        <v>469</v>
      </c>
      <c r="E37" s="254" t="s">
        <v>148</v>
      </c>
      <c r="F37" s="254">
        <v>134</v>
      </c>
      <c r="G37" s="254" t="s">
        <v>116</v>
      </c>
      <c r="H37" s="254">
        <v>1984</v>
      </c>
      <c r="I37" s="251">
        <v>33878</v>
      </c>
      <c r="J37" s="251">
        <v>37528</v>
      </c>
      <c r="K37" s="251">
        <v>37528</v>
      </c>
      <c r="L37" s="251">
        <v>37528</v>
      </c>
      <c r="M37" s="254" t="s">
        <v>687</v>
      </c>
      <c r="N37" s="254" t="s">
        <v>406</v>
      </c>
      <c r="O37" s="254" t="s">
        <v>27</v>
      </c>
      <c r="P37" s="254" t="s">
        <v>693</v>
      </c>
      <c r="Q37" s="254" t="s">
        <v>572</v>
      </c>
      <c r="R37" s="254" t="s">
        <v>693</v>
      </c>
    </row>
    <row r="38" spans="1:18" x14ac:dyDescent="0.2">
      <c r="A38" s="257">
        <v>1</v>
      </c>
      <c r="B38" s="254" t="s">
        <v>548</v>
      </c>
      <c r="C38" s="254" t="s">
        <v>561</v>
      </c>
      <c r="D38" s="254" t="s">
        <v>562</v>
      </c>
      <c r="E38" s="254" t="s">
        <v>131</v>
      </c>
      <c r="F38" s="254">
        <v>1291</v>
      </c>
      <c r="G38" s="254" t="s">
        <v>399</v>
      </c>
      <c r="H38" s="254">
        <v>1962</v>
      </c>
      <c r="I38" s="251">
        <v>22827</v>
      </c>
      <c r="J38" s="251">
        <v>28667</v>
      </c>
      <c r="K38" s="251">
        <v>28667</v>
      </c>
      <c r="L38" s="251">
        <v>28667</v>
      </c>
      <c r="M38" s="254" t="s">
        <v>687</v>
      </c>
      <c r="N38" s="254" t="s">
        <v>406</v>
      </c>
      <c r="O38" s="254" t="s">
        <v>27</v>
      </c>
      <c r="P38" s="254" t="s">
        <v>194</v>
      </c>
      <c r="Q38" s="254" t="s">
        <v>576</v>
      </c>
      <c r="R38" s="254" t="s">
        <v>693</v>
      </c>
    </row>
    <row r="39" spans="1:18" x14ac:dyDescent="0.2">
      <c r="A39" s="257"/>
      <c r="B39" s="254" t="s">
        <v>548</v>
      </c>
      <c r="C39" s="254" t="s">
        <v>561</v>
      </c>
      <c r="D39" s="254" t="s">
        <v>562</v>
      </c>
      <c r="E39" s="254" t="s">
        <v>374</v>
      </c>
      <c r="F39" s="254"/>
      <c r="G39" s="254" t="s">
        <v>256</v>
      </c>
      <c r="H39" s="254">
        <v>1991</v>
      </c>
      <c r="I39" s="251">
        <v>33482</v>
      </c>
      <c r="J39" s="251">
        <v>37136</v>
      </c>
      <c r="K39" s="251">
        <v>37136</v>
      </c>
      <c r="L39" s="251">
        <v>37136</v>
      </c>
      <c r="M39" s="254" t="s">
        <v>687</v>
      </c>
      <c r="N39" s="254" t="s">
        <v>406</v>
      </c>
      <c r="O39" s="254" t="s">
        <v>27</v>
      </c>
      <c r="P39" s="254" t="s">
        <v>630</v>
      </c>
      <c r="Q39" s="254" t="s">
        <v>576</v>
      </c>
      <c r="R39" s="254" t="s">
        <v>693</v>
      </c>
    </row>
    <row r="40" spans="1:18" x14ac:dyDescent="0.2">
      <c r="A40" s="257">
        <v>1</v>
      </c>
      <c r="B40" s="254" t="s">
        <v>613</v>
      </c>
      <c r="C40" s="254" t="s">
        <v>565</v>
      </c>
      <c r="D40" s="254" t="s">
        <v>48</v>
      </c>
      <c r="E40" s="254" t="s">
        <v>6</v>
      </c>
      <c r="F40" s="254">
        <v>276</v>
      </c>
      <c r="G40" s="254" t="s">
        <v>50</v>
      </c>
      <c r="H40" s="254">
        <v>1988</v>
      </c>
      <c r="I40" s="251">
        <v>32335</v>
      </c>
      <c r="J40" s="251">
        <v>39630</v>
      </c>
      <c r="K40" s="251">
        <v>39630</v>
      </c>
      <c r="L40" s="251">
        <v>39635</v>
      </c>
      <c r="M40" s="254" t="s">
        <v>687</v>
      </c>
      <c r="N40" s="254" t="s">
        <v>43</v>
      </c>
      <c r="O40" s="254" t="s">
        <v>28</v>
      </c>
      <c r="P40" s="254" t="s">
        <v>693</v>
      </c>
      <c r="Q40" s="254" t="s">
        <v>576</v>
      </c>
      <c r="R40" s="254" t="s">
        <v>693</v>
      </c>
    </row>
    <row r="41" spans="1:18" x14ac:dyDescent="0.2">
      <c r="A41" s="257"/>
      <c r="B41" s="254" t="s">
        <v>613</v>
      </c>
      <c r="C41" s="254" t="s">
        <v>565</v>
      </c>
      <c r="D41" s="254" t="s">
        <v>48</v>
      </c>
      <c r="E41" s="254" t="s">
        <v>6</v>
      </c>
      <c r="F41" s="254">
        <v>322</v>
      </c>
      <c r="G41" s="254" t="s">
        <v>98</v>
      </c>
      <c r="H41" s="254">
        <v>1988</v>
      </c>
      <c r="I41" s="251">
        <v>32335</v>
      </c>
      <c r="J41" s="251">
        <v>39631</v>
      </c>
      <c r="K41" s="251">
        <v>39631</v>
      </c>
      <c r="L41" s="251">
        <v>39635</v>
      </c>
      <c r="M41" s="254" t="s">
        <v>687</v>
      </c>
      <c r="N41" s="254" t="s">
        <v>43</v>
      </c>
      <c r="O41" s="254" t="s">
        <v>28</v>
      </c>
      <c r="P41" s="254" t="s">
        <v>693</v>
      </c>
      <c r="Q41" s="254" t="s">
        <v>576</v>
      </c>
      <c r="R41" s="254" t="s">
        <v>693</v>
      </c>
    </row>
    <row r="42" spans="1:18" x14ac:dyDescent="0.2">
      <c r="A42" s="257"/>
      <c r="B42" s="254" t="s">
        <v>613</v>
      </c>
      <c r="C42" s="254" t="s">
        <v>565</v>
      </c>
      <c r="D42" s="254" t="s">
        <v>48</v>
      </c>
      <c r="E42" s="254" t="s">
        <v>31</v>
      </c>
      <c r="F42" s="254">
        <v>349</v>
      </c>
      <c r="G42" s="254" t="s">
        <v>387</v>
      </c>
      <c r="H42" s="254">
        <v>1963</v>
      </c>
      <c r="I42" s="251">
        <v>23149</v>
      </c>
      <c r="J42" s="251">
        <v>30437</v>
      </c>
      <c r="K42" s="251">
        <v>30437</v>
      </c>
      <c r="L42" s="251">
        <v>30449</v>
      </c>
      <c r="M42" s="254" t="s">
        <v>149</v>
      </c>
      <c r="N42" s="254" t="s">
        <v>43</v>
      </c>
      <c r="O42" s="254" t="s">
        <v>28</v>
      </c>
      <c r="P42" s="254" t="s">
        <v>693</v>
      </c>
      <c r="Q42" s="254" t="s">
        <v>576</v>
      </c>
      <c r="R42" s="254" t="s">
        <v>693</v>
      </c>
    </row>
    <row r="43" spans="1:18" x14ac:dyDescent="0.2">
      <c r="A43" s="257"/>
      <c r="B43" s="254" t="s">
        <v>613</v>
      </c>
      <c r="C43" s="254" t="s">
        <v>565</v>
      </c>
      <c r="D43" s="254" t="s">
        <v>48</v>
      </c>
      <c r="E43" s="254" t="s">
        <v>31</v>
      </c>
      <c r="F43" s="254">
        <v>350</v>
      </c>
      <c r="G43" s="254" t="s">
        <v>212</v>
      </c>
      <c r="H43" s="254">
        <v>1963</v>
      </c>
      <c r="I43" s="251">
        <v>23149</v>
      </c>
      <c r="J43" s="251">
        <v>30437</v>
      </c>
      <c r="K43" s="251">
        <v>30437</v>
      </c>
      <c r="L43" s="251">
        <v>30449</v>
      </c>
      <c r="M43" s="254" t="s">
        <v>149</v>
      </c>
      <c r="N43" s="254" t="s">
        <v>43</v>
      </c>
      <c r="O43" s="254" t="s">
        <v>28</v>
      </c>
      <c r="P43" s="254" t="s">
        <v>693</v>
      </c>
      <c r="Q43" s="254" t="s">
        <v>576</v>
      </c>
      <c r="R43" s="254" t="s">
        <v>693</v>
      </c>
    </row>
    <row r="44" spans="1:18" x14ac:dyDescent="0.2">
      <c r="A44" s="257"/>
      <c r="B44" s="254" t="s">
        <v>613</v>
      </c>
      <c r="C44" s="254" t="s">
        <v>565</v>
      </c>
      <c r="D44" s="254" t="s">
        <v>48</v>
      </c>
      <c r="E44" s="254" t="s">
        <v>85</v>
      </c>
      <c r="F44" s="254">
        <v>1318</v>
      </c>
      <c r="G44" s="254" t="s">
        <v>216</v>
      </c>
      <c r="H44" s="254">
        <v>2005</v>
      </c>
      <c r="I44" s="251">
        <v>38715</v>
      </c>
      <c r="J44" s="251">
        <v>41609</v>
      </c>
      <c r="K44" s="251">
        <v>41609</v>
      </c>
      <c r="L44" s="251">
        <v>41635</v>
      </c>
      <c r="M44" s="254" t="s">
        <v>687</v>
      </c>
      <c r="N44" s="254" t="s">
        <v>94</v>
      </c>
      <c r="O44" s="254" t="s">
        <v>27</v>
      </c>
      <c r="P44" s="254" t="s">
        <v>693</v>
      </c>
      <c r="Q44" s="254" t="s">
        <v>576</v>
      </c>
      <c r="R44" s="254" t="s">
        <v>693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0686DA5-7AB4-4E8D-A619-5E63573D622D}">
            <xm:f>база!$T$1</xm:f>
            <x14:dxf>
              <font>
                <color rgb="FFFF0000"/>
              </font>
            </x14:dxf>
          </x14:cfRule>
          <xm:sqref>J1:L1048576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/>
  <dimension ref="A1:I317"/>
  <sheetViews>
    <sheetView workbookViewId="0">
      <pane ySplit="1" topLeftCell="A23" activePane="bottomLeft" state="frozen"/>
      <selection pane="bottomLeft" activeCell="A308" sqref="A308"/>
    </sheetView>
  </sheetViews>
  <sheetFormatPr defaultRowHeight="12.75" x14ac:dyDescent="0.2"/>
  <cols>
    <col min="1" max="1" width="15.42578125" style="104" customWidth="1"/>
    <col min="2" max="2" width="16.140625" style="104" customWidth="1"/>
    <col min="3" max="3" width="10.42578125" style="104" customWidth="1"/>
    <col min="4" max="4" width="12.7109375" style="104" customWidth="1"/>
    <col min="5" max="5" width="5.7109375" style="104" customWidth="1"/>
    <col min="6" max="6" width="7.85546875" style="110" customWidth="1"/>
    <col min="7" max="7" width="3.85546875" style="104" customWidth="1"/>
    <col min="8" max="8" width="4.140625" style="104" customWidth="1"/>
  </cols>
  <sheetData>
    <row r="1" spans="1:9" ht="24.75" customHeight="1" x14ac:dyDescent="0.2">
      <c r="A1" s="101" t="s">
        <v>637</v>
      </c>
      <c r="B1" s="102" t="s">
        <v>58</v>
      </c>
      <c r="C1" s="102" t="s">
        <v>59</v>
      </c>
      <c r="D1" s="102" t="s">
        <v>349</v>
      </c>
      <c r="E1" s="102" t="s">
        <v>638</v>
      </c>
      <c r="F1" s="103" t="s">
        <v>449</v>
      </c>
      <c r="H1" s="104" t="s">
        <v>450</v>
      </c>
    </row>
    <row r="2" spans="1:9" ht="14.45" hidden="1" customHeight="1" x14ac:dyDescent="0.2">
      <c r="A2" s="105" t="s">
        <v>451</v>
      </c>
      <c r="B2" s="105"/>
      <c r="C2" s="105"/>
      <c r="D2" s="105"/>
      <c r="E2" s="105"/>
      <c r="F2" s="106"/>
      <c r="H2" s="104" t="s">
        <v>450</v>
      </c>
    </row>
    <row r="3" spans="1:9" ht="14.45" hidden="1" customHeight="1" x14ac:dyDescent="0.2">
      <c r="A3" s="104" t="s">
        <v>145</v>
      </c>
      <c r="D3" s="107" t="s">
        <v>406</v>
      </c>
      <c r="E3" s="107" t="s">
        <v>27</v>
      </c>
      <c r="F3" s="106">
        <f>12*G3</f>
        <v>120</v>
      </c>
      <c r="G3" s="108">
        <v>10</v>
      </c>
      <c r="H3" s="104" t="s">
        <v>453</v>
      </c>
      <c r="I3" t="s">
        <v>683</v>
      </c>
    </row>
    <row r="4" spans="1:9" ht="14.45" hidden="1" customHeight="1" x14ac:dyDescent="0.2">
      <c r="A4" s="104" t="s">
        <v>148</v>
      </c>
      <c r="C4" s="104" t="s">
        <v>578</v>
      </c>
      <c r="D4" s="107" t="s">
        <v>406</v>
      </c>
      <c r="E4" s="107" t="s">
        <v>27</v>
      </c>
      <c r="F4" s="106">
        <f t="shared" ref="F4:F67" si="0">12*G4</f>
        <v>120</v>
      </c>
      <c r="G4" s="108">
        <v>10</v>
      </c>
      <c r="H4" s="104" t="s">
        <v>453</v>
      </c>
      <c r="I4" t="s">
        <v>683</v>
      </c>
    </row>
    <row r="5" spans="1:9" ht="14.45" hidden="1" customHeight="1" x14ac:dyDescent="0.2">
      <c r="A5" s="104" t="s">
        <v>251</v>
      </c>
      <c r="C5" s="104" t="s">
        <v>578</v>
      </c>
      <c r="D5" s="107" t="s">
        <v>406</v>
      </c>
      <c r="E5" s="107" t="s">
        <v>27</v>
      </c>
      <c r="F5" s="106">
        <f t="shared" si="0"/>
        <v>120</v>
      </c>
      <c r="G5" s="108">
        <v>10</v>
      </c>
      <c r="H5" s="104" t="s">
        <v>453</v>
      </c>
      <c r="I5" t="s">
        <v>683</v>
      </c>
    </row>
    <row r="6" spans="1:9" ht="14.45" hidden="1" customHeight="1" x14ac:dyDescent="0.2">
      <c r="A6" s="104" t="s">
        <v>385</v>
      </c>
      <c r="C6" s="104" t="s">
        <v>578</v>
      </c>
      <c r="D6" s="107" t="s">
        <v>406</v>
      </c>
      <c r="E6" s="107" t="s">
        <v>27</v>
      </c>
      <c r="F6" s="106">
        <f t="shared" si="0"/>
        <v>120</v>
      </c>
      <c r="G6" s="108">
        <v>10</v>
      </c>
      <c r="H6" s="104" t="s">
        <v>453</v>
      </c>
      <c r="I6" t="s">
        <v>683</v>
      </c>
    </row>
    <row r="7" spans="1:9" ht="14.45" hidden="1" customHeight="1" x14ac:dyDescent="0.2">
      <c r="A7" s="104" t="s">
        <v>452</v>
      </c>
      <c r="C7" s="104" t="s">
        <v>578</v>
      </c>
      <c r="D7" s="107" t="s">
        <v>406</v>
      </c>
      <c r="E7" s="107" t="s">
        <v>27</v>
      </c>
      <c r="F7" s="106">
        <f t="shared" si="0"/>
        <v>120</v>
      </c>
      <c r="G7" s="108">
        <v>10</v>
      </c>
      <c r="H7" s="104" t="s">
        <v>453</v>
      </c>
      <c r="I7" t="s">
        <v>683</v>
      </c>
    </row>
    <row r="8" spans="1:9" ht="14.45" hidden="1" customHeight="1" x14ac:dyDescent="0.2">
      <c r="A8" s="104" t="s">
        <v>322</v>
      </c>
      <c r="D8" s="107" t="s">
        <v>406</v>
      </c>
      <c r="E8" s="107" t="s">
        <v>27</v>
      </c>
      <c r="F8" s="106">
        <f t="shared" si="0"/>
        <v>120</v>
      </c>
      <c r="G8" s="108">
        <v>10</v>
      </c>
      <c r="H8" s="104" t="s">
        <v>453</v>
      </c>
      <c r="I8" t="s">
        <v>683</v>
      </c>
    </row>
    <row r="9" spans="1:9" ht="14.45" hidden="1" customHeight="1" x14ac:dyDescent="0.2">
      <c r="A9" s="104" t="s">
        <v>350</v>
      </c>
      <c r="D9" s="107" t="s">
        <v>406</v>
      </c>
      <c r="E9" s="107" t="s">
        <v>27</v>
      </c>
      <c r="F9" s="106">
        <f t="shared" si="0"/>
        <v>120</v>
      </c>
      <c r="G9" s="108">
        <v>10</v>
      </c>
      <c r="H9" s="104" t="s">
        <v>453</v>
      </c>
      <c r="I9" t="s">
        <v>683</v>
      </c>
    </row>
    <row r="10" spans="1:9" ht="14.45" hidden="1" customHeight="1" x14ac:dyDescent="0.2">
      <c r="A10" s="104" t="s">
        <v>448</v>
      </c>
      <c r="D10" s="107" t="s">
        <v>406</v>
      </c>
      <c r="E10" s="107" t="s">
        <v>27</v>
      </c>
      <c r="F10" s="106">
        <f t="shared" si="0"/>
        <v>120</v>
      </c>
      <c r="G10" s="108">
        <v>10</v>
      </c>
      <c r="H10" s="104" t="s">
        <v>453</v>
      </c>
      <c r="I10" t="s">
        <v>683</v>
      </c>
    </row>
    <row r="11" spans="1:9" ht="14.45" hidden="1" customHeight="1" x14ac:dyDescent="0.2">
      <c r="A11" s="104" t="s">
        <v>351</v>
      </c>
      <c r="D11" s="107" t="s">
        <v>406</v>
      </c>
      <c r="E11" s="107" t="s">
        <v>27</v>
      </c>
      <c r="F11" s="106">
        <f t="shared" si="0"/>
        <v>120</v>
      </c>
      <c r="G11" s="108">
        <v>10</v>
      </c>
      <c r="H11" s="104" t="s">
        <v>453</v>
      </c>
      <c r="I11" t="s">
        <v>683</v>
      </c>
    </row>
    <row r="12" spans="1:9" ht="14.45" hidden="1" customHeight="1" x14ac:dyDescent="0.2">
      <c r="A12" s="104" t="s">
        <v>352</v>
      </c>
      <c r="D12" s="107" t="s">
        <v>406</v>
      </c>
      <c r="E12" s="107" t="s">
        <v>27</v>
      </c>
      <c r="F12" s="106">
        <f t="shared" si="0"/>
        <v>120</v>
      </c>
      <c r="G12" s="108">
        <v>10</v>
      </c>
      <c r="H12" s="104" t="s">
        <v>453</v>
      </c>
      <c r="I12" t="s">
        <v>683</v>
      </c>
    </row>
    <row r="13" spans="1:9" ht="14.45" hidden="1" customHeight="1" x14ac:dyDescent="0.2">
      <c r="A13" s="104" t="s">
        <v>254</v>
      </c>
      <c r="C13" s="104" t="s">
        <v>579</v>
      </c>
      <c r="D13" s="107" t="s">
        <v>406</v>
      </c>
      <c r="E13" s="107" t="s">
        <v>27</v>
      </c>
      <c r="F13" s="106">
        <f t="shared" si="0"/>
        <v>120</v>
      </c>
      <c r="G13" s="108">
        <v>10</v>
      </c>
      <c r="H13" s="104" t="s">
        <v>453</v>
      </c>
      <c r="I13" t="s">
        <v>683</v>
      </c>
    </row>
    <row r="14" spans="1:9" ht="14.45" hidden="1" customHeight="1" x14ac:dyDescent="0.2">
      <c r="A14" s="104" t="s">
        <v>84</v>
      </c>
      <c r="C14" s="104" t="s">
        <v>578</v>
      </c>
      <c r="D14" s="107" t="s">
        <v>406</v>
      </c>
      <c r="E14" s="107" t="s">
        <v>27</v>
      </c>
      <c r="F14" s="106">
        <f t="shared" si="0"/>
        <v>120</v>
      </c>
      <c r="G14" s="108">
        <v>10</v>
      </c>
      <c r="H14" s="104" t="s">
        <v>453</v>
      </c>
      <c r="I14" t="s">
        <v>683</v>
      </c>
    </row>
    <row r="15" spans="1:9" ht="14.45" hidden="1" customHeight="1" x14ac:dyDescent="0.2">
      <c r="A15" s="104" t="s">
        <v>333</v>
      </c>
      <c r="D15" s="107" t="s">
        <v>406</v>
      </c>
      <c r="E15" s="107" t="s">
        <v>27</v>
      </c>
      <c r="F15" s="106">
        <f t="shared" si="0"/>
        <v>120</v>
      </c>
      <c r="G15" s="108">
        <v>10</v>
      </c>
      <c r="H15" s="104" t="s">
        <v>453</v>
      </c>
      <c r="I15" t="s">
        <v>683</v>
      </c>
    </row>
    <row r="16" spans="1:9" ht="14.45" hidden="1" customHeight="1" x14ac:dyDescent="0.2">
      <c r="A16" s="104" t="s">
        <v>353</v>
      </c>
      <c r="D16" s="107" t="s">
        <v>406</v>
      </c>
      <c r="E16" s="107" t="s">
        <v>27</v>
      </c>
      <c r="F16" s="106">
        <f t="shared" si="0"/>
        <v>120</v>
      </c>
      <c r="G16" s="108">
        <v>10</v>
      </c>
      <c r="H16" s="104" t="s">
        <v>453</v>
      </c>
      <c r="I16" t="s">
        <v>683</v>
      </c>
    </row>
    <row r="17" spans="1:9" ht="14.45" hidden="1" customHeight="1" x14ac:dyDescent="0.2">
      <c r="A17" s="104" t="s">
        <v>75</v>
      </c>
      <c r="D17" s="107" t="s">
        <v>406</v>
      </c>
      <c r="E17" s="107" t="s">
        <v>27</v>
      </c>
      <c r="F17" s="106">
        <f t="shared" si="0"/>
        <v>120</v>
      </c>
      <c r="G17" s="108">
        <v>10</v>
      </c>
      <c r="H17" s="104" t="s">
        <v>453</v>
      </c>
      <c r="I17" t="s">
        <v>683</v>
      </c>
    </row>
    <row r="18" spans="1:9" ht="14.45" hidden="1" customHeight="1" x14ac:dyDescent="0.2">
      <c r="A18" s="104" t="s">
        <v>103</v>
      </c>
      <c r="D18" s="107" t="s">
        <v>406</v>
      </c>
      <c r="E18" s="107" t="s">
        <v>27</v>
      </c>
      <c r="F18" s="106">
        <f t="shared" si="0"/>
        <v>120</v>
      </c>
      <c r="G18" s="108">
        <v>10</v>
      </c>
      <c r="H18" s="104" t="s">
        <v>453</v>
      </c>
      <c r="I18" t="s">
        <v>683</v>
      </c>
    </row>
    <row r="19" spans="1:9" ht="14.45" hidden="1" customHeight="1" x14ac:dyDescent="0.2">
      <c r="A19" s="105" t="s">
        <v>354</v>
      </c>
      <c r="B19" s="105"/>
      <c r="C19" s="105"/>
      <c r="D19" s="105"/>
      <c r="E19" s="107"/>
      <c r="F19" s="106"/>
      <c r="G19" s="108"/>
    </row>
    <row r="20" spans="1:9" ht="14.45" hidden="1" customHeight="1" x14ac:dyDescent="0.2">
      <c r="A20" s="104" t="s">
        <v>213</v>
      </c>
      <c r="D20" s="107" t="s">
        <v>406</v>
      </c>
      <c r="E20" s="107" t="s">
        <v>27</v>
      </c>
      <c r="F20" s="106">
        <f t="shared" si="0"/>
        <v>180</v>
      </c>
      <c r="G20" s="108">
        <v>15</v>
      </c>
      <c r="H20" s="104" t="s">
        <v>453</v>
      </c>
      <c r="I20" t="s">
        <v>682</v>
      </c>
    </row>
    <row r="21" spans="1:9" ht="14.45" hidden="1" customHeight="1" x14ac:dyDescent="0.2">
      <c r="A21" s="104" t="s">
        <v>342</v>
      </c>
      <c r="D21" s="107" t="s">
        <v>406</v>
      </c>
      <c r="E21" s="107" t="s">
        <v>27</v>
      </c>
      <c r="F21" s="106">
        <f t="shared" si="0"/>
        <v>240</v>
      </c>
      <c r="G21" s="108">
        <v>20</v>
      </c>
      <c r="H21" s="104" t="s">
        <v>453</v>
      </c>
      <c r="I21" t="s">
        <v>682</v>
      </c>
    </row>
    <row r="22" spans="1:9" ht="14.45" hidden="1" customHeight="1" x14ac:dyDescent="0.2">
      <c r="A22" s="104" t="s">
        <v>143</v>
      </c>
      <c r="D22" s="107" t="s">
        <v>406</v>
      </c>
      <c r="E22" s="107" t="s">
        <v>27</v>
      </c>
      <c r="F22" s="106">
        <f t="shared" si="0"/>
        <v>180</v>
      </c>
      <c r="G22" s="108">
        <v>15</v>
      </c>
      <c r="H22" s="104" t="s">
        <v>453</v>
      </c>
      <c r="I22" t="s">
        <v>682</v>
      </c>
    </row>
    <row r="23" spans="1:9" ht="14.45" hidden="1" customHeight="1" x14ac:dyDescent="0.2">
      <c r="A23" s="104" t="s">
        <v>32</v>
      </c>
      <c r="D23" s="107" t="s">
        <v>406</v>
      </c>
      <c r="E23" s="107" t="s">
        <v>27</v>
      </c>
      <c r="F23" s="106">
        <f t="shared" si="0"/>
        <v>240</v>
      </c>
      <c r="G23" s="108">
        <v>20</v>
      </c>
      <c r="H23" s="104" t="s">
        <v>453</v>
      </c>
      <c r="I23" t="s">
        <v>682</v>
      </c>
    </row>
    <row r="24" spans="1:9" ht="14.45" hidden="1" customHeight="1" x14ac:dyDescent="0.2">
      <c r="A24" s="104" t="s">
        <v>147</v>
      </c>
      <c r="D24" s="107" t="s">
        <v>406</v>
      </c>
      <c r="E24" s="107" t="s">
        <v>27</v>
      </c>
      <c r="F24" s="106">
        <f t="shared" si="0"/>
        <v>240</v>
      </c>
      <c r="G24" s="108">
        <v>20</v>
      </c>
      <c r="H24" s="104" t="s">
        <v>453</v>
      </c>
      <c r="I24" t="s">
        <v>682</v>
      </c>
    </row>
    <row r="25" spans="1:9" ht="14.45" hidden="1" customHeight="1" x14ac:dyDescent="0.2">
      <c r="A25" s="104" t="s">
        <v>396</v>
      </c>
      <c r="D25" s="107" t="s">
        <v>406</v>
      </c>
      <c r="E25" s="107" t="s">
        <v>27</v>
      </c>
      <c r="F25" s="106">
        <f t="shared" si="0"/>
        <v>240</v>
      </c>
      <c r="G25" s="108">
        <v>20</v>
      </c>
      <c r="H25" s="104" t="s">
        <v>453</v>
      </c>
      <c r="I25" t="s">
        <v>682</v>
      </c>
    </row>
    <row r="26" spans="1:9" ht="14.45" hidden="1" customHeight="1" x14ac:dyDescent="0.2">
      <c r="A26" s="104" t="s">
        <v>207</v>
      </c>
      <c r="D26" s="107" t="s">
        <v>406</v>
      </c>
      <c r="E26" s="107" t="s">
        <v>27</v>
      </c>
      <c r="F26" s="106">
        <f t="shared" si="0"/>
        <v>240</v>
      </c>
      <c r="G26" s="108">
        <v>20</v>
      </c>
      <c r="H26" s="104" t="s">
        <v>453</v>
      </c>
      <c r="I26" t="s">
        <v>682</v>
      </c>
    </row>
    <row r="27" spans="1:9" ht="14.45" hidden="1" customHeight="1" x14ac:dyDescent="0.2">
      <c r="A27" s="104" t="s">
        <v>355</v>
      </c>
      <c r="D27" s="107" t="s">
        <v>406</v>
      </c>
      <c r="E27" s="107" t="s">
        <v>27</v>
      </c>
      <c r="F27" s="106">
        <f t="shared" si="0"/>
        <v>240</v>
      </c>
      <c r="G27" s="108">
        <v>20</v>
      </c>
      <c r="H27" s="104" t="s">
        <v>453</v>
      </c>
      <c r="I27" t="s">
        <v>682</v>
      </c>
    </row>
    <row r="28" spans="1:9" ht="14.45" hidden="1" customHeight="1" x14ac:dyDescent="0.2">
      <c r="A28" s="104" t="s">
        <v>186</v>
      </c>
      <c r="D28" s="107" t="s">
        <v>406</v>
      </c>
      <c r="E28" s="107" t="s">
        <v>27</v>
      </c>
      <c r="F28" s="106">
        <f t="shared" si="0"/>
        <v>240</v>
      </c>
      <c r="G28" s="108">
        <v>20</v>
      </c>
      <c r="H28" s="104" t="s">
        <v>453</v>
      </c>
      <c r="I28" t="s">
        <v>682</v>
      </c>
    </row>
    <row r="29" spans="1:9" ht="14.45" hidden="1" customHeight="1" x14ac:dyDescent="0.2">
      <c r="A29" s="104" t="s">
        <v>34</v>
      </c>
      <c r="D29" s="107" t="s">
        <v>406</v>
      </c>
      <c r="E29" s="107" t="s">
        <v>27</v>
      </c>
      <c r="F29" s="106">
        <f t="shared" si="0"/>
        <v>240</v>
      </c>
      <c r="G29" s="108">
        <v>20</v>
      </c>
      <c r="H29" s="104" t="s">
        <v>453</v>
      </c>
      <c r="I29" t="s">
        <v>682</v>
      </c>
    </row>
    <row r="30" spans="1:9" ht="14.45" hidden="1" customHeight="1" x14ac:dyDescent="0.2">
      <c r="A30" s="104" t="s">
        <v>273</v>
      </c>
      <c r="D30" s="107" t="s">
        <v>406</v>
      </c>
      <c r="E30" s="107" t="s">
        <v>27</v>
      </c>
      <c r="F30" s="106">
        <f t="shared" si="0"/>
        <v>240</v>
      </c>
      <c r="G30" s="108">
        <v>20</v>
      </c>
      <c r="H30" s="104" t="s">
        <v>453</v>
      </c>
      <c r="I30" t="s">
        <v>682</v>
      </c>
    </row>
    <row r="31" spans="1:9" ht="14.45" hidden="1" customHeight="1" x14ac:dyDescent="0.2">
      <c r="A31" s="104" t="s">
        <v>1</v>
      </c>
      <c r="D31" s="107" t="s">
        <v>406</v>
      </c>
      <c r="E31" s="107" t="s">
        <v>27</v>
      </c>
      <c r="F31" s="106">
        <f t="shared" si="0"/>
        <v>240</v>
      </c>
      <c r="G31" s="108">
        <v>20</v>
      </c>
      <c r="H31" s="104" t="s">
        <v>453</v>
      </c>
      <c r="I31" t="s">
        <v>682</v>
      </c>
    </row>
    <row r="32" spans="1:9" ht="14.45" hidden="1" customHeight="1" x14ac:dyDescent="0.2">
      <c r="A32" s="104" t="s">
        <v>205</v>
      </c>
      <c r="D32" s="107" t="s">
        <v>406</v>
      </c>
      <c r="E32" s="107" t="s">
        <v>27</v>
      </c>
      <c r="F32" s="106">
        <f t="shared" si="0"/>
        <v>240</v>
      </c>
      <c r="G32" s="108">
        <v>20</v>
      </c>
      <c r="H32" s="104" t="s">
        <v>453</v>
      </c>
      <c r="I32" t="s">
        <v>682</v>
      </c>
    </row>
    <row r="33" spans="1:9" ht="14.45" hidden="1" customHeight="1" x14ac:dyDescent="0.2">
      <c r="A33" s="104" t="s">
        <v>206</v>
      </c>
      <c r="D33" s="107" t="s">
        <v>406</v>
      </c>
      <c r="E33" s="107" t="s">
        <v>27</v>
      </c>
      <c r="F33" s="106">
        <f t="shared" si="0"/>
        <v>240</v>
      </c>
      <c r="G33" s="108">
        <v>20</v>
      </c>
      <c r="H33" s="104" t="s">
        <v>453</v>
      </c>
      <c r="I33" t="s">
        <v>682</v>
      </c>
    </row>
    <row r="34" spans="1:9" ht="14.45" hidden="1" customHeight="1" x14ac:dyDescent="0.2">
      <c r="A34" s="104" t="s">
        <v>77</v>
      </c>
      <c r="D34" s="107" t="s">
        <v>406</v>
      </c>
      <c r="E34" s="107" t="s">
        <v>27</v>
      </c>
      <c r="F34" s="106">
        <f t="shared" si="0"/>
        <v>240</v>
      </c>
      <c r="G34" s="108">
        <v>20</v>
      </c>
      <c r="H34" s="104" t="s">
        <v>453</v>
      </c>
      <c r="I34" t="s">
        <v>682</v>
      </c>
    </row>
    <row r="35" spans="1:9" ht="14.45" hidden="1" customHeight="1" x14ac:dyDescent="0.2">
      <c r="A35" s="104" t="s">
        <v>524</v>
      </c>
      <c r="D35" s="107" t="s">
        <v>406</v>
      </c>
      <c r="E35" s="107" t="s">
        <v>27</v>
      </c>
      <c r="F35" s="106">
        <f t="shared" si="0"/>
        <v>240</v>
      </c>
      <c r="G35" s="108">
        <v>20</v>
      </c>
      <c r="H35" s="104" t="s">
        <v>453</v>
      </c>
      <c r="I35" t="s">
        <v>682</v>
      </c>
    </row>
    <row r="36" spans="1:9" ht="14.45" hidden="1" customHeight="1" x14ac:dyDescent="0.2">
      <c r="A36" s="104" t="s">
        <v>144</v>
      </c>
      <c r="D36" s="107" t="s">
        <v>406</v>
      </c>
      <c r="E36" s="107" t="s">
        <v>27</v>
      </c>
      <c r="F36" s="106">
        <f t="shared" si="0"/>
        <v>240</v>
      </c>
      <c r="G36" s="108">
        <v>20</v>
      </c>
      <c r="H36" s="104" t="s">
        <v>453</v>
      </c>
      <c r="I36" t="s">
        <v>682</v>
      </c>
    </row>
    <row r="37" spans="1:9" ht="14.45" hidden="1" customHeight="1" x14ac:dyDescent="0.2">
      <c r="A37" s="104" t="s">
        <v>356</v>
      </c>
      <c r="D37" s="107" t="s">
        <v>406</v>
      </c>
      <c r="E37" s="107" t="s">
        <v>27</v>
      </c>
      <c r="F37" s="106">
        <f t="shared" si="0"/>
        <v>240</v>
      </c>
      <c r="G37" s="108">
        <v>20</v>
      </c>
      <c r="H37" s="104" t="s">
        <v>453</v>
      </c>
      <c r="I37" t="s">
        <v>682</v>
      </c>
    </row>
    <row r="38" spans="1:9" ht="14.45" hidden="1" customHeight="1" x14ac:dyDescent="0.2">
      <c r="A38" s="104" t="s">
        <v>245</v>
      </c>
      <c r="D38" s="107" t="s">
        <v>406</v>
      </c>
      <c r="E38" s="107" t="s">
        <v>27</v>
      </c>
      <c r="F38" s="106">
        <f t="shared" si="0"/>
        <v>240</v>
      </c>
      <c r="G38" s="108">
        <v>20</v>
      </c>
      <c r="H38" s="104" t="s">
        <v>453</v>
      </c>
      <c r="I38" t="s">
        <v>682</v>
      </c>
    </row>
    <row r="39" spans="1:9" ht="14.45" hidden="1" customHeight="1" x14ac:dyDescent="0.2">
      <c r="A39" s="104" t="s">
        <v>447</v>
      </c>
      <c r="D39" s="107" t="s">
        <v>406</v>
      </c>
      <c r="E39" s="107" t="s">
        <v>27</v>
      </c>
      <c r="F39" s="106">
        <f t="shared" si="0"/>
        <v>240</v>
      </c>
      <c r="G39" s="108">
        <v>20</v>
      </c>
      <c r="H39" s="104" t="s">
        <v>453</v>
      </c>
      <c r="I39" t="s">
        <v>682</v>
      </c>
    </row>
    <row r="40" spans="1:9" ht="14.45" hidden="1" customHeight="1" x14ac:dyDescent="0.2">
      <c r="A40" s="104" t="s">
        <v>142</v>
      </c>
      <c r="D40" s="107" t="s">
        <v>406</v>
      </c>
      <c r="E40" s="107" t="s">
        <v>27</v>
      </c>
      <c r="F40" s="106">
        <f t="shared" si="0"/>
        <v>240</v>
      </c>
      <c r="G40" s="108">
        <v>20</v>
      </c>
      <c r="H40" s="104" t="s">
        <v>453</v>
      </c>
      <c r="I40" t="s">
        <v>682</v>
      </c>
    </row>
    <row r="41" spans="1:9" ht="14.45" hidden="1" customHeight="1" x14ac:dyDescent="0.2">
      <c r="A41" s="104" t="s">
        <v>96</v>
      </c>
      <c r="D41" s="107" t="s">
        <v>406</v>
      </c>
      <c r="E41" s="107" t="s">
        <v>27</v>
      </c>
      <c r="F41" s="106">
        <f t="shared" si="0"/>
        <v>240</v>
      </c>
      <c r="G41" s="108">
        <v>20</v>
      </c>
      <c r="H41" s="104" t="s">
        <v>453</v>
      </c>
      <c r="I41" t="s">
        <v>682</v>
      </c>
    </row>
    <row r="42" spans="1:9" ht="14.45" hidden="1" customHeight="1" x14ac:dyDescent="0.2">
      <c r="A42" s="104" t="s">
        <v>253</v>
      </c>
      <c r="D42" s="107" t="s">
        <v>406</v>
      </c>
      <c r="E42" s="107" t="s">
        <v>27</v>
      </c>
      <c r="F42" s="106">
        <f t="shared" si="0"/>
        <v>240</v>
      </c>
      <c r="G42" s="108">
        <v>20</v>
      </c>
      <c r="H42" s="104" t="s">
        <v>453</v>
      </c>
      <c r="I42" t="s">
        <v>682</v>
      </c>
    </row>
    <row r="43" spans="1:9" ht="14.45" hidden="1" customHeight="1" x14ac:dyDescent="0.2">
      <c r="A43" s="104" t="s">
        <v>152</v>
      </c>
      <c r="D43" s="107" t="s">
        <v>406</v>
      </c>
      <c r="E43" s="107" t="s">
        <v>27</v>
      </c>
      <c r="F43" s="106">
        <f t="shared" si="0"/>
        <v>240</v>
      </c>
      <c r="G43" s="108">
        <v>20</v>
      </c>
      <c r="H43" s="104" t="s">
        <v>453</v>
      </c>
      <c r="I43" t="s">
        <v>682</v>
      </c>
    </row>
    <row r="44" spans="1:9" ht="14.45" hidden="1" customHeight="1" x14ac:dyDescent="0.2">
      <c r="A44" s="104" t="s">
        <v>258</v>
      </c>
      <c r="D44" s="107" t="s">
        <v>406</v>
      </c>
      <c r="E44" s="107" t="s">
        <v>27</v>
      </c>
      <c r="F44" s="106">
        <f t="shared" si="0"/>
        <v>240</v>
      </c>
      <c r="G44" s="108">
        <v>20</v>
      </c>
      <c r="H44" s="104" t="s">
        <v>453</v>
      </c>
      <c r="I44" t="s">
        <v>682</v>
      </c>
    </row>
    <row r="45" spans="1:9" ht="14.45" hidden="1" customHeight="1" x14ac:dyDescent="0.2">
      <c r="A45" s="104" t="s">
        <v>259</v>
      </c>
      <c r="D45" s="107" t="s">
        <v>406</v>
      </c>
      <c r="E45" s="107" t="s">
        <v>27</v>
      </c>
      <c r="F45" s="106">
        <f t="shared" si="0"/>
        <v>240</v>
      </c>
      <c r="G45" s="108">
        <v>20</v>
      </c>
      <c r="H45" s="104" t="s">
        <v>453</v>
      </c>
      <c r="I45" t="s">
        <v>682</v>
      </c>
    </row>
    <row r="46" spans="1:9" ht="14.45" hidden="1" customHeight="1" x14ac:dyDescent="0.2">
      <c r="A46" s="104" t="s">
        <v>434</v>
      </c>
      <c r="D46" s="107" t="s">
        <v>406</v>
      </c>
      <c r="E46" s="107" t="s">
        <v>27</v>
      </c>
      <c r="F46" s="106">
        <f t="shared" si="0"/>
        <v>240</v>
      </c>
      <c r="G46" s="108">
        <v>20</v>
      </c>
      <c r="H46" s="104" t="s">
        <v>453</v>
      </c>
      <c r="I46" t="s">
        <v>682</v>
      </c>
    </row>
    <row r="47" spans="1:9" ht="14.45" hidden="1" customHeight="1" x14ac:dyDescent="0.2">
      <c r="A47" s="104" t="s">
        <v>246</v>
      </c>
      <c r="D47" s="107" t="s">
        <v>406</v>
      </c>
      <c r="E47" s="107" t="s">
        <v>27</v>
      </c>
      <c r="F47" s="106">
        <f t="shared" si="0"/>
        <v>240</v>
      </c>
      <c r="G47" s="108">
        <v>20</v>
      </c>
      <c r="H47" s="104" t="s">
        <v>453</v>
      </c>
      <c r="I47" t="s">
        <v>682</v>
      </c>
    </row>
    <row r="48" spans="1:9" ht="14.45" hidden="1" customHeight="1" x14ac:dyDescent="0.2">
      <c r="A48" s="104" t="s">
        <v>319</v>
      </c>
      <c r="D48" s="107" t="s">
        <v>406</v>
      </c>
      <c r="E48" s="107" t="s">
        <v>27</v>
      </c>
      <c r="F48" s="106">
        <f t="shared" si="0"/>
        <v>240</v>
      </c>
      <c r="G48" s="108">
        <v>20</v>
      </c>
      <c r="H48" s="104" t="s">
        <v>453</v>
      </c>
      <c r="I48" t="s">
        <v>682</v>
      </c>
    </row>
    <row r="49" spans="1:9" ht="14.45" hidden="1" customHeight="1" x14ac:dyDescent="0.2">
      <c r="A49" s="104" t="s">
        <v>117</v>
      </c>
      <c r="D49" s="107" t="s">
        <v>406</v>
      </c>
      <c r="E49" s="107" t="s">
        <v>27</v>
      </c>
      <c r="F49" s="106">
        <f t="shared" si="0"/>
        <v>240</v>
      </c>
      <c r="G49" s="108">
        <v>20</v>
      </c>
      <c r="H49" s="104" t="s">
        <v>453</v>
      </c>
      <c r="I49" t="s">
        <v>682</v>
      </c>
    </row>
    <row r="50" spans="1:9" ht="14.45" hidden="1" customHeight="1" x14ac:dyDescent="0.2">
      <c r="A50" s="96" t="s">
        <v>95</v>
      </c>
      <c r="D50" s="107" t="s">
        <v>406</v>
      </c>
      <c r="E50" s="107" t="s">
        <v>27</v>
      </c>
      <c r="F50" s="106">
        <f t="shared" si="0"/>
        <v>240</v>
      </c>
      <c r="G50" s="108">
        <v>20</v>
      </c>
      <c r="H50" s="104" t="s">
        <v>453</v>
      </c>
      <c r="I50" t="s">
        <v>682</v>
      </c>
    </row>
    <row r="51" spans="1:9" ht="14.45" hidden="1" customHeight="1" x14ac:dyDescent="0.2">
      <c r="A51" s="96" t="s">
        <v>344</v>
      </c>
      <c r="D51" s="107" t="s">
        <v>406</v>
      </c>
      <c r="E51" s="107" t="s">
        <v>27</v>
      </c>
      <c r="F51" s="106">
        <f t="shared" si="0"/>
        <v>240</v>
      </c>
      <c r="G51" s="108">
        <v>20</v>
      </c>
      <c r="H51" s="104" t="s">
        <v>453</v>
      </c>
      <c r="I51" t="s">
        <v>682</v>
      </c>
    </row>
    <row r="52" spans="1:9" ht="14.45" hidden="1" customHeight="1" x14ac:dyDescent="0.2">
      <c r="A52" s="95" t="s">
        <v>55</v>
      </c>
      <c r="D52" s="107" t="s">
        <v>406</v>
      </c>
      <c r="E52" s="107" t="s">
        <v>27</v>
      </c>
      <c r="F52" s="106">
        <f t="shared" si="0"/>
        <v>240</v>
      </c>
      <c r="G52" s="108">
        <v>20</v>
      </c>
      <c r="H52" s="104" t="s">
        <v>453</v>
      </c>
      <c r="I52" t="s">
        <v>682</v>
      </c>
    </row>
    <row r="53" spans="1:9" ht="14.45" hidden="1" customHeight="1" x14ac:dyDescent="0.2">
      <c r="A53" s="95" t="s">
        <v>56</v>
      </c>
      <c r="D53" s="107" t="s">
        <v>406</v>
      </c>
      <c r="E53" s="107" t="s">
        <v>27</v>
      </c>
      <c r="F53" s="106">
        <f t="shared" si="0"/>
        <v>240</v>
      </c>
      <c r="G53" s="108">
        <v>20</v>
      </c>
      <c r="H53" s="104" t="s">
        <v>453</v>
      </c>
      <c r="I53" t="s">
        <v>682</v>
      </c>
    </row>
    <row r="54" spans="1:9" ht="14.45" hidden="1" customHeight="1" x14ac:dyDescent="0.2">
      <c r="A54" s="104" t="s">
        <v>287</v>
      </c>
      <c r="D54" s="107" t="s">
        <v>406</v>
      </c>
      <c r="E54" s="107" t="s">
        <v>27</v>
      </c>
      <c r="F54" s="106">
        <f t="shared" si="0"/>
        <v>180</v>
      </c>
      <c r="G54" s="108">
        <v>15</v>
      </c>
      <c r="H54" s="104" t="s">
        <v>453</v>
      </c>
      <c r="I54" t="s">
        <v>682</v>
      </c>
    </row>
    <row r="55" spans="1:9" ht="14.45" hidden="1" customHeight="1" x14ac:dyDescent="0.2">
      <c r="A55" s="105" t="s">
        <v>247</v>
      </c>
      <c r="B55" s="105"/>
      <c r="C55" s="105"/>
      <c r="D55" s="105"/>
      <c r="E55" s="107"/>
      <c r="F55" s="106"/>
      <c r="G55" s="108"/>
    </row>
    <row r="56" spans="1:9" ht="14.45" hidden="1" customHeight="1" x14ac:dyDescent="0.2">
      <c r="A56" s="104" t="s">
        <v>397</v>
      </c>
      <c r="B56" s="104" t="s">
        <v>398</v>
      </c>
      <c r="C56" s="104" t="s">
        <v>435</v>
      </c>
      <c r="D56" s="107" t="s">
        <v>406</v>
      </c>
      <c r="E56" s="107" t="s">
        <v>27</v>
      </c>
      <c r="F56" s="106">
        <f t="shared" si="0"/>
        <v>120</v>
      </c>
      <c r="G56" s="108">
        <v>10</v>
      </c>
      <c r="H56" s="104" t="s">
        <v>453</v>
      </c>
      <c r="I56" t="s">
        <v>680</v>
      </c>
    </row>
    <row r="57" spans="1:9" ht="14.45" hidden="1" customHeight="1" x14ac:dyDescent="0.2">
      <c r="A57" s="104" t="s">
        <v>260</v>
      </c>
      <c r="D57" s="107" t="s">
        <v>406</v>
      </c>
      <c r="E57" s="107" t="s">
        <v>27</v>
      </c>
      <c r="F57" s="106">
        <f t="shared" si="0"/>
        <v>120</v>
      </c>
      <c r="G57" s="108">
        <v>10</v>
      </c>
      <c r="H57" s="104" t="s">
        <v>453</v>
      </c>
      <c r="I57" t="s">
        <v>680</v>
      </c>
    </row>
    <row r="58" spans="1:9" ht="14.45" hidden="1" customHeight="1" x14ac:dyDescent="0.2">
      <c r="A58" s="104" t="s">
        <v>359</v>
      </c>
      <c r="D58" s="107" t="s">
        <v>406</v>
      </c>
      <c r="E58" s="107" t="s">
        <v>27</v>
      </c>
      <c r="F58" s="106">
        <f t="shared" si="0"/>
        <v>120</v>
      </c>
      <c r="G58" s="108">
        <v>10</v>
      </c>
      <c r="H58" s="104" t="s">
        <v>453</v>
      </c>
      <c r="I58" t="s">
        <v>680</v>
      </c>
    </row>
    <row r="59" spans="1:9" ht="14.45" hidden="1" customHeight="1" x14ac:dyDescent="0.2">
      <c r="A59" s="104" t="s">
        <v>390</v>
      </c>
      <c r="D59" s="107" t="s">
        <v>406</v>
      </c>
      <c r="E59" s="107" t="s">
        <v>27</v>
      </c>
      <c r="F59" s="106">
        <f t="shared" si="0"/>
        <v>120</v>
      </c>
      <c r="G59" s="108">
        <v>10</v>
      </c>
      <c r="H59" s="104" t="s">
        <v>453</v>
      </c>
      <c r="I59" t="s">
        <v>680</v>
      </c>
    </row>
    <row r="60" spans="1:9" ht="14.45" hidden="1" customHeight="1" x14ac:dyDescent="0.2">
      <c r="A60" s="104" t="s">
        <v>80</v>
      </c>
      <c r="D60" s="107" t="s">
        <v>406</v>
      </c>
      <c r="E60" s="107" t="s">
        <v>27</v>
      </c>
      <c r="F60" s="106">
        <f t="shared" si="0"/>
        <v>120</v>
      </c>
      <c r="G60" s="108">
        <v>10</v>
      </c>
      <c r="H60" s="104" t="s">
        <v>453</v>
      </c>
      <c r="I60" t="s">
        <v>680</v>
      </c>
    </row>
    <row r="61" spans="1:9" ht="14.45" hidden="1" customHeight="1" x14ac:dyDescent="0.2">
      <c r="A61" s="104" t="s">
        <v>514</v>
      </c>
      <c r="D61" s="107" t="s">
        <v>406</v>
      </c>
      <c r="E61" s="107" t="s">
        <v>27</v>
      </c>
      <c r="F61" s="106">
        <f t="shared" si="0"/>
        <v>120</v>
      </c>
      <c r="G61" s="108">
        <v>10</v>
      </c>
      <c r="H61" s="104" t="s">
        <v>453</v>
      </c>
      <c r="I61" t="s">
        <v>680</v>
      </c>
    </row>
    <row r="62" spans="1:9" ht="14.45" hidden="1" customHeight="1" x14ac:dyDescent="0.2">
      <c r="A62" s="104" t="s">
        <v>374</v>
      </c>
      <c r="D62" s="107" t="s">
        <v>406</v>
      </c>
      <c r="E62" s="107" t="s">
        <v>27</v>
      </c>
      <c r="F62" s="106">
        <f t="shared" si="0"/>
        <v>120</v>
      </c>
      <c r="G62" s="108">
        <v>10</v>
      </c>
      <c r="H62" s="104" t="s">
        <v>453</v>
      </c>
      <c r="I62" t="s">
        <v>680</v>
      </c>
    </row>
    <row r="63" spans="1:9" ht="14.45" hidden="1" customHeight="1" x14ac:dyDescent="0.2">
      <c r="A63" s="104" t="s">
        <v>248</v>
      </c>
      <c r="D63" s="107" t="s">
        <v>406</v>
      </c>
      <c r="E63" s="107" t="s">
        <v>27</v>
      </c>
      <c r="F63" s="106">
        <f t="shared" si="0"/>
        <v>120</v>
      </c>
      <c r="G63" s="108">
        <v>10</v>
      </c>
      <c r="H63" s="104" t="s">
        <v>453</v>
      </c>
      <c r="I63" t="s">
        <v>680</v>
      </c>
    </row>
    <row r="64" spans="1:9" ht="14.45" hidden="1" customHeight="1" x14ac:dyDescent="0.2">
      <c r="A64" s="104" t="s">
        <v>76</v>
      </c>
      <c r="D64" s="107" t="s">
        <v>406</v>
      </c>
      <c r="E64" s="107" t="s">
        <v>27</v>
      </c>
      <c r="F64" s="106">
        <f t="shared" si="0"/>
        <v>120</v>
      </c>
      <c r="G64" s="108">
        <v>10</v>
      </c>
      <c r="H64" s="104" t="s">
        <v>453</v>
      </c>
      <c r="I64" t="s">
        <v>680</v>
      </c>
    </row>
    <row r="65" spans="1:9" ht="14.45" hidden="1" customHeight="1" x14ac:dyDescent="0.2">
      <c r="A65" s="104" t="s">
        <v>432</v>
      </c>
      <c r="D65" s="107" t="s">
        <v>406</v>
      </c>
      <c r="E65" s="107" t="s">
        <v>27</v>
      </c>
      <c r="F65" s="106">
        <f t="shared" si="0"/>
        <v>120</v>
      </c>
      <c r="G65" s="108">
        <v>10</v>
      </c>
      <c r="H65" s="104" t="s">
        <v>453</v>
      </c>
      <c r="I65" t="s">
        <v>680</v>
      </c>
    </row>
    <row r="66" spans="1:9" ht="14.45" hidden="1" customHeight="1" x14ac:dyDescent="0.2">
      <c r="A66" s="104" t="s">
        <v>249</v>
      </c>
      <c r="D66" s="107" t="s">
        <v>406</v>
      </c>
      <c r="E66" s="107" t="s">
        <v>27</v>
      </c>
      <c r="F66" s="106">
        <f t="shared" si="0"/>
        <v>120</v>
      </c>
      <c r="G66" s="108">
        <v>10</v>
      </c>
      <c r="H66" s="104" t="s">
        <v>453</v>
      </c>
      <c r="I66" t="s">
        <v>680</v>
      </c>
    </row>
    <row r="67" spans="1:9" ht="14.45" hidden="1" customHeight="1" x14ac:dyDescent="0.2">
      <c r="A67" s="104" t="s">
        <v>49</v>
      </c>
      <c r="D67" s="107" t="s">
        <v>406</v>
      </c>
      <c r="E67" s="107" t="s">
        <v>27</v>
      </c>
      <c r="F67" s="106">
        <f t="shared" si="0"/>
        <v>120</v>
      </c>
      <c r="G67" s="108">
        <v>10</v>
      </c>
      <c r="H67" s="104" t="s">
        <v>453</v>
      </c>
      <c r="I67" t="s">
        <v>680</v>
      </c>
    </row>
    <row r="68" spans="1:9" ht="14.45" hidden="1" customHeight="1" x14ac:dyDescent="0.2">
      <c r="A68" s="104" t="s">
        <v>163</v>
      </c>
      <c r="D68" s="107" t="s">
        <v>406</v>
      </c>
      <c r="E68" s="107" t="s">
        <v>27</v>
      </c>
      <c r="F68" s="106">
        <f t="shared" ref="F68:F131" si="1">12*G68</f>
        <v>120</v>
      </c>
      <c r="G68" s="108">
        <v>10</v>
      </c>
      <c r="H68" s="104" t="s">
        <v>453</v>
      </c>
      <c r="I68" t="s">
        <v>680</v>
      </c>
    </row>
    <row r="69" spans="1:9" ht="14.45" hidden="1" customHeight="1" x14ac:dyDescent="0.2">
      <c r="A69" s="104" t="s">
        <v>375</v>
      </c>
      <c r="D69" s="107" t="s">
        <v>406</v>
      </c>
      <c r="E69" s="107" t="s">
        <v>27</v>
      </c>
      <c r="F69" s="106">
        <f t="shared" si="1"/>
        <v>120</v>
      </c>
      <c r="G69" s="108">
        <v>10</v>
      </c>
      <c r="H69" s="104" t="s">
        <v>453</v>
      </c>
      <c r="I69" t="s">
        <v>680</v>
      </c>
    </row>
    <row r="70" spans="1:9" ht="14.45" hidden="1" customHeight="1" x14ac:dyDescent="0.2">
      <c r="A70" s="104" t="s">
        <v>517</v>
      </c>
      <c r="D70" s="107" t="s">
        <v>406</v>
      </c>
      <c r="E70" s="107" t="s">
        <v>27</v>
      </c>
      <c r="F70" s="106">
        <f t="shared" si="1"/>
        <v>120</v>
      </c>
      <c r="G70" s="108">
        <v>10</v>
      </c>
      <c r="H70" s="104" t="s">
        <v>453</v>
      </c>
      <c r="I70" t="s">
        <v>680</v>
      </c>
    </row>
    <row r="71" spans="1:9" ht="14.45" hidden="1" customHeight="1" x14ac:dyDescent="0.2">
      <c r="A71" s="104" t="s">
        <v>219</v>
      </c>
      <c r="D71" s="107" t="s">
        <v>406</v>
      </c>
      <c r="E71" s="107" t="s">
        <v>27</v>
      </c>
      <c r="F71" s="106">
        <f t="shared" si="1"/>
        <v>120</v>
      </c>
      <c r="G71" s="108">
        <v>10</v>
      </c>
      <c r="H71" s="104" t="s">
        <v>453</v>
      </c>
      <c r="I71" t="s">
        <v>680</v>
      </c>
    </row>
    <row r="72" spans="1:9" ht="14.45" hidden="1" customHeight="1" x14ac:dyDescent="0.2">
      <c r="A72" s="104" t="s">
        <v>0</v>
      </c>
      <c r="D72" s="107" t="s">
        <v>406</v>
      </c>
      <c r="E72" s="107" t="s">
        <v>27</v>
      </c>
      <c r="F72" s="106">
        <f t="shared" si="1"/>
        <v>120</v>
      </c>
      <c r="G72" s="108">
        <v>10</v>
      </c>
      <c r="H72" s="104" t="s">
        <v>453</v>
      </c>
      <c r="I72" t="s">
        <v>680</v>
      </c>
    </row>
    <row r="73" spans="1:9" ht="14.45" hidden="1" customHeight="1" x14ac:dyDescent="0.2">
      <c r="A73" s="104" t="s">
        <v>195</v>
      </c>
      <c r="D73" s="107" t="s">
        <v>406</v>
      </c>
      <c r="E73" s="107" t="s">
        <v>27</v>
      </c>
      <c r="F73" s="106">
        <f t="shared" si="1"/>
        <v>120</v>
      </c>
      <c r="G73" s="108">
        <v>10</v>
      </c>
      <c r="H73" s="104" t="s">
        <v>453</v>
      </c>
      <c r="I73" t="s">
        <v>680</v>
      </c>
    </row>
    <row r="74" spans="1:9" ht="14.45" hidden="1" customHeight="1" x14ac:dyDescent="0.2">
      <c r="A74" s="104" t="s">
        <v>473</v>
      </c>
      <c r="D74" s="107" t="s">
        <v>406</v>
      </c>
      <c r="E74" s="107" t="s">
        <v>27</v>
      </c>
      <c r="F74" s="106">
        <f t="shared" si="1"/>
        <v>120</v>
      </c>
      <c r="G74" s="108">
        <v>10</v>
      </c>
      <c r="H74" s="104" t="s">
        <v>453</v>
      </c>
      <c r="I74" t="s">
        <v>680</v>
      </c>
    </row>
    <row r="75" spans="1:9" ht="14.45" hidden="1" customHeight="1" x14ac:dyDescent="0.2">
      <c r="A75" s="104" t="s">
        <v>250</v>
      </c>
      <c r="D75" s="107" t="s">
        <v>406</v>
      </c>
      <c r="E75" s="107" t="s">
        <v>27</v>
      </c>
      <c r="F75" s="106">
        <f t="shared" si="1"/>
        <v>120</v>
      </c>
      <c r="G75" s="108">
        <v>10</v>
      </c>
      <c r="H75" s="104" t="s">
        <v>453</v>
      </c>
      <c r="I75" t="s">
        <v>680</v>
      </c>
    </row>
    <row r="76" spans="1:9" ht="14.45" hidden="1" customHeight="1" x14ac:dyDescent="0.2">
      <c r="A76" s="104" t="s">
        <v>440</v>
      </c>
      <c r="D76" s="107" t="s">
        <v>406</v>
      </c>
      <c r="E76" s="107" t="s">
        <v>27</v>
      </c>
      <c r="F76" s="106">
        <f t="shared" si="1"/>
        <v>120</v>
      </c>
      <c r="G76" s="108">
        <v>10</v>
      </c>
      <c r="H76" s="104" t="s">
        <v>453</v>
      </c>
      <c r="I76" t="s">
        <v>680</v>
      </c>
    </row>
    <row r="77" spans="1:9" ht="14.45" hidden="1" customHeight="1" x14ac:dyDescent="0.2">
      <c r="A77" s="104" t="s">
        <v>14</v>
      </c>
      <c r="D77" s="107" t="s">
        <v>406</v>
      </c>
      <c r="E77" s="107" t="s">
        <v>27</v>
      </c>
      <c r="F77" s="106">
        <f t="shared" si="1"/>
        <v>120</v>
      </c>
      <c r="G77" s="108">
        <v>10</v>
      </c>
      <c r="H77" s="104" t="s">
        <v>453</v>
      </c>
      <c r="I77" t="s">
        <v>680</v>
      </c>
    </row>
    <row r="78" spans="1:9" ht="14.45" hidden="1" customHeight="1" x14ac:dyDescent="0.2">
      <c r="A78" s="104" t="s">
        <v>334</v>
      </c>
      <c r="D78" s="107" t="s">
        <v>406</v>
      </c>
      <c r="E78" s="107" t="s">
        <v>27</v>
      </c>
      <c r="F78" s="106">
        <f t="shared" si="1"/>
        <v>120</v>
      </c>
      <c r="G78" s="108">
        <v>10</v>
      </c>
      <c r="H78" s="104" t="s">
        <v>453</v>
      </c>
      <c r="I78" t="s">
        <v>680</v>
      </c>
    </row>
    <row r="79" spans="1:9" ht="14.45" hidden="1" customHeight="1" x14ac:dyDescent="0.2">
      <c r="A79" s="104" t="s">
        <v>283</v>
      </c>
      <c r="D79" s="107" t="s">
        <v>406</v>
      </c>
      <c r="E79" s="107" t="s">
        <v>27</v>
      </c>
      <c r="F79" s="106">
        <f t="shared" si="1"/>
        <v>120</v>
      </c>
      <c r="G79" s="108">
        <v>10</v>
      </c>
      <c r="H79" s="104" t="s">
        <v>453</v>
      </c>
      <c r="I79" t="s">
        <v>680</v>
      </c>
    </row>
    <row r="80" spans="1:9" ht="14.45" hidden="1" customHeight="1" x14ac:dyDescent="0.2">
      <c r="A80" s="104" t="s">
        <v>365</v>
      </c>
      <c r="D80" s="107" t="s">
        <v>406</v>
      </c>
      <c r="E80" s="107" t="s">
        <v>27</v>
      </c>
      <c r="F80" s="106">
        <f t="shared" si="1"/>
        <v>120</v>
      </c>
      <c r="G80" s="108">
        <v>10</v>
      </c>
      <c r="H80" s="104" t="s">
        <v>453</v>
      </c>
      <c r="I80" t="s">
        <v>680</v>
      </c>
    </row>
    <row r="81" spans="1:9" ht="14.45" hidden="1" customHeight="1" x14ac:dyDescent="0.2">
      <c r="A81" s="104" t="s">
        <v>332</v>
      </c>
      <c r="D81" s="107" t="s">
        <v>406</v>
      </c>
      <c r="E81" s="107" t="s">
        <v>27</v>
      </c>
      <c r="F81" s="106">
        <f t="shared" si="1"/>
        <v>120</v>
      </c>
      <c r="G81" s="108">
        <v>10</v>
      </c>
      <c r="H81" s="104" t="s">
        <v>453</v>
      </c>
      <c r="I81" t="s">
        <v>680</v>
      </c>
    </row>
    <row r="82" spans="1:9" ht="14.45" hidden="1" customHeight="1" x14ac:dyDescent="0.2">
      <c r="A82" s="104" t="s">
        <v>150</v>
      </c>
      <c r="D82" s="107" t="s">
        <v>406</v>
      </c>
      <c r="E82" s="107" t="s">
        <v>27</v>
      </c>
      <c r="F82" s="106">
        <f t="shared" si="1"/>
        <v>120</v>
      </c>
      <c r="G82" s="108">
        <v>10</v>
      </c>
      <c r="H82" s="104" t="s">
        <v>453</v>
      </c>
      <c r="I82" t="s">
        <v>680</v>
      </c>
    </row>
    <row r="83" spans="1:9" ht="14.45" hidden="1" customHeight="1" x14ac:dyDescent="0.2">
      <c r="A83" s="104" t="s">
        <v>12</v>
      </c>
      <c r="D83" s="107" t="s">
        <v>406</v>
      </c>
      <c r="E83" s="107" t="s">
        <v>27</v>
      </c>
      <c r="F83" s="106">
        <f t="shared" si="1"/>
        <v>120</v>
      </c>
      <c r="G83" s="108">
        <v>10</v>
      </c>
      <c r="H83" s="104" t="s">
        <v>453</v>
      </c>
      <c r="I83" t="s">
        <v>680</v>
      </c>
    </row>
    <row r="84" spans="1:9" ht="14.45" hidden="1" customHeight="1" x14ac:dyDescent="0.2">
      <c r="A84" s="104" t="s">
        <v>284</v>
      </c>
      <c r="D84" s="107" t="s">
        <v>406</v>
      </c>
      <c r="E84" s="107" t="s">
        <v>27</v>
      </c>
      <c r="F84" s="106">
        <f t="shared" si="1"/>
        <v>120</v>
      </c>
      <c r="G84" s="108">
        <v>10</v>
      </c>
      <c r="H84" s="104" t="s">
        <v>453</v>
      </c>
      <c r="I84" t="s">
        <v>680</v>
      </c>
    </row>
    <row r="85" spans="1:9" ht="14.45" hidden="1" customHeight="1" x14ac:dyDescent="0.2">
      <c r="A85" s="104" t="s">
        <v>272</v>
      </c>
      <c r="D85" s="107" t="s">
        <v>406</v>
      </c>
      <c r="E85" s="107" t="s">
        <v>27</v>
      </c>
      <c r="F85" s="106">
        <f t="shared" si="1"/>
        <v>120</v>
      </c>
      <c r="G85" s="108">
        <v>10</v>
      </c>
      <c r="H85" s="104" t="s">
        <v>453</v>
      </c>
      <c r="I85" t="s">
        <v>680</v>
      </c>
    </row>
    <row r="86" spans="1:9" ht="14.45" hidden="1" customHeight="1" x14ac:dyDescent="0.2">
      <c r="A86" s="104" t="s">
        <v>89</v>
      </c>
      <c r="D86" s="107" t="s">
        <v>406</v>
      </c>
      <c r="E86" s="107" t="s">
        <v>27</v>
      </c>
      <c r="F86" s="106">
        <f t="shared" si="1"/>
        <v>120</v>
      </c>
      <c r="G86" s="108">
        <v>10</v>
      </c>
      <c r="H86" s="104" t="s">
        <v>453</v>
      </c>
      <c r="I86" t="s">
        <v>680</v>
      </c>
    </row>
    <row r="87" spans="1:9" ht="14.45" hidden="1" customHeight="1" x14ac:dyDescent="0.2">
      <c r="A87" s="104" t="s">
        <v>208</v>
      </c>
      <c r="D87" s="107" t="s">
        <v>406</v>
      </c>
      <c r="E87" s="107" t="s">
        <v>27</v>
      </c>
      <c r="F87" s="106">
        <f t="shared" si="1"/>
        <v>120</v>
      </c>
      <c r="G87" s="108">
        <v>10</v>
      </c>
      <c r="H87" s="104" t="s">
        <v>453</v>
      </c>
      <c r="I87" t="s">
        <v>680</v>
      </c>
    </row>
    <row r="88" spans="1:9" ht="14.45" hidden="1" customHeight="1" x14ac:dyDescent="0.2">
      <c r="A88" s="104" t="s">
        <v>357</v>
      </c>
      <c r="D88" s="107" t="s">
        <v>406</v>
      </c>
      <c r="E88" s="107" t="s">
        <v>27</v>
      </c>
      <c r="F88" s="106">
        <f t="shared" si="1"/>
        <v>120</v>
      </c>
      <c r="G88" s="108">
        <v>10</v>
      </c>
      <c r="H88" s="104" t="s">
        <v>453</v>
      </c>
      <c r="I88" t="s">
        <v>680</v>
      </c>
    </row>
    <row r="89" spans="1:9" ht="14.45" hidden="1" customHeight="1" x14ac:dyDescent="0.2">
      <c r="A89" s="104" t="s">
        <v>110</v>
      </c>
      <c r="D89" s="107" t="s">
        <v>406</v>
      </c>
      <c r="E89" s="107" t="s">
        <v>27</v>
      </c>
      <c r="F89" s="106">
        <f t="shared" si="1"/>
        <v>120</v>
      </c>
      <c r="G89" s="108">
        <v>10</v>
      </c>
      <c r="H89" s="104" t="s">
        <v>453</v>
      </c>
      <c r="I89" t="s">
        <v>680</v>
      </c>
    </row>
    <row r="90" spans="1:9" ht="14.45" hidden="1" customHeight="1" x14ac:dyDescent="0.2">
      <c r="A90" s="104" t="s">
        <v>11</v>
      </c>
      <c r="D90" s="107" t="s">
        <v>406</v>
      </c>
      <c r="E90" s="107" t="s">
        <v>27</v>
      </c>
      <c r="F90" s="106">
        <f t="shared" si="1"/>
        <v>120</v>
      </c>
      <c r="G90" s="108">
        <v>10</v>
      </c>
      <c r="H90" s="104" t="s">
        <v>453</v>
      </c>
      <c r="I90" t="s">
        <v>680</v>
      </c>
    </row>
    <row r="91" spans="1:9" ht="14.45" hidden="1" customHeight="1" x14ac:dyDescent="0.2">
      <c r="A91" s="104" t="s">
        <v>271</v>
      </c>
      <c r="D91" s="107" t="s">
        <v>406</v>
      </c>
      <c r="E91" s="107" t="s">
        <v>27</v>
      </c>
      <c r="F91" s="106">
        <f t="shared" si="1"/>
        <v>120</v>
      </c>
      <c r="G91" s="108">
        <v>10</v>
      </c>
      <c r="H91" s="104" t="s">
        <v>453</v>
      </c>
      <c r="I91" t="s">
        <v>680</v>
      </c>
    </row>
    <row r="92" spans="1:9" ht="14.45" hidden="1" customHeight="1" x14ac:dyDescent="0.2">
      <c r="A92" s="104" t="s">
        <v>358</v>
      </c>
      <c r="D92" s="107" t="s">
        <v>406</v>
      </c>
      <c r="E92" s="107" t="s">
        <v>27</v>
      </c>
      <c r="F92" s="106">
        <f t="shared" si="1"/>
        <v>120</v>
      </c>
      <c r="G92" s="108">
        <v>10</v>
      </c>
      <c r="H92" s="104" t="s">
        <v>453</v>
      </c>
      <c r="I92" t="s">
        <v>680</v>
      </c>
    </row>
    <row r="93" spans="1:9" ht="14.45" hidden="1" customHeight="1" x14ac:dyDescent="0.2">
      <c r="A93" s="104" t="s">
        <v>153</v>
      </c>
      <c r="D93" s="107" t="s">
        <v>406</v>
      </c>
      <c r="E93" s="107" t="s">
        <v>27</v>
      </c>
      <c r="F93" s="106">
        <f t="shared" si="1"/>
        <v>120</v>
      </c>
      <c r="G93" s="108">
        <v>10</v>
      </c>
      <c r="H93" s="104" t="s">
        <v>453</v>
      </c>
      <c r="I93" t="s">
        <v>680</v>
      </c>
    </row>
    <row r="94" spans="1:9" ht="14.45" hidden="1" customHeight="1" x14ac:dyDescent="0.2">
      <c r="A94" s="104" t="s">
        <v>180</v>
      </c>
      <c r="D94" s="107" t="s">
        <v>406</v>
      </c>
      <c r="E94" s="107" t="s">
        <v>27</v>
      </c>
      <c r="F94" s="106">
        <f t="shared" si="1"/>
        <v>120</v>
      </c>
      <c r="G94" s="108">
        <v>10</v>
      </c>
      <c r="H94" s="104" t="s">
        <v>453</v>
      </c>
      <c r="I94" t="s">
        <v>680</v>
      </c>
    </row>
    <row r="95" spans="1:9" ht="14.45" hidden="1" customHeight="1" x14ac:dyDescent="0.2">
      <c r="A95" s="104" t="s">
        <v>167</v>
      </c>
      <c r="D95" s="107" t="s">
        <v>406</v>
      </c>
      <c r="E95" s="107" t="s">
        <v>27</v>
      </c>
      <c r="F95" s="106">
        <f t="shared" si="1"/>
        <v>120</v>
      </c>
      <c r="G95" s="108">
        <v>10</v>
      </c>
      <c r="H95" s="104" t="s">
        <v>453</v>
      </c>
      <c r="I95" t="s">
        <v>680</v>
      </c>
    </row>
    <row r="96" spans="1:9" ht="14.45" hidden="1" customHeight="1" x14ac:dyDescent="0.2">
      <c r="A96" s="104" t="s">
        <v>487</v>
      </c>
      <c r="B96" s="104" t="s">
        <v>488</v>
      </c>
      <c r="C96" s="104" t="s">
        <v>435</v>
      </c>
      <c r="D96" s="107" t="s">
        <v>406</v>
      </c>
      <c r="E96" s="107" t="s">
        <v>27</v>
      </c>
      <c r="F96" s="106">
        <f t="shared" si="1"/>
        <v>120</v>
      </c>
      <c r="G96" s="108">
        <v>10</v>
      </c>
      <c r="H96" s="104" t="s">
        <v>453</v>
      </c>
      <c r="I96" t="s">
        <v>680</v>
      </c>
    </row>
    <row r="97" spans="1:9" ht="14.45" hidden="1" customHeight="1" x14ac:dyDescent="0.2">
      <c r="A97" s="104" t="s">
        <v>15</v>
      </c>
      <c r="D97" s="107" t="s">
        <v>406</v>
      </c>
      <c r="E97" s="107" t="s">
        <v>27</v>
      </c>
      <c r="F97" s="106">
        <f t="shared" si="1"/>
        <v>120</v>
      </c>
      <c r="G97" s="108">
        <v>10</v>
      </c>
      <c r="H97" s="104" t="s">
        <v>453</v>
      </c>
      <c r="I97" t="s">
        <v>680</v>
      </c>
    </row>
    <row r="98" spans="1:9" ht="14.45" hidden="1" customHeight="1" x14ac:dyDescent="0.2">
      <c r="A98" s="104" t="s">
        <v>182</v>
      </c>
      <c r="B98" s="104" t="s">
        <v>183</v>
      </c>
      <c r="C98" s="104" t="s">
        <v>165</v>
      </c>
      <c r="D98" s="107" t="s">
        <v>406</v>
      </c>
      <c r="E98" s="107" t="s">
        <v>27</v>
      </c>
      <c r="F98" s="106">
        <f t="shared" si="1"/>
        <v>120</v>
      </c>
      <c r="G98" s="108">
        <v>10</v>
      </c>
      <c r="H98" s="104" t="s">
        <v>453</v>
      </c>
      <c r="I98" t="s">
        <v>681</v>
      </c>
    </row>
    <row r="99" spans="1:9" ht="14.45" hidden="1" customHeight="1" x14ac:dyDescent="0.2">
      <c r="A99" s="104" t="s">
        <v>35</v>
      </c>
      <c r="B99" s="104" t="s">
        <v>183</v>
      </c>
      <c r="C99" s="104" t="s">
        <v>36</v>
      </c>
      <c r="D99" s="107" t="s">
        <v>406</v>
      </c>
      <c r="E99" s="107" t="s">
        <v>27</v>
      </c>
      <c r="F99" s="106">
        <f t="shared" si="1"/>
        <v>120</v>
      </c>
      <c r="G99" s="108">
        <v>10</v>
      </c>
      <c r="H99" s="104" t="s">
        <v>453</v>
      </c>
      <c r="I99" t="s">
        <v>681</v>
      </c>
    </row>
    <row r="100" spans="1:9" ht="14.45" hidden="1" customHeight="1" x14ac:dyDescent="0.2">
      <c r="A100" s="104" t="s">
        <v>348</v>
      </c>
      <c r="B100" s="104" t="s">
        <v>326</v>
      </c>
      <c r="C100" s="104" t="s">
        <v>435</v>
      </c>
      <c r="D100" s="107" t="s">
        <v>406</v>
      </c>
      <c r="E100" s="107" t="s">
        <v>27</v>
      </c>
      <c r="F100" s="106">
        <f t="shared" si="1"/>
        <v>120</v>
      </c>
      <c r="G100" s="108">
        <v>10</v>
      </c>
      <c r="H100" s="104" t="s">
        <v>453</v>
      </c>
      <c r="I100" t="s">
        <v>680</v>
      </c>
    </row>
    <row r="101" spans="1:9" ht="14.45" hidden="1" customHeight="1" x14ac:dyDescent="0.2">
      <c r="A101" s="105" t="s">
        <v>360</v>
      </c>
      <c r="B101" s="105"/>
      <c r="C101" s="105"/>
      <c r="D101" s="105"/>
      <c r="E101" s="107"/>
      <c r="F101" s="106"/>
      <c r="G101" s="108"/>
    </row>
    <row r="102" spans="1:9" ht="14.45" hidden="1" customHeight="1" x14ac:dyDescent="0.2">
      <c r="A102" s="104" t="s">
        <v>172</v>
      </c>
      <c r="B102" s="107" t="s">
        <v>173</v>
      </c>
      <c r="C102" s="107" t="s">
        <v>404</v>
      </c>
      <c r="D102" s="107" t="s">
        <v>406</v>
      </c>
      <c r="E102" s="107" t="s">
        <v>27</v>
      </c>
      <c r="F102" s="106">
        <f t="shared" si="1"/>
        <v>120</v>
      </c>
      <c r="G102" s="108">
        <v>10</v>
      </c>
      <c r="H102" s="104" t="s">
        <v>453</v>
      </c>
      <c r="I102" t="s">
        <v>679</v>
      </c>
    </row>
    <row r="103" spans="1:9" ht="14.45" hidden="1" customHeight="1" x14ac:dyDescent="0.2">
      <c r="A103" s="104" t="s">
        <v>382</v>
      </c>
      <c r="B103" s="107" t="s">
        <v>173</v>
      </c>
      <c r="D103" s="107" t="s">
        <v>406</v>
      </c>
      <c r="E103" s="107" t="s">
        <v>27</v>
      </c>
      <c r="F103" s="106">
        <f t="shared" si="1"/>
        <v>120</v>
      </c>
      <c r="G103" s="108">
        <v>10</v>
      </c>
      <c r="H103" s="104" t="s">
        <v>453</v>
      </c>
      <c r="I103" t="s">
        <v>679</v>
      </c>
    </row>
    <row r="104" spans="1:9" ht="14.45" hidden="1" customHeight="1" x14ac:dyDescent="0.2">
      <c r="A104" s="104" t="s">
        <v>484</v>
      </c>
      <c r="D104" s="107" t="s">
        <v>406</v>
      </c>
      <c r="E104" s="107" t="s">
        <v>27</v>
      </c>
      <c r="F104" s="106">
        <f t="shared" si="1"/>
        <v>120</v>
      </c>
      <c r="G104" s="108">
        <v>10</v>
      </c>
      <c r="H104" s="104" t="s">
        <v>453</v>
      </c>
      <c r="I104" t="s">
        <v>679</v>
      </c>
    </row>
    <row r="105" spans="1:9" ht="14.45" hidden="1" customHeight="1" x14ac:dyDescent="0.2">
      <c r="A105" s="104" t="s">
        <v>215</v>
      </c>
      <c r="D105" s="107" t="s">
        <v>406</v>
      </c>
      <c r="E105" s="107" t="s">
        <v>27</v>
      </c>
      <c r="F105" s="106">
        <f t="shared" si="1"/>
        <v>120</v>
      </c>
      <c r="G105" s="108">
        <v>10</v>
      </c>
      <c r="H105" s="104" t="s">
        <v>453</v>
      </c>
      <c r="I105" t="s">
        <v>679</v>
      </c>
    </row>
    <row r="106" spans="1:9" ht="14.45" hidden="1" customHeight="1" x14ac:dyDescent="0.2">
      <c r="A106" s="104" t="s">
        <v>134</v>
      </c>
      <c r="D106" s="107" t="s">
        <v>406</v>
      </c>
      <c r="E106" s="107" t="s">
        <v>27</v>
      </c>
      <c r="F106" s="106">
        <f t="shared" si="1"/>
        <v>120</v>
      </c>
      <c r="G106" s="108">
        <v>10</v>
      </c>
      <c r="H106" s="104" t="s">
        <v>453</v>
      </c>
      <c r="I106" t="s">
        <v>679</v>
      </c>
    </row>
    <row r="107" spans="1:9" ht="14.45" hidden="1" customHeight="1" x14ac:dyDescent="0.2">
      <c r="A107" s="104" t="s">
        <v>18</v>
      </c>
      <c r="D107" s="107" t="s">
        <v>406</v>
      </c>
      <c r="E107" s="107" t="s">
        <v>27</v>
      </c>
      <c r="F107" s="106">
        <f t="shared" si="1"/>
        <v>120</v>
      </c>
      <c r="G107" s="108">
        <v>10</v>
      </c>
      <c r="H107" s="104" t="s">
        <v>453</v>
      </c>
      <c r="I107" t="s">
        <v>679</v>
      </c>
    </row>
    <row r="108" spans="1:9" ht="14.45" hidden="1" customHeight="1" x14ac:dyDescent="0.2">
      <c r="A108" s="104" t="s">
        <v>523</v>
      </c>
      <c r="D108" s="107" t="s">
        <v>406</v>
      </c>
      <c r="E108" s="107" t="s">
        <v>27</v>
      </c>
      <c r="F108" s="106">
        <f t="shared" si="1"/>
        <v>120</v>
      </c>
      <c r="G108" s="108">
        <v>10</v>
      </c>
      <c r="H108" s="104" t="s">
        <v>453</v>
      </c>
      <c r="I108" t="s">
        <v>679</v>
      </c>
    </row>
    <row r="109" spans="1:9" ht="14.45" hidden="1" customHeight="1" x14ac:dyDescent="0.2">
      <c r="A109" s="104" t="s">
        <v>305</v>
      </c>
      <c r="D109" s="107" t="s">
        <v>406</v>
      </c>
      <c r="E109" s="107" t="s">
        <v>27</v>
      </c>
      <c r="F109" s="106">
        <f t="shared" si="1"/>
        <v>120</v>
      </c>
      <c r="G109" s="108">
        <v>10</v>
      </c>
      <c r="H109" s="104" t="s">
        <v>453</v>
      </c>
      <c r="I109" t="s">
        <v>679</v>
      </c>
    </row>
    <row r="110" spans="1:9" ht="14.45" hidden="1" customHeight="1" x14ac:dyDescent="0.2">
      <c r="A110" s="104" t="s">
        <v>483</v>
      </c>
      <c r="D110" s="107" t="s">
        <v>406</v>
      </c>
      <c r="E110" s="107" t="s">
        <v>27</v>
      </c>
      <c r="F110" s="106">
        <f t="shared" si="1"/>
        <v>120</v>
      </c>
      <c r="G110" s="108">
        <v>10</v>
      </c>
      <c r="H110" s="104" t="s">
        <v>453</v>
      </c>
      <c r="I110" t="s">
        <v>679</v>
      </c>
    </row>
    <row r="111" spans="1:9" ht="14.45" hidden="1" customHeight="1" x14ac:dyDescent="0.2">
      <c r="A111" s="104" t="s">
        <v>119</v>
      </c>
      <c r="D111" s="107" t="s">
        <v>406</v>
      </c>
      <c r="E111" s="107" t="s">
        <v>27</v>
      </c>
      <c r="F111" s="106">
        <f t="shared" si="1"/>
        <v>120</v>
      </c>
      <c r="G111" s="108">
        <v>10</v>
      </c>
      <c r="H111" s="104" t="s">
        <v>453</v>
      </c>
      <c r="I111" t="s">
        <v>679</v>
      </c>
    </row>
    <row r="112" spans="1:9" ht="14.45" hidden="1" customHeight="1" x14ac:dyDescent="0.2">
      <c r="A112" s="104" t="s">
        <v>361</v>
      </c>
      <c r="D112" s="107" t="s">
        <v>406</v>
      </c>
      <c r="E112" s="107" t="s">
        <v>27</v>
      </c>
      <c r="F112" s="106">
        <f t="shared" si="1"/>
        <v>120</v>
      </c>
      <c r="G112" s="108">
        <v>10</v>
      </c>
      <c r="H112" s="104" t="s">
        <v>453</v>
      </c>
      <c r="I112" t="s">
        <v>679</v>
      </c>
    </row>
    <row r="113" spans="1:9" ht="14.45" hidden="1" customHeight="1" x14ac:dyDescent="0.2">
      <c r="A113" s="104" t="s">
        <v>437</v>
      </c>
      <c r="D113" s="107" t="s">
        <v>406</v>
      </c>
      <c r="E113" s="107" t="s">
        <v>27</v>
      </c>
      <c r="F113" s="106">
        <f t="shared" si="1"/>
        <v>120</v>
      </c>
      <c r="G113" s="108">
        <v>10</v>
      </c>
      <c r="H113" s="104" t="s">
        <v>453</v>
      </c>
      <c r="I113" t="s">
        <v>679</v>
      </c>
    </row>
    <row r="114" spans="1:9" ht="14.45" hidden="1" customHeight="1" x14ac:dyDescent="0.2">
      <c r="A114" s="104" t="s">
        <v>482</v>
      </c>
      <c r="D114" s="107" t="s">
        <v>406</v>
      </c>
      <c r="E114" s="107" t="s">
        <v>27</v>
      </c>
      <c r="F114" s="106">
        <f t="shared" si="1"/>
        <v>120</v>
      </c>
      <c r="G114" s="108">
        <v>10</v>
      </c>
      <c r="H114" s="104" t="s">
        <v>453</v>
      </c>
      <c r="I114" t="s">
        <v>679</v>
      </c>
    </row>
    <row r="115" spans="1:9" ht="14.45" hidden="1" customHeight="1" x14ac:dyDescent="0.2">
      <c r="A115" s="104" t="s">
        <v>438</v>
      </c>
      <c r="D115" s="107" t="s">
        <v>406</v>
      </c>
      <c r="E115" s="107" t="s">
        <v>27</v>
      </c>
      <c r="F115" s="106">
        <f t="shared" si="1"/>
        <v>120</v>
      </c>
      <c r="G115" s="108">
        <v>10</v>
      </c>
      <c r="H115" s="104" t="s">
        <v>453</v>
      </c>
      <c r="I115" t="s">
        <v>679</v>
      </c>
    </row>
    <row r="116" spans="1:9" ht="14.45" hidden="1" customHeight="1" x14ac:dyDescent="0.2">
      <c r="A116" s="104" t="s">
        <v>323</v>
      </c>
      <c r="D116" s="107" t="s">
        <v>406</v>
      </c>
      <c r="E116" s="107" t="s">
        <v>27</v>
      </c>
      <c r="F116" s="106">
        <f t="shared" si="1"/>
        <v>120</v>
      </c>
      <c r="G116" s="108">
        <v>10</v>
      </c>
      <c r="H116" s="104" t="s">
        <v>453</v>
      </c>
      <c r="I116" t="s">
        <v>679</v>
      </c>
    </row>
    <row r="117" spans="1:9" ht="14.45" hidden="1" customHeight="1" x14ac:dyDescent="0.2">
      <c r="A117" s="104" t="s">
        <v>68</v>
      </c>
      <c r="D117" s="107" t="s">
        <v>406</v>
      </c>
      <c r="E117" s="107" t="s">
        <v>27</v>
      </c>
      <c r="F117" s="106">
        <f t="shared" si="1"/>
        <v>120</v>
      </c>
      <c r="G117" s="108">
        <v>10</v>
      </c>
      <c r="H117" s="104" t="s">
        <v>453</v>
      </c>
      <c r="I117" t="s">
        <v>679</v>
      </c>
    </row>
    <row r="118" spans="1:9" ht="14.45" hidden="1" customHeight="1" x14ac:dyDescent="0.2">
      <c r="A118" s="95" t="s">
        <v>417</v>
      </c>
      <c r="D118" s="107" t="s">
        <v>406</v>
      </c>
      <c r="E118" s="107" t="s">
        <v>27</v>
      </c>
      <c r="F118" s="106">
        <f t="shared" si="1"/>
        <v>120</v>
      </c>
      <c r="G118" s="108">
        <v>10</v>
      </c>
      <c r="H118" s="104" t="s">
        <v>453</v>
      </c>
      <c r="I118" t="s">
        <v>679</v>
      </c>
    </row>
    <row r="119" spans="1:9" ht="14.45" hidden="1" customHeight="1" x14ac:dyDescent="0.2">
      <c r="A119" s="104" t="s">
        <v>97</v>
      </c>
      <c r="D119" s="107" t="s">
        <v>406</v>
      </c>
      <c r="E119" s="107" t="s">
        <v>27</v>
      </c>
      <c r="F119" s="106">
        <f t="shared" si="1"/>
        <v>120</v>
      </c>
      <c r="G119" s="108">
        <v>10</v>
      </c>
      <c r="H119" s="104" t="s">
        <v>453</v>
      </c>
      <c r="I119" t="s">
        <v>679</v>
      </c>
    </row>
    <row r="120" spans="1:9" ht="14.45" hidden="1" customHeight="1" x14ac:dyDescent="0.2">
      <c r="A120" s="104" t="s">
        <v>290</v>
      </c>
      <c r="C120" s="104" t="s">
        <v>209</v>
      </c>
      <c r="D120" s="107" t="s">
        <v>406</v>
      </c>
      <c r="E120" s="107" t="s">
        <v>27</v>
      </c>
      <c r="F120" s="106">
        <f t="shared" si="1"/>
        <v>120</v>
      </c>
      <c r="G120" s="108">
        <v>10</v>
      </c>
      <c r="H120" s="104" t="s">
        <v>453</v>
      </c>
      <c r="I120" t="s">
        <v>679</v>
      </c>
    </row>
    <row r="121" spans="1:9" ht="14.45" hidden="1" customHeight="1" x14ac:dyDescent="0.2">
      <c r="A121" s="104" t="s">
        <v>255</v>
      </c>
      <c r="D121" s="107" t="s">
        <v>406</v>
      </c>
      <c r="E121" s="107" t="s">
        <v>27</v>
      </c>
      <c r="F121" s="106">
        <f t="shared" si="1"/>
        <v>120</v>
      </c>
      <c r="G121" s="108">
        <v>10</v>
      </c>
      <c r="H121" s="104" t="s">
        <v>453</v>
      </c>
      <c r="I121" t="s">
        <v>679</v>
      </c>
    </row>
    <row r="122" spans="1:9" ht="14.45" hidden="1" customHeight="1" x14ac:dyDescent="0.2">
      <c r="A122" s="105" t="s">
        <v>362</v>
      </c>
      <c r="B122" s="105"/>
      <c r="C122" s="105"/>
      <c r="D122" s="105"/>
      <c r="E122" s="107"/>
      <c r="F122" s="106"/>
      <c r="G122" s="108"/>
    </row>
    <row r="123" spans="1:9" ht="14.45" hidden="1" customHeight="1" x14ac:dyDescent="0.2">
      <c r="A123" s="104" t="s">
        <v>363</v>
      </c>
      <c r="D123" s="107" t="s">
        <v>406</v>
      </c>
      <c r="E123" s="107" t="s">
        <v>27</v>
      </c>
      <c r="F123" s="106">
        <f t="shared" si="1"/>
        <v>192</v>
      </c>
      <c r="G123" s="108">
        <v>16</v>
      </c>
      <c r="H123" s="104" t="s">
        <v>453</v>
      </c>
      <c r="I123" t="s">
        <v>674</v>
      </c>
    </row>
    <row r="124" spans="1:9" ht="14.45" hidden="1" customHeight="1" x14ac:dyDescent="0.2">
      <c r="A124" s="104" t="s">
        <v>131</v>
      </c>
      <c r="D124" s="107" t="s">
        <v>406</v>
      </c>
      <c r="E124" s="107" t="s">
        <v>27</v>
      </c>
      <c r="F124" s="106">
        <f t="shared" si="1"/>
        <v>192</v>
      </c>
      <c r="G124" s="108">
        <v>16</v>
      </c>
      <c r="H124" s="104" t="s">
        <v>453</v>
      </c>
      <c r="I124" t="s">
        <v>674</v>
      </c>
    </row>
    <row r="125" spans="1:9" ht="14.45" hidden="1" customHeight="1" x14ac:dyDescent="0.2">
      <c r="A125" s="104" t="s">
        <v>580</v>
      </c>
      <c r="D125" s="107" t="s">
        <v>406</v>
      </c>
      <c r="E125" s="107" t="s">
        <v>27</v>
      </c>
      <c r="F125" s="106">
        <f t="shared" si="1"/>
        <v>96</v>
      </c>
      <c r="G125" s="108">
        <v>8</v>
      </c>
      <c r="H125" s="104" t="s">
        <v>453</v>
      </c>
      <c r="I125" t="s">
        <v>675</v>
      </c>
    </row>
    <row r="126" spans="1:9" ht="14.45" hidden="1" customHeight="1" x14ac:dyDescent="0.2">
      <c r="A126" s="104" t="s">
        <v>196</v>
      </c>
      <c r="D126" s="107" t="s">
        <v>406</v>
      </c>
      <c r="E126" s="107" t="s">
        <v>27</v>
      </c>
      <c r="F126" s="106">
        <f t="shared" si="1"/>
        <v>192</v>
      </c>
      <c r="G126" s="108">
        <v>16</v>
      </c>
      <c r="H126" s="104" t="s">
        <v>453</v>
      </c>
      <c r="I126" t="s">
        <v>674</v>
      </c>
    </row>
    <row r="127" spans="1:9" ht="14.45" hidden="1" customHeight="1" x14ac:dyDescent="0.2">
      <c r="A127" s="104" t="s">
        <v>214</v>
      </c>
      <c r="D127" s="107" t="s">
        <v>406</v>
      </c>
      <c r="E127" s="107" t="s">
        <v>27</v>
      </c>
      <c r="F127" s="106">
        <f t="shared" si="1"/>
        <v>192</v>
      </c>
      <c r="G127" s="108">
        <v>16</v>
      </c>
      <c r="H127" s="104" t="s">
        <v>453</v>
      </c>
      <c r="I127" t="s">
        <v>674</v>
      </c>
    </row>
    <row r="128" spans="1:9" ht="14.45" hidden="1" customHeight="1" x14ac:dyDescent="0.2">
      <c r="A128" s="104" t="s">
        <v>279</v>
      </c>
      <c r="D128" s="107" t="s">
        <v>406</v>
      </c>
      <c r="E128" s="107" t="s">
        <v>27</v>
      </c>
      <c r="F128" s="106">
        <f t="shared" si="1"/>
        <v>192</v>
      </c>
      <c r="G128" s="108">
        <v>16</v>
      </c>
      <c r="H128" s="104" t="s">
        <v>453</v>
      </c>
      <c r="I128" t="s">
        <v>674</v>
      </c>
    </row>
    <row r="129" spans="1:9" ht="14.45" hidden="1" customHeight="1" x14ac:dyDescent="0.2">
      <c r="A129" s="104" t="s">
        <v>16</v>
      </c>
      <c r="D129" s="107" t="s">
        <v>406</v>
      </c>
      <c r="E129" s="107" t="s">
        <v>27</v>
      </c>
      <c r="F129" s="106">
        <f t="shared" si="1"/>
        <v>192</v>
      </c>
      <c r="G129" s="108">
        <v>16</v>
      </c>
      <c r="H129" s="104" t="s">
        <v>453</v>
      </c>
      <c r="I129" t="s">
        <v>674</v>
      </c>
    </row>
    <row r="130" spans="1:9" ht="14.45" hidden="1" customHeight="1" x14ac:dyDescent="0.2">
      <c r="A130" s="104" t="s">
        <v>19</v>
      </c>
      <c r="D130" s="107" t="s">
        <v>406</v>
      </c>
      <c r="E130" s="107" t="s">
        <v>27</v>
      </c>
      <c r="F130" s="106">
        <f t="shared" si="1"/>
        <v>192</v>
      </c>
      <c r="G130" s="108">
        <v>16</v>
      </c>
      <c r="H130" s="104" t="s">
        <v>453</v>
      </c>
      <c r="I130" t="s">
        <v>674</v>
      </c>
    </row>
    <row r="131" spans="1:9" ht="14.45" hidden="1" customHeight="1" x14ac:dyDescent="0.2">
      <c r="A131" s="104" t="s">
        <v>20</v>
      </c>
      <c r="D131" s="107" t="s">
        <v>406</v>
      </c>
      <c r="E131" s="107" t="s">
        <v>27</v>
      </c>
      <c r="F131" s="106">
        <f t="shared" si="1"/>
        <v>192</v>
      </c>
      <c r="G131" s="108">
        <v>16</v>
      </c>
      <c r="H131" s="104" t="s">
        <v>453</v>
      </c>
      <c r="I131" t="s">
        <v>674</v>
      </c>
    </row>
    <row r="132" spans="1:9" ht="14.45" hidden="1" customHeight="1" x14ac:dyDescent="0.2">
      <c r="A132" s="104" t="s">
        <v>21</v>
      </c>
      <c r="D132" s="107" t="s">
        <v>406</v>
      </c>
      <c r="E132" s="107" t="s">
        <v>27</v>
      </c>
      <c r="F132" s="106">
        <f t="shared" ref="F132:F195" si="2">12*G132</f>
        <v>192</v>
      </c>
      <c r="G132" s="108">
        <v>16</v>
      </c>
      <c r="H132" s="104" t="s">
        <v>453</v>
      </c>
      <c r="I132" t="s">
        <v>674</v>
      </c>
    </row>
    <row r="133" spans="1:9" ht="14.45" hidden="1" customHeight="1" x14ac:dyDescent="0.2">
      <c r="A133" s="104" t="s">
        <v>526</v>
      </c>
      <c r="D133" s="107" t="s">
        <v>406</v>
      </c>
      <c r="E133" s="107" t="s">
        <v>27</v>
      </c>
      <c r="F133" s="106">
        <f t="shared" si="2"/>
        <v>192</v>
      </c>
      <c r="G133" s="108">
        <v>16</v>
      </c>
      <c r="H133" s="104" t="s">
        <v>453</v>
      </c>
      <c r="I133" t="s">
        <v>674</v>
      </c>
    </row>
    <row r="134" spans="1:9" ht="14.45" hidden="1" customHeight="1" x14ac:dyDescent="0.2">
      <c r="A134" s="104" t="s">
        <v>527</v>
      </c>
      <c r="D134" s="107" t="s">
        <v>406</v>
      </c>
      <c r="E134" s="107" t="s">
        <v>27</v>
      </c>
      <c r="F134" s="106">
        <f t="shared" si="2"/>
        <v>192</v>
      </c>
      <c r="G134" s="108">
        <v>16</v>
      </c>
      <c r="H134" s="104" t="s">
        <v>453</v>
      </c>
      <c r="I134" t="s">
        <v>674</v>
      </c>
    </row>
    <row r="135" spans="1:9" ht="14.45" hidden="1" customHeight="1" x14ac:dyDescent="0.2">
      <c r="A135" s="104" t="s">
        <v>427</v>
      </c>
      <c r="D135" s="107" t="s">
        <v>406</v>
      </c>
      <c r="E135" s="107" t="s">
        <v>27</v>
      </c>
      <c r="F135" s="106">
        <f t="shared" si="2"/>
        <v>192</v>
      </c>
      <c r="G135" s="108">
        <v>16</v>
      </c>
      <c r="H135" s="104" t="s">
        <v>453</v>
      </c>
      <c r="I135" t="s">
        <v>674</v>
      </c>
    </row>
    <row r="136" spans="1:9" ht="14.45" hidden="1" customHeight="1" x14ac:dyDescent="0.2">
      <c r="A136" s="104" t="s">
        <v>522</v>
      </c>
      <c r="D136" s="107" t="s">
        <v>685</v>
      </c>
      <c r="E136" s="107" t="s">
        <v>27</v>
      </c>
      <c r="F136" s="106">
        <f t="shared" si="2"/>
        <v>192</v>
      </c>
      <c r="G136" s="108">
        <v>16</v>
      </c>
      <c r="H136" s="104" t="s">
        <v>453</v>
      </c>
      <c r="I136" t="s">
        <v>676</v>
      </c>
    </row>
    <row r="137" spans="1:9" ht="14.45" hidden="1" customHeight="1" x14ac:dyDescent="0.2">
      <c r="A137" s="104" t="s">
        <v>532</v>
      </c>
      <c r="D137" s="107" t="s">
        <v>685</v>
      </c>
      <c r="E137" s="107" t="s">
        <v>27</v>
      </c>
      <c r="F137" s="106">
        <f t="shared" si="2"/>
        <v>192</v>
      </c>
      <c r="G137" s="108">
        <v>16</v>
      </c>
      <c r="H137" s="104" t="s">
        <v>453</v>
      </c>
      <c r="I137" t="s">
        <v>677</v>
      </c>
    </row>
    <row r="138" spans="1:9" ht="14.45" hidden="1" customHeight="1" x14ac:dyDescent="0.2">
      <c r="A138" s="104" t="s">
        <v>57</v>
      </c>
      <c r="D138" s="107" t="s">
        <v>685</v>
      </c>
      <c r="E138" s="107" t="s">
        <v>27</v>
      </c>
      <c r="F138" s="106">
        <f t="shared" si="2"/>
        <v>144</v>
      </c>
      <c r="G138" s="108">
        <v>12</v>
      </c>
      <c r="H138" s="104" t="s">
        <v>453</v>
      </c>
      <c r="I138" t="s">
        <v>678</v>
      </c>
    </row>
    <row r="139" spans="1:9" ht="14.45" hidden="1" customHeight="1" x14ac:dyDescent="0.2">
      <c r="A139" s="105" t="s">
        <v>101</v>
      </c>
      <c r="B139" s="105"/>
      <c r="C139" s="105"/>
      <c r="D139" s="105"/>
      <c r="E139" s="105"/>
      <c r="F139" s="106"/>
      <c r="G139" s="108"/>
    </row>
    <row r="140" spans="1:9" ht="14.45" hidden="1" customHeight="1" x14ac:dyDescent="0.2">
      <c r="A140" s="104" t="s">
        <v>489</v>
      </c>
      <c r="C140" s="104" t="s">
        <v>162</v>
      </c>
      <c r="D140" s="109" t="s">
        <v>45</v>
      </c>
      <c r="E140" s="109" t="s">
        <v>28</v>
      </c>
      <c r="F140" s="106">
        <f t="shared" si="2"/>
        <v>240</v>
      </c>
      <c r="G140" s="108">
        <v>20</v>
      </c>
      <c r="H140" s="104" t="s">
        <v>453</v>
      </c>
      <c r="I140" t="s">
        <v>673</v>
      </c>
    </row>
    <row r="141" spans="1:9" ht="14.45" hidden="1" customHeight="1" x14ac:dyDescent="0.2">
      <c r="A141" s="104" t="s">
        <v>211</v>
      </c>
      <c r="D141" s="109" t="s">
        <v>45</v>
      </c>
      <c r="E141" s="109" t="s">
        <v>28</v>
      </c>
      <c r="F141" s="106">
        <f t="shared" si="2"/>
        <v>240</v>
      </c>
      <c r="G141" s="108">
        <v>20</v>
      </c>
      <c r="H141" s="104" t="s">
        <v>453</v>
      </c>
      <c r="I141" t="s">
        <v>673</v>
      </c>
    </row>
    <row r="142" spans="1:9" ht="14.45" hidden="1" customHeight="1" x14ac:dyDescent="0.2">
      <c r="A142" s="104" t="s">
        <v>536</v>
      </c>
      <c r="D142" s="109" t="s">
        <v>45</v>
      </c>
      <c r="E142" s="109" t="s">
        <v>28</v>
      </c>
      <c r="F142" s="106">
        <f t="shared" si="2"/>
        <v>240</v>
      </c>
      <c r="G142" s="108">
        <v>20</v>
      </c>
      <c r="H142" s="104" t="s">
        <v>453</v>
      </c>
      <c r="I142" t="s">
        <v>673</v>
      </c>
    </row>
    <row r="143" spans="1:9" ht="14.45" hidden="1" customHeight="1" x14ac:dyDescent="0.2">
      <c r="A143" s="104" t="s">
        <v>535</v>
      </c>
      <c r="D143" s="109" t="s">
        <v>45</v>
      </c>
      <c r="E143" s="109" t="s">
        <v>28</v>
      </c>
      <c r="F143" s="106">
        <f t="shared" si="2"/>
        <v>240</v>
      </c>
      <c r="G143" s="108">
        <v>20</v>
      </c>
      <c r="H143" s="104" t="s">
        <v>453</v>
      </c>
      <c r="I143" t="s">
        <v>673</v>
      </c>
    </row>
    <row r="144" spans="1:9" ht="14.45" hidden="1" customHeight="1" x14ac:dyDescent="0.2">
      <c r="A144" s="104" t="s">
        <v>222</v>
      </c>
      <c r="D144" s="109" t="s">
        <v>45</v>
      </c>
      <c r="E144" s="109" t="s">
        <v>28</v>
      </c>
      <c r="F144" s="106">
        <f t="shared" si="2"/>
        <v>240</v>
      </c>
      <c r="G144" s="108">
        <v>20</v>
      </c>
      <c r="H144" s="104" t="s">
        <v>453</v>
      </c>
      <c r="I144" t="s">
        <v>673</v>
      </c>
    </row>
    <row r="145" spans="1:9" ht="14.45" hidden="1" customHeight="1" x14ac:dyDescent="0.2">
      <c r="A145" s="104" t="s">
        <v>220</v>
      </c>
      <c r="D145" s="109" t="s">
        <v>45</v>
      </c>
      <c r="E145" s="109" t="s">
        <v>28</v>
      </c>
      <c r="F145" s="106">
        <f t="shared" si="2"/>
        <v>240</v>
      </c>
      <c r="G145" s="108">
        <v>20</v>
      </c>
      <c r="H145" s="104" t="s">
        <v>453</v>
      </c>
      <c r="I145" t="s">
        <v>673</v>
      </c>
    </row>
    <row r="146" spans="1:9" ht="14.45" hidden="1" customHeight="1" x14ac:dyDescent="0.2">
      <c r="A146" s="104" t="s">
        <v>221</v>
      </c>
      <c r="D146" s="109" t="s">
        <v>45</v>
      </c>
      <c r="E146" s="109" t="s">
        <v>28</v>
      </c>
      <c r="F146" s="106">
        <f t="shared" si="2"/>
        <v>240</v>
      </c>
      <c r="G146" s="108">
        <v>20</v>
      </c>
      <c r="H146" s="104" t="s">
        <v>453</v>
      </c>
      <c r="I146" t="s">
        <v>673</v>
      </c>
    </row>
    <row r="147" spans="1:9" ht="14.45" hidden="1" customHeight="1" x14ac:dyDescent="0.2">
      <c r="A147" s="104" t="s">
        <v>270</v>
      </c>
      <c r="D147" s="109" t="s">
        <v>45</v>
      </c>
      <c r="E147" s="109" t="s">
        <v>28</v>
      </c>
      <c r="F147" s="106">
        <f t="shared" si="2"/>
        <v>240</v>
      </c>
      <c r="G147" s="108">
        <v>20</v>
      </c>
      <c r="H147" s="104" t="s">
        <v>453</v>
      </c>
      <c r="I147" t="s">
        <v>673</v>
      </c>
    </row>
    <row r="148" spans="1:9" ht="14.45" hidden="1" customHeight="1" x14ac:dyDescent="0.2">
      <c r="A148" s="104" t="s">
        <v>223</v>
      </c>
      <c r="D148" s="109" t="s">
        <v>45</v>
      </c>
      <c r="E148" s="109" t="s">
        <v>28</v>
      </c>
      <c r="F148" s="106">
        <f t="shared" si="2"/>
        <v>240</v>
      </c>
      <c r="G148" s="108">
        <v>20</v>
      </c>
      <c r="H148" s="104" t="s">
        <v>453</v>
      </c>
      <c r="I148" t="s">
        <v>673</v>
      </c>
    </row>
    <row r="149" spans="1:9" ht="14.45" hidden="1" customHeight="1" x14ac:dyDescent="0.2">
      <c r="A149" s="104" t="s">
        <v>189</v>
      </c>
      <c r="D149" s="109" t="s">
        <v>45</v>
      </c>
      <c r="E149" s="109" t="s">
        <v>28</v>
      </c>
      <c r="F149" s="106">
        <f t="shared" si="2"/>
        <v>240</v>
      </c>
      <c r="G149" s="108">
        <v>20</v>
      </c>
      <c r="H149" s="104" t="s">
        <v>453</v>
      </c>
      <c r="I149" t="s">
        <v>673</v>
      </c>
    </row>
    <row r="150" spans="1:9" ht="14.45" hidden="1" customHeight="1" x14ac:dyDescent="0.2">
      <c r="A150" s="104" t="s">
        <v>202</v>
      </c>
      <c r="C150" s="104" t="s">
        <v>203</v>
      </c>
      <c r="D150" s="109" t="s">
        <v>45</v>
      </c>
      <c r="E150" s="109" t="s">
        <v>28</v>
      </c>
      <c r="F150" s="106">
        <f t="shared" si="2"/>
        <v>240</v>
      </c>
      <c r="G150" s="108">
        <v>20</v>
      </c>
      <c r="H150" s="104" t="s">
        <v>453</v>
      </c>
      <c r="I150" t="s">
        <v>673</v>
      </c>
    </row>
    <row r="151" spans="1:9" ht="14.45" hidden="1" customHeight="1" x14ac:dyDescent="0.2">
      <c r="A151" s="104" t="s">
        <v>443</v>
      </c>
      <c r="D151" s="109" t="s">
        <v>45</v>
      </c>
      <c r="E151" s="109" t="s">
        <v>28</v>
      </c>
      <c r="F151" s="106">
        <f t="shared" si="2"/>
        <v>240</v>
      </c>
      <c r="G151" s="108">
        <v>20</v>
      </c>
      <c r="H151" s="104" t="s">
        <v>453</v>
      </c>
      <c r="I151" t="s">
        <v>673</v>
      </c>
    </row>
    <row r="152" spans="1:9" ht="14.45" hidden="1" customHeight="1" x14ac:dyDescent="0.2">
      <c r="A152" s="104" t="s">
        <v>30</v>
      </c>
      <c r="D152" s="109" t="s">
        <v>45</v>
      </c>
      <c r="E152" s="109" t="s">
        <v>28</v>
      </c>
      <c r="F152" s="106">
        <f t="shared" si="2"/>
        <v>240</v>
      </c>
      <c r="G152" s="108">
        <v>20</v>
      </c>
      <c r="H152" s="104" t="s">
        <v>453</v>
      </c>
      <c r="I152" t="s">
        <v>673</v>
      </c>
    </row>
    <row r="153" spans="1:9" ht="14.45" hidden="1" customHeight="1" x14ac:dyDescent="0.2">
      <c r="A153" s="104" t="s">
        <v>418</v>
      </c>
      <c r="D153" s="109" t="s">
        <v>45</v>
      </c>
      <c r="E153" s="109" t="s">
        <v>28</v>
      </c>
      <c r="F153" s="106">
        <f t="shared" si="2"/>
        <v>240</v>
      </c>
      <c r="G153" s="108">
        <v>20</v>
      </c>
      <c r="H153" s="104" t="s">
        <v>453</v>
      </c>
      <c r="I153" t="s">
        <v>673</v>
      </c>
    </row>
    <row r="154" spans="1:9" ht="14.45" hidden="1" customHeight="1" x14ac:dyDescent="0.2">
      <c r="A154" s="104" t="s">
        <v>281</v>
      </c>
      <c r="D154" s="109" t="s">
        <v>45</v>
      </c>
      <c r="E154" s="109" t="s">
        <v>28</v>
      </c>
      <c r="F154" s="106">
        <f t="shared" si="2"/>
        <v>240</v>
      </c>
      <c r="G154" s="108">
        <v>20</v>
      </c>
      <c r="H154" s="104" t="s">
        <v>453</v>
      </c>
      <c r="I154" t="s">
        <v>673</v>
      </c>
    </row>
    <row r="155" spans="1:9" ht="14.45" hidden="1" customHeight="1" x14ac:dyDescent="0.2">
      <c r="A155" s="104" t="s">
        <v>146</v>
      </c>
      <c r="D155" s="109" t="s">
        <v>45</v>
      </c>
      <c r="E155" s="109" t="s">
        <v>28</v>
      </c>
      <c r="F155" s="106">
        <f t="shared" si="2"/>
        <v>240</v>
      </c>
      <c r="G155" s="108">
        <v>20</v>
      </c>
      <c r="H155" s="104" t="s">
        <v>453</v>
      </c>
      <c r="I155" t="s">
        <v>673</v>
      </c>
    </row>
    <row r="156" spans="1:9" ht="14.45" hidden="1" customHeight="1" x14ac:dyDescent="0.2">
      <c r="A156" s="104" t="s">
        <v>325</v>
      </c>
      <c r="D156" s="109" t="s">
        <v>45</v>
      </c>
      <c r="E156" s="109" t="s">
        <v>28</v>
      </c>
      <c r="F156" s="106">
        <f t="shared" si="2"/>
        <v>240</v>
      </c>
      <c r="G156" s="108">
        <v>20</v>
      </c>
      <c r="H156" s="104" t="s">
        <v>453</v>
      </c>
      <c r="I156" t="s">
        <v>673</v>
      </c>
    </row>
    <row r="157" spans="1:9" ht="14.45" hidden="1" customHeight="1" x14ac:dyDescent="0.2">
      <c r="A157" s="104" t="s">
        <v>383</v>
      </c>
      <c r="D157" s="109" t="s">
        <v>45</v>
      </c>
      <c r="E157" s="109" t="s">
        <v>28</v>
      </c>
      <c r="F157" s="106">
        <f t="shared" si="2"/>
        <v>240</v>
      </c>
      <c r="G157" s="108">
        <v>20</v>
      </c>
      <c r="H157" s="104" t="s">
        <v>453</v>
      </c>
      <c r="I157" t="s">
        <v>673</v>
      </c>
    </row>
    <row r="158" spans="1:9" ht="14.45" hidden="1" customHeight="1" x14ac:dyDescent="0.2">
      <c r="A158" s="104" t="s">
        <v>534</v>
      </c>
      <c r="D158" s="109" t="s">
        <v>45</v>
      </c>
      <c r="E158" s="109" t="s">
        <v>28</v>
      </c>
      <c r="F158" s="106">
        <f t="shared" si="2"/>
        <v>240</v>
      </c>
      <c r="G158" s="108">
        <v>20</v>
      </c>
      <c r="H158" s="104" t="s">
        <v>453</v>
      </c>
      <c r="I158" t="s">
        <v>673</v>
      </c>
    </row>
    <row r="159" spans="1:9" ht="14.45" hidden="1" customHeight="1" x14ac:dyDescent="0.2">
      <c r="A159" s="104" t="s">
        <v>461</v>
      </c>
      <c r="D159" s="109" t="s">
        <v>45</v>
      </c>
      <c r="E159" s="109" t="s">
        <v>28</v>
      </c>
      <c r="F159" s="106">
        <f t="shared" si="2"/>
        <v>240</v>
      </c>
      <c r="G159" s="108">
        <v>20</v>
      </c>
      <c r="H159" s="104" t="s">
        <v>453</v>
      </c>
      <c r="I159" t="s">
        <v>673</v>
      </c>
    </row>
    <row r="160" spans="1:9" ht="14.45" hidden="1" customHeight="1" x14ac:dyDescent="0.2">
      <c r="A160" s="104" t="s">
        <v>403</v>
      </c>
      <c r="D160" s="109" t="s">
        <v>45</v>
      </c>
      <c r="E160" s="109" t="s">
        <v>28</v>
      </c>
      <c r="F160" s="106">
        <f t="shared" si="2"/>
        <v>240</v>
      </c>
      <c r="G160" s="108">
        <v>20</v>
      </c>
      <c r="H160" s="104" t="s">
        <v>453</v>
      </c>
      <c r="I160" t="s">
        <v>673</v>
      </c>
    </row>
    <row r="161" spans="1:9" ht="14.45" hidden="1" customHeight="1" x14ac:dyDescent="0.2">
      <c r="A161" s="104" t="s">
        <v>72</v>
      </c>
      <c r="D161" s="109" t="s">
        <v>45</v>
      </c>
      <c r="E161" s="109" t="s">
        <v>28</v>
      </c>
      <c r="F161" s="106">
        <f t="shared" si="2"/>
        <v>240</v>
      </c>
      <c r="G161" s="108">
        <v>20</v>
      </c>
      <c r="H161" s="104" t="s">
        <v>453</v>
      </c>
      <c r="I161" t="s">
        <v>673</v>
      </c>
    </row>
    <row r="162" spans="1:9" ht="14.45" hidden="1" customHeight="1" x14ac:dyDescent="0.2">
      <c r="A162" s="104" t="s">
        <v>237</v>
      </c>
      <c r="D162" s="109" t="s">
        <v>45</v>
      </c>
      <c r="E162" s="109" t="s">
        <v>28</v>
      </c>
      <c r="F162" s="106">
        <f t="shared" si="2"/>
        <v>240</v>
      </c>
      <c r="G162" s="108">
        <v>20</v>
      </c>
      <c r="H162" s="104" t="s">
        <v>453</v>
      </c>
      <c r="I162" t="s">
        <v>673</v>
      </c>
    </row>
    <row r="163" spans="1:9" ht="14.45" hidden="1" customHeight="1" x14ac:dyDescent="0.2">
      <c r="A163" s="104" t="s">
        <v>331</v>
      </c>
      <c r="D163" s="109" t="s">
        <v>45</v>
      </c>
      <c r="E163" s="109" t="s">
        <v>28</v>
      </c>
      <c r="F163" s="106">
        <f t="shared" si="2"/>
        <v>240</v>
      </c>
      <c r="G163" s="108">
        <v>20</v>
      </c>
      <c r="H163" s="104" t="s">
        <v>453</v>
      </c>
      <c r="I163" t="s">
        <v>673</v>
      </c>
    </row>
    <row r="164" spans="1:9" ht="14.45" hidden="1" customHeight="1" x14ac:dyDescent="0.2">
      <c r="A164" s="104" t="s">
        <v>462</v>
      </c>
      <c r="D164" s="109" t="s">
        <v>45</v>
      </c>
      <c r="E164" s="109" t="s">
        <v>28</v>
      </c>
      <c r="F164" s="106">
        <f t="shared" si="2"/>
        <v>240</v>
      </c>
      <c r="G164" s="108">
        <v>20</v>
      </c>
      <c r="H164" s="104" t="s">
        <v>453</v>
      </c>
      <c r="I164" t="s">
        <v>673</v>
      </c>
    </row>
    <row r="165" spans="1:9" ht="14.45" hidden="1" customHeight="1" x14ac:dyDescent="0.2">
      <c r="A165" s="104" t="s">
        <v>501</v>
      </c>
      <c r="D165" s="109" t="s">
        <v>45</v>
      </c>
      <c r="E165" s="109" t="s">
        <v>28</v>
      </c>
      <c r="F165" s="106">
        <f t="shared" si="2"/>
        <v>240</v>
      </c>
      <c r="G165" s="108">
        <v>20</v>
      </c>
      <c r="H165" s="104" t="s">
        <v>453</v>
      </c>
      <c r="I165" t="s">
        <v>673</v>
      </c>
    </row>
    <row r="166" spans="1:9" ht="14.45" hidden="1" customHeight="1" x14ac:dyDescent="0.2">
      <c r="A166" s="104" t="s">
        <v>402</v>
      </c>
      <c r="D166" s="109" t="s">
        <v>45</v>
      </c>
      <c r="E166" s="109" t="s">
        <v>28</v>
      </c>
      <c r="F166" s="106">
        <f t="shared" si="2"/>
        <v>240</v>
      </c>
      <c r="G166" s="108">
        <v>20</v>
      </c>
      <c r="H166" s="104" t="s">
        <v>453</v>
      </c>
      <c r="I166" t="s">
        <v>673</v>
      </c>
    </row>
    <row r="167" spans="1:9" ht="14.45" hidden="1" customHeight="1" x14ac:dyDescent="0.2">
      <c r="A167" s="104" t="s">
        <v>516</v>
      </c>
      <c r="D167" s="109" t="s">
        <v>45</v>
      </c>
      <c r="E167" s="109" t="s">
        <v>28</v>
      </c>
      <c r="F167" s="106">
        <f t="shared" si="2"/>
        <v>240</v>
      </c>
      <c r="G167" s="108">
        <v>20</v>
      </c>
      <c r="H167" s="104" t="s">
        <v>453</v>
      </c>
      <c r="I167" t="s">
        <v>673</v>
      </c>
    </row>
    <row r="168" spans="1:9" ht="14.45" hidden="1" customHeight="1" x14ac:dyDescent="0.2">
      <c r="A168" s="104" t="s">
        <v>123</v>
      </c>
      <c r="D168" s="109" t="s">
        <v>45</v>
      </c>
      <c r="E168" s="109" t="s">
        <v>28</v>
      </c>
      <c r="F168" s="106">
        <f t="shared" si="2"/>
        <v>240</v>
      </c>
      <c r="G168" s="108">
        <v>20</v>
      </c>
      <c r="H168" s="104" t="s">
        <v>453</v>
      </c>
      <c r="I168" t="s">
        <v>673</v>
      </c>
    </row>
    <row r="169" spans="1:9" ht="14.45" hidden="1" customHeight="1" x14ac:dyDescent="0.2">
      <c r="A169" s="104" t="s">
        <v>204</v>
      </c>
      <c r="D169" s="109" t="s">
        <v>45</v>
      </c>
      <c r="E169" s="109" t="s">
        <v>28</v>
      </c>
      <c r="F169" s="106">
        <f t="shared" si="2"/>
        <v>240</v>
      </c>
      <c r="G169" s="108">
        <v>20</v>
      </c>
      <c r="H169" s="104" t="s">
        <v>453</v>
      </c>
      <c r="I169" t="s">
        <v>673</v>
      </c>
    </row>
    <row r="170" spans="1:9" ht="14.45" hidden="1" customHeight="1" x14ac:dyDescent="0.2">
      <c r="A170" s="104" t="s">
        <v>187</v>
      </c>
      <c r="D170" s="109" t="s">
        <v>45</v>
      </c>
      <c r="E170" s="109" t="s">
        <v>28</v>
      </c>
      <c r="F170" s="106">
        <f t="shared" si="2"/>
        <v>240</v>
      </c>
      <c r="G170" s="108">
        <v>20</v>
      </c>
      <c r="H170" s="104" t="s">
        <v>453</v>
      </c>
      <c r="I170" t="s">
        <v>673</v>
      </c>
    </row>
    <row r="171" spans="1:9" ht="14.45" hidden="1" customHeight="1" x14ac:dyDescent="0.2">
      <c r="A171" s="104" t="s">
        <v>377</v>
      </c>
      <c r="D171" s="109" t="s">
        <v>45</v>
      </c>
      <c r="E171" s="109" t="s">
        <v>28</v>
      </c>
      <c r="F171" s="106">
        <f t="shared" si="2"/>
        <v>240</v>
      </c>
      <c r="G171" s="108">
        <v>20</v>
      </c>
      <c r="H171" s="104" t="s">
        <v>453</v>
      </c>
      <c r="I171" t="s">
        <v>673</v>
      </c>
    </row>
    <row r="172" spans="1:9" ht="14.45" hidden="1" customHeight="1" x14ac:dyDescent="0.2">
      <c r="A172" s="104" t="s">
        <v>113</v>
      </c>
      <c r="D172" s="109" t="s">
        <v>45</v>
      </c>
      <c r="E172" s="109" t="s">
        <v>28</v>
      </c>
      <c r="F172" s="106">
        <f t="shared" si="2"/>
        <v>240</v>
      </c>
      <c r="G172" s="108">
        <v>20</v>
      </c>
      <c r="H172" s="104" t="s">
        <v>453</v>
      </c>
      <c r="I172" t="s">
        <v>673</v>
      </c>
    </row>
    <row r="173" spans="1:9" ht="14.45" hidden="1" customHeight="1" x14ac:dyDescent="0.2">
      <c r="A173" s="104" t="s">
        <v>41</v>
      </c>
      <c r="D173" s="109" t="s">
        <v>45</v>
      </c>
      <c r="E173" s="109" t="s">
        <v>28</v>
      </c>
      <c r="F173" s="106">
        <f t="shared" si="2"/>
        <v>240</v>
      </c>
      <c r="G173" s="108">
        <v>20</v>
      </c>
      <c r="H173" s="104" t="s">
        <v>453</v>
      </c>
      <c r="I173" t="s">
        <v>673</v>
      </c>
    </row>
    <row r="174" spans="1:9" ht="14.45" hidden="1" customHeight="1" x14ac:dyDescent="0.2">
      <c r="A174" s="104" t="s">
        <v>338</v>
      </c>
      <c r="D174" s="109" t="s">
        <v>45</v>
      </c>
      <c r="E174" s="109" t="s">
        <v>28</v>
      </c>
      <c r="F174" s="106">
        <f t="shared" si="2"/>
        <v>240</v>
      </c>
      <c r="G174" s="108">
        <v>20</v>
      </c>
      <c r="H174" s="104" t="s">
        <v>453</v>
      </c>
      <c r="I174" t="s">
        <v>673</v>
      </c>
    </row>
    <row r="175" spans="1:9" ht="14.45" hidden="1" customHeight="1" x14ac:dyDescent="0.2">
      <c r="A175" s="104" t="s">
        <v>339</v>
      </c>
      <c r="D175" s="109" t="s">
        <v>45</v>
      </c>
      <c r="E175" s="109" t="s">
        <v>28</v>
      </c>
      <c r="F175" s="106">
        <f t="shared" si="2"/>
        <v>240</v>
      </c>
      <c r="G175" s="108">
        <v>20</v>
      </c>
      <c r="H175" s="104" t="s">
        <v>453</v>
      </c>
      <c r="I175" t="s">
        <v>673</v>
      </c>
    </row>
    <row r="176" spans="1:9" ht="14.45" hidden="1" customHeight="1" x14ac:dyDescent="0.2">
      <c r="A176" s="104" t="s">
        <v>409</v>
      </c>
      <c r="D176" s="109" t="s">
        <v>45</v>
      </c>
      <c r="E176" s="109" t="s">
        <v>28</v>
      </c>
      <c r="F176" s="106">
        <f t="shared" si="2"/>
        <v>240</v>
      </c>
      <c r="G176" s="108">
        <v>20</v>
      </c>
      <c r="H176" s="104" t="s">
        <v>453</v>
      </c>
      <c r="I176" t="s">
        <v>673</v>
      </c>
    </row>
    <row r="177" spans="1:9" ht="14.45" hidden="1" customHeight="1" x14ac:dyDescent="0.2">
      <c r="A177" s="104" t="s">
        <v>320</v>
      </c>
      <c r="D177" s="109" t="s">
        <v>45</v>
      </c>
      <c r="E177" s="109" t="s">
        <v>28</v>
      </c>
      <c r="F177" s="106">
        <f t="shared" si="2"/>
        <v>240</v>
      </c>
      <c r="G177" s="108">
        <v>20</v>
      </c>
      <c r="H177" s="104" t="s">
        <v>453</v>
      </c>
      <c r="I177" t="s">
        <v>673</v>
      </c>
    </row>
    <row r="178" spans="1:9" ht="14.45" hidden="1" customHeight="1" x14ac:dyDescent="0.2">
      <c r="A178" s="104" t="s">
        <v>37</v>
      </c>
      <c r="D178" s="109" t="s">
        <v>45</v>
      </c>
      <c r="E178" s="109" t="s">
        <v>28</v>
      </c>
      <c r="F178" s="106">
        <f t="shared" si="2"/>
        <v>240</v>
      </c>
      <c r="G178" s="108">
        <v>20</v>
      </c>
      <c r="H178" s="104" t="s">
        <v>453</v>
      </c>
      <c r="I178" t="s">
        <v>673</v>
      </c>
    </row>
    <row r="179" spans="1:9" ht="14.45" hidden="1" customHeight="1" x14ac:dyDescent="0.2">
      <c r="A179" s="104" t="s">
        <v>500</v>
      </c>
      <c r="D179" s="109" t="s">
        <v>45</v>
      </c>
      <c r="E179" s="109" t="s">
        <v>28</v>
      </c>
      <c r="F179" s="106">
        <f t="shared" si="2"/>
        <v>240</v>
      </c>
      <c r="G179" s="108">
        <v>20</v>
      </c>
      <c r="H179" s="104" t="s">
        <v>453</v>
      </c>
      <c r="I179" t="s">
        <v>673</v>
      </c>
    </row>
    <row r="180" spans="1:9" ht="14.45" hidden="1" customHeight="1" x14ac:dyDescent="0.2">
      <c r="A180" s="104" t="s">
        <v>38</v>
      </c>
      <c r="D180" s="109" t="s">
        <v>45</v>
      </c>
      <c r="E180" s="109" t="s">
        <v>28</v>
      </c>
      <c r="F180" s="106">
        <f t="shared" si="2"/>
        <v>240</v>
      </c>
      <c r="G180" s="108">
        <v>20</v>
      </c>
      <c r="H180" s="104" t="s">
        <v>453</v>
      </c>
      <c r="I180" t="s">
        <v>673</v>
      </c>
    </row>
    <row r="181" spans="1:9" ht="14.45" hidden="1" customHeight="1" x14ac:dyDescent="0.2">
      <c r="A181" s="104" t="s">
        <v>490</v>
      </c>
      <c r="D181" s="109" t="s">
        <v>45</v>
      </c>
      <c r="E181" s="109" t="s">
        <v>28</v>
      </c>
      <c r="F181" s="106">
        <f t="shared" si="2"/>
        <v>240</v>
      </c>
      <c r="G181" s="108">
        <v>20</v>
      </c>
      <c r="H181" s="104" t="s">
        <v>453</v>
      </c>
      <c r="I181" t="s">
        <v>673</v>
      </c>
    </row>
    <row r="182" spans="1:9" ht="14.45" hidden="1" customHeight="1" x14ac:dyDescent="0.2">
      <c r="A182" s="104" t="s">
        <v>128</v>
      </c>
      <c r="D182" s="109" t="s">
        <v>45</v>
      </c>
      <c r="E182" s="109" t="s">
        <v>28</v>
      </c>
      <c r="F182" s="106">
        <f t="shared" si="2"/>
        <v>240</v>
      </c>
      <c r="G182" s="108">
        <v>20</v>
      </c>
      <c r="H182" s="104" t="s">
        <v>453</v>
      </c>
      <c r="I182" t="s">
        <v>673</v>
      </c>
    </row>
    <row r="183" spans="1:9" ht="14.45" hidden="1" customHeight="1" x14ac:dyDescent="0.2">
      <c r="A183" s="104" t="s">
        <v>126</v>
      </c>
      <c r="D183" s="109" t="s">
        <v>45</v>
      </c>
      <c r="E183" s="109" t="s">
        <v>28</v>
      </c>
      <c r="F183" s="106">
        <f t="shared" si="2"/>
        <v>240</v>
      </c>
      <c r="G183" s="108">
        <v>20</v>
      </c>
      <c r="H183" s="104" t="s">
        <v>453</v>
      </c>
      <c r="I183" t="s">
        <v>673</v>
      </c>
    </row>
    <row r="184" spans="1:9" ht="14.45" hidden="1" customHeight="1" x14ac:dyDescent="0.2">
      <c r="A184" s="104" t="s">
        <v>324</v>
      </c>
      <c r="D184" s="109" t="s">
        <v>45</v>
      </c>
      <c r="E184" s="109" t="s">
        <v>28</v>
      </c>
      <c r="F184" s="106">
        <f t="shared" si="2"/>
        <v>240</v>
      </c>
      <c r="G184" s="108">
        <v>20</v>
      </c>
      <c r="H184" s="104" t="s">
        <v>453</v>
      </c>
      <c r="I184" t="s">
        <v>673</v>
      </c>
    </row>
    <row r="185" spans="1:9" ht="14.45" hidden="1" customHeight="1" x14ac:dyDescent="0.2">
      <c r="A185" s="104" t="s">
        <v>82</v>
      </c>
      <c r="D185" s="109" t="s">
        <v>45</v>
      </c>
      <c r="E185" s="109" t="s">
        <v>28</v>
      </c>
      <c r="F185" s="106">
        <f t="shared" si="2"/>
        <v>240</v>
      </c>
      <c r="G185" s="108">
        <v>20</v>
      </c>
      <c r="H185" s="104" t="s">
        <v>453</v>
      </c>
      <c r="I185" t="s">
        <v>673</v>
      </c>
    </row>
    <row r="186" spans="1:9" ht="14.45" hidden="1" customHeight="1" x14ac:dyDescent="0.2">
      <c r="A186" s="104" t="s">
        <v>185</v>
      </c>
      <c r="D186" s="109" t="s">
        <v>45</v>
      </c>
      <c r="E186" s="109" t="s">
        <v>28</v>
      </c>
      <c r="F186" s="106">
        <f t="shared" si="2"/>
        <v>240</v>
      </c>
      <c r="G186" s="108">
        <v>20</v>
      </c>
      <c r="H186" s="104" t="s">
        <v>453</v>
      </c>
      <c r="I186" t="s">
        <v>673</v>
      </c>
    </row>
    <row r="187" spans="1:9" ht="14.45" hidden="1" customHeight="1" x14ac:dyDescent="0.2">
      <c r="A187" s="104" t="s">
        <v>513</v>
      </c>
      <c r="D187" s="109" t="s">
        <v>45</v>
      </c>
      <c r="E187" s="109" t="s">
        <v>28</v>
      </c>
      <c r="F187" s="106">
        <f t="shared" si="2"/>
        <v>240</v>
      </c>
      <c r="G187" s="108">
        <v>20</v>
      </c>
      <c r="H187" s="104" t="s">
        <v>453</v>
      </c>
      <c r="I187" t="s">
        <v>673</v>
      </c>
    </row>
    <row r="188" spans="1:9" ht="14.45" hidden="1" customHeight="1" x14ac:dyDescent="0.2">
      <c r="A188" s="104" t="s">
        <v>121</v>
      </c>
      <c r="D188" s="109" t="s">
        <v>45</v>
      </c>
      <c r="E188" s="109" t="s">
        <v>28</v>
      </c>
      <c r="F188" s="106">
        <f t="shared" si="2"/>
        <v>240</v>
      </c>
      <c r="G188" s="108">
        <v>20</v>
      </c>
      <c r="H188" s="104" t="s">
        <v>453</v>
      </c>
      <c r="I188" t="s">
        <v>673</v>
      </c>
    </row>
    <row r="189" spans="1:9" ht="14.45" hidden="1" customHeight="1" x14ac:dyDescent="0.2">
      <c r="A189" s="104" t="s">
        <v>413</v>
      </c>
      <c r="D189" s="109" t="s">
        <v>45</v>
      </c>
      <c r="E189" s="109" t="s">
        <v>28</v>
      </c>
      <c r="F189" s="106">
        <f t="shared" si="2"/>
        <v>240</v>
      </c>
      <c r="G189" s="108">
        <v>20</v>
      </c>
      <c r="H189" s="104" t="s">
        <v>453</v>
      </c>
      <c r="I189" t="s">
        <v>673</v>
      </c>
    </row>
    <row r="190" spans="1:9" ht="14.45" hidden="1" customHeight="1" x14ac:dyDescent="0.2">
      <c r="A190" s="104" t="s">
        <v>380</v>
      </c>
      <c r="D190" s="109" t="s">
        <v>45</v>
      </c>
      <c r="E190" s="109" t="s">
        <v>28</v>
      </c>
      <c r="F190" s="106">
        <f t="shared" si="2"/>
        <v>240</v>
      </c>
      <c r="G190" s="108">
        <v>20</v>
      </c>
      <c r="H190" s="104" t="s">
        <v>453</v>
      </c>
      <c r="I190" t="s">
        <v>673</v>
      </c>
    </row>
    <row r="191" spans="1:9" ht="14.45" hidden="1" customHeight="1" x14ac:dyDescent="0.2">
      <c r="A191" s="104" t="s">
        <v>275</v>
      </c>
      <c r="D191" s="109" t="s">
        <v>45</v>
      </c>
      <c r="E191" s="109" t="s">
        <v>28</v>
      </c>
      <c r="F191" s="106">
        <f t="shared" si="2"/>
        <v>240</v>
      </c>
      <c r="G191" s="108">
        <v>20</v>
      </c>
      <c r="H191" s="104" t="s">
        <v>453</v>
      </c>
      <c r="I191" t="s">
        <v>673</v>
      </c>
    </row>
    <row r="192" spans="1:9" ht="14.45" hidden="1" customHeight="1" x14ac:dyDescent="0.2">
      <c r="A192" s="104" t="s">
        <v>164</v>
      </c>
      <c r="D192" s="109" t="s">
        <v>45</v>
      </c>
      <c r="E192" s="109" t="s">
        <v>28</v>
      </c>
      <c r="F192" s="106">
        <f t="shared" si="2"/>
        <v>240</v>
      </c>
      <c r="G192" s="108">
        <v>20</v>
      </c>
      <c r="H192" s="104" t="s">
        <v>453</v>
      </c>
      <c r="I192" t="s">
        <v>673</v>
      </c>
    </row>
    <row r="193" spans="1:9" ht="14.45" hidden="1" customHeight="1" x14ac:dyDescent="0.2">
      <c r="A193" s="104" t="s">
        <v>414</v>
      </c>
      <c r="D193" s="109" t="s">
        <v>45</v>
      </c>
      <c r="E193" s="109" t="s">
        <v>28</v>
      </c>
      <c r="F193" s="106">
        <f t="shared" si="2"/>
        <v>240</v>
      </c>
      <c r="G193" s="108">
        <v>20</v>
      </c>
      <c r="H193" s="104" t="s">
        <v>453</v>
      </c>
      <c r="I193" t="s">
        <v>673</v>
      </c>
    </row>
    <row r="194" spans="1:9" ht="14.45" hidden="1" customHeight="1" x14ac:dyDescent="0.2">
      <c r="A194" s="104" t="s">
        <v>533</v>
      </c>
      <c r="D194" s="109" t="s">
        <v>45</v>
      </c>
      <c r="E194" s="109" t="s">
        <v>28</v>
      </c>
      <c r="F194" s="106">
        <f t="shared" si="2"/>
        <v>240</v>
      </c>
      <c r="G194" s="108">
        <v>20</v>
      </c>
      <c r="H194" s="104" t="s">
        <v>453</v>
      </c>
      <c r="I194" t="s">
        <v>673</v>
      </c>
    </row>
    <row r="195" spans="1:9" ht="14.45" hidden="1" customHeight="1" x14ac:dyDescent="0.2">
      <c r="A195" s="104" t="s">
        <v>10</v>
      </c>
      <c r="D195" s="109" t="s">
        <v>45</v>
      </c>
      <c r="E195" s="109" t="s">
        <v>28</v>
      </c>
      <c r="F195" s="106">
        <f t="shared" si="2"/>
        <v>240</v>
      </c>
      <c r="G195" s="108">
        <v>20</v>
      </c>
      <c r="H195" s="104" t="s">
        <v>453</v>
      </c>
      <c r="I195" t="s">
        <v>673</v>
      </c>
    </row>
    <row r="196" spans="1:9" ht="14.45" hidden="1" customHeight="1" x14ac:dyDescent="0.2">
      <c r="A196" s="104" t="s">
        <v>282</v>
      </c>
      <c r="D196" s="109" t="s">
        <v>45</v>
      </c>
      <c r="E196" s="109" t="s">
        <v>28</v>
      </c>
      <c r="F196" s="106">
        <f t="shared" ref="F196:F259" si="3">12*G196</f>
        <v>240</v>
      </c>
      <c r="G196" s="108">
        <v>20</v>
      </c>
      <c r="H196" s="104" t="s">
        <v>453</v>
      </c>
      <c r="I196" t="s">
        <v>673</v>
      </c>
    </row>
    <row r="197" spans="1:9" ht="14.45" hidden="1" customHeight="1" x14ac:dyDescent="0.2">
      <c r="A197" s="104" t="s">
        <v>470</v>
      </c>
      <c r="D197" s="109" t="s">
        <v>45</v>
      </c>
      <c r="E197" s="109" t="s">
        <v>28</v>
      </c>
      <c r="F197" s="106">
        <f t="shared" si="3"/>
        <v>240</v>
      </c>
      <c r="G197" s="108">
        <v>20</v>
      </c>
      <c r="H197" s="104" t="s">
        <v>453</v>
      </c>
      <c r="I197" t="s">
        <v>673</v>
      </c>
    </row>
    <row r="198" spans="1:9" ht="14.45" hidden="1" customHeight="1" x14ac:dyDescent="0.2">
      <c r="A198" s="104" t="s">
        <v>217</v>
      </c>
      <c r="D198" s="109" t="s">
        <v>45</v>
      </c>
      <c r="E198" s="109" t="s">
        <v>28</v>
      </c>
      <c r="F198" s="106">
        <f t="shared" si="3"/>
        <v>240</v>
      </c>
      <c r="G198" s="108">
        <v>20</v>
      </c>
      <c r="H198" s="104" t="s">
        <v>453</v>
      </c>
      <c r="I198" t="s">
        <v>673</v>
      </c>
    </row>
    <row r="199" spans="1:9" ht="14.45" hidden="1" customHeight="1" x14ac:dyDescent="0.2">
      <c r="A199" s="104" t="s">
        <v>39</v>
      </c>
      <c r="D199" s="109" t="s">
        <v>45</v>
      </c>
      <c r="E199" s="109" t="s">
        <v>28</v>
      </c>
      <c r="F199" s="106">
        <f t="shared" si="3"/>
        <v>240</v>
      </c>
      <c r="G199" s="108">
        <v>20</v>
      </c>
      <c r="H199" s="104" t="s">
        <v>453</v>
      </c>
      <c r="I199" t="s">
        <v>673</v>
      </c>
    </row>
    <row r="200" spans="1:9" ht="14.45" hidden="1" customHeight="1" x14ac:dyDescent="0.2">
      <c r="A200" s="104" t="s">
        <v>3</v>
      </c>
      <c r="D200" s="109" t="s">
        <v>45</v>
      </c>
      <c r="E200" s="109" t="s">
        <v>28</v>
      </c>
      <c r="F200" s="106">
        <f t="shared" si="3"/>
        <v>240</v>
      </c>
      <c r="G200" s="108">
        <v>20</v>
      </c>
      <c r="H200" s="104" t="s">
        <v>453</v>
      </c>
      <c r="I200" t="s">
        <v>673</v>
      </c>
    </row>
    <row r="201" spans="1:9" ht="14.45" hidden="1" customHeight="1" x14ac:dyDescent="0.2">
      <c r="A201" s="104" t="s">
        <v>102</v>
      </c>
      <c r="D201" s="109" t="s">
        <v>45</v>
      </c>
      <c r="E201" s="109" t="s">
        <v>28</v>
      </c>
      <c r="F201" s="106">
        <f t="shared" si="3"/>
        <v>240</v>
      </c>
      <c r="G201" s="108">
        <v>20</v>
      </c>
      <c r="H201" s="104" t="s">
        <v>453</v>
      </c>
      <c r="I201" t="s">
        <v>673</v>
      </c>
    </row>
    <row r="202" spans="1:9" ht="14.45" hidden="1" customHeight="1" x14ac:dyDescent="0.2">
      <c r="A202" s="104" t="s">
        <v>106</v>
      </c>
      <c r="D202" s="109" t="s">
        <v>45</v>
      </c>
      <c r="E202" s="109" t="s">
        <v>28</v>
      </c>
      <c r="F202" s="106">
        <f t="shared" si="3"/>
        <v>240</v>
      </c>
      <c r="G202" s="108">
        <v>20</v>
      </c>
      <c r="H202" s="104" t="s">
        <v>453</v>
      </c>
      <c r="I202" t="s">
        <v>673</v>
      </c>
    </row>
    <row r="203" spans="1:9" ht="14.45" hidden="1" customHeight="1" x14ac:dyDescent="0.2">
      <c r="A203" s="104" t="s">
        <v>401</v>
      </c>
      <c r="D203" s="109" t="s">
        <v>45</v>
      </c>
      <c r="E203" s="109" t="s">
        <v>28</v>
      </c>
      <c r="F203" s="106">
        <f t="shared" si="3"/>
        <v>240</v>
      </c>
      <c r="G203" s="108">
        <v>20</v>
      </c>
      <c r="H203" s="104" t="s">
        <v>453</v>
      </c>
      <c r="I203" t="s">
        <v>673</v>
      </c>
    </row>
    <row r="204" spans="1:9" ht="14.45" hidden="1" customHeight="1" x14ac:dyDescent="0.2">
      <c r="A204" s="104" t="s">
        <v>22</v>
      </c>
      <c r="D204" s="109" t="s">
        <v>45</v>
      </c>
      <c r="E204" s="109" t="s">
        <v>28</v>
      </c>
      <c r="F204" s="106">
        <f t="shared" si="3"/>
        <v>240</v>
      </c>
      <c r="G204" s="108">
        <v>20</v>
      </c>
      <c r="H204" s="104" t="s">
        <v>453</v>
      </c>
      <c r="I204" t="s">
        <v>673</v>
      </c>
    </row>
    <row r="205" spans="1:9" ht="14.45" hidden="1" customHeight="1" x14ac:dyDescent="0.2">
      <c r="A205" s="104" t="s">
        <v>495</v>
      </c>
      <c r="D205" s="109" t="s">
        <v>45</v>
      </c>
      <c r="E205" s="109" t="s">
        <v>28</v>
      </c>
      <c r="F205" s="106">
        <f t="shared" si="3"/>
        <v>240</v>
      </c>
      <c r="G205" s="108">
        <v>20</v>
      </c>
      <c r="H205" s="104" t="s">
        <v>453</v>
      </c>
      <c r="I205" t="s">
        <v>673</v>
      </c>
    </row>
    <row r="206" spans="1:9" ht="14.45" hidden="1" customHeight="1" x14ac:dyDescent="0.2">
      <c r="A206" s="104" t="s">
        <v>433</v>
      </c>
      <c r="D206" s="109" t="s">
        <v>45</v>
      </c>
      <c r="E206" s="109" t="s">
        <v>28</v>
      </c>
      <c r="F206" s="106">
        <f t="shared" si="3"/>
        <v>240</v>
      </c>
      <c r="G206" s="108">
        <v>20</v>
      </c>
      <c r="H206" s="104" t="s">
        <v>453</v>
      </c>
      <c r="I206" t="s">
        <v>673</v>
      </c>
    </row>
    <row r="207" spans="1:9" ht="14.45" hidden="1" customHeight="1" x14ac:dyDescent="0.2">
      <c r="A207" s="105" t="s">
        <v>108</v>
      </c>
      <c r="B207" s="105"/>
      <c r="C207" s="105"/>
      <c r="D207" s="105"/>
      <c r="E207" s="109"/>
      <c r="F207" s="106"/>
      <c r="G207" s="108"/>
    </row>
    <row r="208" spans="1:9" ht="14.45" hidden="1" customHeight="1" x14ac:dyDescent="0.2">
      <c r="A208" s="104" t="s">
        <v>69</v>
      </c>
      <c r="D208" s="109" t="s">
        <v>46</v>
      </c>
      <c r="E208" s="109" t="s">
        <v>28</v>
      </c>
      <c r="F208" s="106">
        <f t="shared" si="3"/>
        <v>180</v>
      </c>
      <c r="G208" s="108">
        <v>15</v>
      </c>
      <c r="H208" s="104" t="s">
        <v>453</v>
      </c>
      <c r="I208" s="109" t="s">
        <v>672</v>
      </c>
    </row>
    <row r="209" spans="1:9" ht="14.45" hidden="1" customHeight="1" x14ac:dyDescent="0.2">
      <c r="A209" s="104" t="s">
        <v>42</v>
      </c>
      <c r="B209" s="104" t="s">
        <v>424</v>
      </c>
      <c r="D209" s="109" t="s">
        <v>46</v>
      </c>
      <c r="E209" s="109" t="s">
        <v>28</v>
      </c>
      <c r="F209" s="106">
        <f t="shared" si="3"/>
        <v>180</v>
      </c>
      <c r="G209" s="108">
        <v>15</v>
      </c>
      <c r="H209" s="104" t="s">
        <v>453</v>
      </c>
      <c r="I209" s="109" t="s">
        <v>672</v>
      </c>
    </row>
    <row r="210" spans="1:9" ht="14.45" hidden="1" customHeight="1" x14ac:dyDescent="0.2">
      <c r="A210" s="104" t="s">
        <v>224</v>
      </c>
      <c r="D210" s="109" t="s">
        <v>46</v>
      </c>
      <c r="E210" s="109" t="s">
        <v>28</v>
      </c>
      <c r="F210" s="106">
        <f t="shared" si="3"/>
        <v>180</v>
      </c>
      <c r="G210" s="108">
        <v>15</v>
      </c>
      <c r="H210" s="104" t="s">
        <v>453</v>
      </c>
      <c r="I210" s="109" t="s">
        <v>672</v>
      </c>
    </row>
    <row r="211" spans="1:9" ht="14.45" hidden="1" customHeight="1" x14ac:dyDescent="0.2">
      <c r="A211" s="104" t="s">
        <v>154</v>
      </c>
      <c r="D211" s="109" t="s">
        <v>46</v>
      </c>
      <c r="E211" s="109" t="s">
        <v>28</v>
      </c>
      <c r="F211" s="106">
        <f t="shared" si="3"/>
        <v>180</v>
      </c>
      <c r="G211" s="108">
        <v>15</v>
      </c>
      <c r="H211" s="104" t="s">
        <v>453</v>
      </c>
      <c r="I211" s="109" t="s">
        <v>672</v>
      </c>
    </row>
    <row r="212" spans="1:9" ht="14.45" hidden="1" customHeight="1" x14ac:dyDescent="0.2">
      <c r="A212" s="104" t="s">
        <v>419</v>
      </c>
      <c r="D212" s="109" t="s">
        <v>46</v>
      </c>
      <c r="E212" s="109" t="s">
        <v>28</v>
      </c>
      <c r="F212" s="106">
        <f t="shared" si="3"/>
        <v>180</v>
      </c>
      <c r="G212" s="108">
        <v>15</v>
      </c>
      <c r="H212" s="104" t="s">
        <v>453</v>
      </c>
      <c r="I212" s="109" t="s">
        <v>672</v>
      </c>
    </row>
    <row r="213" spans="1:9" ht="14.45" hidden="1" customHeight="1" x14ac:dyDescent="0.2">
      <c r="A213" s="104" t="s">
        <v>244</v>
      </c>
      <c r="D213" s="109" t="s">
        <v>46</v>
      </c>
      <c r="E213" s="109" t="s">
        <v>28</v>
      </c>
      <c r="F213" s="106">
        <f t="shared" si="3"/>
        <v>180</v>
      </c>
      <c r="G213" s="108">
        <v>15</v>
      </c>
      <c r="H213" s="104" t="s">
        <v>453</v>
      </c>
      <c r="I213" s="109" t="s">
        <v>672</v>
      </c>
    </row>
    <row r="214" spans="1:9" ht="14.45" hidden="1" customHeight="1" x14ac:dyDescent="0.2">
      <c r="A214" s="104" t="s">
        <v>376</v>
      </c>
      <c r="D214" s="109" t="s">
        <v>46</v>
      </c>
      <c r="E214" s="109" t="s">
        <v>28</v>
      </c>
      <c r="F214" s="106">
        <f t="shared" si="3"/>
        <v>180</v>
      </c>
      <c r="G214" s="108">
        <v>15</v>
      </c>
      <c r="H214" s="104" t="s">
        <v>453</v>
      </c>
      <c r="I214" s="109" t="s">
        <v>672</v>
      </c>
    </row>
    <row r="215" spans="1:9" ht="14.45" hidden="1" customHeight="1" x14ac:dyDescent="0.2">
      <c r="A215" s="104" t="s">
        <v>471</v>
      </c>
      <c r="D215" s="109" t="s">
        <v>46</v>
      </c>
      <c r="E215" s="109" t="s">
        <v>28</v>
      </c>
      <c r="F215" s="106">
        <f t="shared" si="3"/>
        <v>180</v>
      </c>
      <c r="G215" s="108">
        <v>15</v>
      </c>
      <c r="H215" s="104" t="s">
        <v>453</v>
      </c>
      <c r="I215" s="109" t="s">
        <v>672</v>
      </c>
    </row>
    <row r="216" spans="1:9" ht="14.45" hidden="1" customHeight="1" x14ac:dyDescent="0.2">
      <c r="A216" s="104" t="s">
        <v>124</v>
      </c>
      <c r="D216" s="109" t="s">
        <v>46</v>
      </c>
      <c r="E216" s="109" t="s">
        <v>28</v>
      </c>
      <c r="F216" s="106">
        <f t="shared" si="3"/>
        <v>180</v>
      </c>
      <c r="G216" s="108">
        <v>15</v>
      </c>
      <c r="H216" s="104" t="s">
        <v>453</v>
      </c>
      <c r="I216" s="109" t="s">
        <v>672</v>
      </c>
    </row>
    <row r="217" spans="1:9" ht="14.45" hidden="1" customHeight="1" x14ac:dyDescent="0.2">
      <c r="A217" s="104" t="s">
        <v>394</v>
      </c>
      <c r="D217" s="109" t="s">
        <v>46</v>
      </c>
      <c r="E217" s="109" t="s">
        <v>28</v>
      </c>
      <c r="F217" s="106">
        <f t="shared" si="3"/>
        <v>180</v>
      </c>
      <c r="G217" s="108">
        <v>15</v>
      </c>
      <c r="H217" s="104" t="s">
        <v>453</v>
      </c>
      <c r="I217" s="109" t="s">
        <v>672</v>
      </c>
    </row>
    <row r="218" spans="1:9" ht="14.45" hidden="1" customHeight="1" x14ac:dyDescent="0.2">
      <c r="A218" s="104" t="s">
        <v>99</v>
      </c>
      <c r="D218" s="109" t="s">
        <v>46</v>
      </c>
      <c r="E218" s="109" t="s">
        <v>28</v>
      </c>
      <c r="F218" s="106">
        <f t="shared" si="3"/>
        <v>180</v>
      </c>
      <c r="G218" s="108">
        <v>15</v>
      </c>
      <c r="H218" s="104" t="s">
        <v>453</v>
      </c>
      <c r="I218" s="109" t="s">
        <v>672</v>
      </c>
    </row>
    <row r="219" spans="1:9" ht="14.45" hidden="1" customHeight="1" x14ac:dyDescent="0.2">
      <c r="A219" s="104" t="s">
        <v>210</v>
      </c>
      <c r="D219" s="109" t="s">
        <v>46</v>
      </c>
      <c r="E219" s="109" t="s">
        <v>28</v>
      </c>
      <c r="F219" s="106">
        <f t="shared" si="3"/>
        <v>180</v>
      </c>
      <c r="G219" s="108">
        <v>15</v>
      </c>
      <c r="H219" s="104" t="s">
        <v>453</v>
      </c>
      <c r="I219" s="109" t="s">
        <v>672</v>
      </c>
    </row>
    <row r="220" spans="1:9" ht="14.45" hidden="1" customHeight="1" x14ac:dyDescent="0.2">
      <c r="A220" s="104" t="s">
        <v>100</v>
      </c>
      <c r="D220" s="109" t="s">
        <v>46</v>
      </c>
      <c r="E220" s="109" t="s">
        <v>28</v>
      </c>
      <c r="F220" s="106">
        <f t="shared" si="3"/>
        <v>180</v>
      </c>
      <c r="G220" s="108">
        <v>15</v>
      </c>
      <c r="H220" s="104" t="s">
        <v>453</v>
      </c>
      <c r="I220" s="109" t="s">
        <v>672</v>
      </c>
    </row>
    <row r="221" spans="1:9" ht="14.45" hidden="1" customHeight="1" x14ac:dyDescent="0.2">
      <c r="A221" s="104" t="s">
        <v>13</v>
      </c>
      <c r="D221" s="109" t="s">
        <v>46</v>
      </c>
      <c r="E221" s="109" t="s">
        <v>28</v>
      </c>
      <c r="F221" s="106">
        <f t="shared" si="3"/>
        <v>180</v>
      </c>
      <c r="G221" s="108">
        <v>15</v>
      </c>
      <c r="H221" s="104" t="s">
        <v>453</v>
      </c>
      <c r="I221" s="109" t="s">
        <v>672</v>
      </c>
    </row>
    <row r="222" spans="1:9" ht="14.45" hidden="1" customHeight="1" x14ac:dyDescent="0.2">
      <c r="A222" s="104" t="s">
        <v>174</v>
      </c>
      <c r="D222" s="109" t="s">
        <v>46</v>
      </c>
      <c r="E222" s="109" t="s">
        <v>28</v>
      </c>
      <c r="F222" s="106">
        <f t="shared" si="3"/>
        <v>180</v>
      </c>
      <c r="G222" s="108">
        <v>15</v>
      </c>
      <c r="H222" s="104" t="s">
        <v>453</v>
      </c>
      <c r="I222" s="109" t="s">
        <v>672</v>
      </c>
    </row>
    <row r="223" spans="1:9" ht="14.45" hidden="1" customHeight="1" x14ac:dyDescent="0.2">
      <c r="A223" s="104" t="s">
        <v>175</v>
      </c>
      <c r="D223" s="109" t="s">
        <v>46</v>
      </c>
      <c r="E223" s="109" t="s">
        <v>28</v>
      </c>
      <c r="F223" s="106">
        <f t="shared" si="3"/>
        <v>180</v>
      </c>
      <c r="G223" s="108">
        <v>15</v>
      </c>
      <c r="H223" s="104" t="s">
        <v>453</v>
      </c>
      <c r="I223" s="109" t="s">
        <v>672</v>
      </c>
    </row>
    <row r="224" spans="1:9" ht="14.45" hidden="1" customHeight="1" x14ac:dyDescent="0.2">
      <c r="A224" s="104" t="s">
        <v>373</v>
      </c>
      <c r="D224" s="109" t="s">
        <v>46</v>
      </c>
      <c r="E224" s="109" t="s">
        <v>28</v>
      </c>
      <c r="F224" s="106">
        <f t="shared" si="3"/>
        <v>180</v>
      </c>
      <c r="G224" s="108">
        <v>15</v>
      </c>
      <c r="H224" s="104" t="s">
        <v>453</v>
      </c>
      <c r="I224" s="109" t="s">
        <v>672</v>
      </c>
    </row>
    <row r="225" spans="1:9" ht="14.45" hidden="1" customHeight="1" x14ac:dyDescent="0.2">
      <c r="A225" s="104" t="s">
        <v>368</v>
      </c>
      <c r="D225" s="109" t="s">
        <v>46</v>
      </c>
      <c r="E225" s="109" t="s">
        <v>28</v>
      </c>
      <c r="F225" s="106">
        <f t="shared" si="3"/>
        <v>180</v>
      </c>
      <c r="G225" s="108">
        <v>15</v>
      </c>
      <c r="H225" s="104" t="s">
        <v>453</v>
      </c>
      <c r="I225" s="109" t="s">
        <v>672</v>
      </c>
    </row>
    <row r="226" spans="1:9" ht="14.45" hidden="1" customHeight="1" x14ac:dyDescent="0.2">
      <c r="A226" s="104" t="s">
        <v>378</v>
      </c>
      <c r="D226" s="109" t="s">
        <v>46</v>
      </c>
      <c r="E226" s="109" t="s">
        <v>28</v>
      </c>
      <c r="F226" s="106">
        <f t="shared" si="3"/>
        <v>180</v>
      </c>
      <c r="G226" s="108">
        <v>15</v>
      </c>
      <c r="H226" s="104" t="s">
        <v>453</v>
      </c>
      <c r="I226" s="109" t="s">
        <v>672</v>
      </c>
    </row>
    <row r="227" spans="1:9" ht="14.45" hidden="1" customHeight="1" x14ac:dyDescent="0.2">
      <c r="A227" s="104" t="s">
        <v>379</v>
      </c>
      <c r="D227" s="109" t="s">
        <v>46</v>
      </c>
      <c r="E227" s="109" t="s">
        <v>28</v>
      </c>
      <c r="F227" s="106">
        <f t="shared" si="3"/>
        <v>180</v>
      </c>
      <c r="G227" s="108">
        <v>15</v>
      </c>
      <c r="H227" s="104" t="s">
        <v>453</v>
      </c>
      <c r="I227" s="109" t="s">
        <v>672</v>
      </c>
    </row>
    <row r="228" spans="1:9" ht="14.45" hidden="1" customHeight="1" x14ac:dyDescent="0.2">
      <c r="A228" s="104" t="s">
        <v>518</v>
      </c>
      <c r="D228" s="109" t="s">
        <v>46</v>
      </c>
      <c r="E228" s="109" t="s">
        <v>28</v>
      </c>
      <c r="F228" s="106">
        <f t="shared" si="3"/>
        <v>180</v>
      </c>
      <c r="G228" s="108">
        <v>15</v>
      </c>
      <c r="H228" s="104" t="s">
        <v>453</v>
      </c>
      <c r="I228" s="109" t="s">
        <v>672</v>
      </c>
    </row>
    <row r="229" spans="1:9" ht="14.45" hidden="1" customHeight="1" x14ac:dyDescent="0.2">
      <c r="A229" s="104" t="s">
        <v>412</v>
      </c>
      <c r="D229" s="109" t="s">
        <v>46</v>
      </c>
      <c r="E229" s="109" t="s">
        <v>28</v>
      </c>
      <c r="F229" s="106">
        <f t="shared" si="3"/>
        <v>180</v>
      </c>
      <c r="G229" s="108">
        <v>15</v>
      </c>
      <c r="H229" s="104" t="s">
        <v>453</v>
      </c>
      <c r="I229" s="109" t="s">
        <v>672</v>
      </c>
    </row>
    <row r="230" spans="1:9" ht="14.45" hidden="1" customHeight="1" x14ac:dyDescent="0.2">
      <c r="A230" s="104" t="s">
        <v>472</v>
      </c>
      <c r="D230" s="109" t="s">
        <v>46</v>
      </c>
      <c r="E230" s="109" t="s">
        <v>28</v>
      </c>
      <c r="F230" s="106">
        <f t="shared" si="3"/>
        <v>180</v>
      </c>
      <c r="G230" s="108">
        <v>15</v>
      </c>
      <c r="H230" s="104" t="s">
        <v>453</v>
      </c>
      <c r="I230" s="109" t="s">
        <v>672</v>
      </c>
    </row>
    <row r="231" spans="1:9" ht="14.45" hidden="1" customHeight="1" x14ac:dyDescent="0.2">
      <c r="A231" s="104" t="s">
        <v>122</v>
      </c>
      <c r="D231" s="109" t="s">
        <v>46</v>
      </c>
      <c r="E231" s="109" t="s">
        <v>28</v>
      </c>
      <c r="F231" s="106">
        <f t="shared" si="3"/>
        <v>180</v>
      </c>
      <c r="G231" s="108">
        <v>15</v>
      </c>
      <c r="H231" s="104" t="s">
        <v>453</v>
      </c>
      <c r="I231" s="109" t="s">
        <v>672</v>
      </c>
    </row>
    <row r="232" spans="1:9" ht="14.45" hidden="1" customHeight="1" x14ac:dyDescent="0.2">
      <c r="A232" s="104" t="s">
        <v>61</v>
      </c>
      <c r="D232" s="109" t="s">
        <v>46</v>
      </c>
      <c r="E232" s="109" t="s">
        <v>28</v>
      </c>
      <c r="F232" s="106">
        <f t="shared" si="3"/>
        <v>180</v>
      </c>
      <c r="G232" s="108">
        <v>15</v>
      </c>
      <c r="H232" s="104" t="s">
        <v>453</v>
      </c>
      <c r="I232" s="109" t="s">
        <v>672</v>
      </c>
    </row>
    <row r="233" spans="1:9" ht="14.45" hidden="1" customHeight="1" x14ac:dyDescent="0.2">
      <c r="A233" s="104" t="s">
        <v>104</v>
      </c>
      <c r="D233" s="109" t="s">
        <v>46</v>
      </c>
      <c r="E233" s="109" t="s">
        <v>28</v>
      </c>
      <c r="F233" s="106">
        <f t="shared" si="3"/>
        <v>180</v>
      </c>
      <c r="G233" s="108">
        <v>15</v>
      </c>
      <c r="H233" s="104" t="s">
        <v>453</v>
      </c>
      <c r="I233" s="109" t="s">
        <v>672</v>
      </c>
    </row>
    <row r="234" spans="1:9" ht="14.45" hidden="1" customHeight="1" x14ac:dyDescent="0.2">
      <c r="A234" s="104" t="s">
        <v>66</v>
      </c>
      <c r="D234" s="109" t="s">
        <v>46</v>
      </c>
      <c r="E234" s="109" t="s">
        <v>28</v>
      </c>
      <c r="F234" s="106">
        <f t="shared" si="3"/>
        <v>180</v>
      </c>
      <c r="G234" s="108">
        <v>15</v>
      </c>
      <c r="H234" s="104" t="s">
        <v>453</v>
      </c>
      <c r="I234" s="109" t="s">
        <v>672</v>
      </c>
    </row>
    <row r="235" spans="1:9" ht="14.45" hidden="1" customHeight="1" x14ac:dyDescent="0.2">
      <c r="A235" s="104" t="s">
        <v>395</v>
      </c>
      <c r="D235" s="109" t="s">
        <v>46</v>
      </c>
      <c r="E235" s="109" t="s">
        <v>28</v>
      </c>
      <c r="F235" s="106">
        <f t="shared" si="3"/>
        <v>180</v>
      </c>
      <c r="G235" s="108">
        <v>15</v>
      </c>
      <c r="H235" s="104" t="s">
        <v>453</v>
      </c>
      <c r="I235" s="109" t="s">
        <v>672</v>
      </c>
    </row>
    <row r="236" spans="1:9" ht="14.45" hidden="1" customHeight="1" x14ac:dyDescent="0.2">
      <c r="A236" s="104" t="s">
        <v>90</v>
      </c>
      <c r="D236" s="109" t="s">
        <v>46</v>
      </c>
      <c r="E236" s="109" t="s">
        <v>28</v>
      </c>
      <c r="F236" s="106">
        <f t="shared" si="3"/>
        <v>180</v>
      </c>
      <c r="G236" s="108">
        <v>15</v>
      </c>
      <c r="H236" s="104" t="s">
        <v>453</v>
      </c>
      <c r="I236" s="109" t="s">
        <v>672</v>
      </c>
    </row>
    <row r="237" spans="1:9" ht="14.45" hidden="1" customHeight="1" x14ac:dyDescent="0.2">
      <c r="A237" s="104" t="s">
        <v>193</v>
      </c>
      <c r="D237" s="109" t="s">
        <v>46</v>
      </c>
      <c r="E237" s="109" t="s">
        <v>28</v>
      </c>
      <c r="F237" s="106">
        <f t="shared" si="3"/>
        <v>180</v>
      </c>
      <c r="G237" s="108">
        <v>15</v>
      </c>
      <c r="H237" s="104" t="s">
        <v>453</v>
      </c>
      <c r="I237" s="109" t="s">
        <v>672</v>
      </c>
    </row>
    <row r="238" spans="1:9" ht="14.45" hidden="1" customHeight="1" x14ac:dyDescent="0.2">
      <c r="A238" s="56" t="s">
        <v>191</v>
      </c>
      <c r="D238" s="109" t="s">
        <v>46</v>
      </c>
      <c r="E238" s="109" t="s">
        <v>28</v>
      </c>
      <c r="F238" s="106">
        <f t="shared" si="3"/>
        <v>180</v>
      </c>
      <c r="G238" s="108">
        <v>15</v>
      </c>
      <c r="H238" s="104" t="s">
        <v>453</v>
      </c>
      <c r="I238" s="109" t="s">
        <v>672</v>
      </c>
    </row>
    <row r="239" spans="1:9" ht="14.45" hidden="1" customHeight="1" x14ac:dyDescent="0.2">
      <c r="A239" s="56" t="s">
        <v>389</v>
      </c>
      <c r="D239" s="109" t="s">
        <v>46</v>
      </c>
      <c r="E239" s="109" t="s">
        <v>28</v>
      </c>
      <c r="F239" s="106">
        <f t="shared" si="3"/>
        <v>180</v>
      </c>
      <c r="G239" s="108">
        <v>15</v>
      </c>
      <c r="H239" s="104" t="s">
        <v>453</v>
      </c>
      <c r="I239" s="109" t="s">
        <v>672</v>
      </c>
    </row>
    <row r="240" spans="1:9" ht="14.45" hidden="1" customHeight="1" x14ac:dyDescent="0.2">
      <c r="A240" s="56" t="s">
        <v>240</v>
      </c>
      <c r="D240" s="109" t="s">
        <v>46</v>
      </c>
      <c r="E240" s="109" t="s">
        <v>28</v>
      </c>
      <c r="F240" s="106">
        <f t="shared" si="3"/>
        <v>180</v>
      </c>
      <c r="G240" s="108">
        <v>15</v>
      </c>
      <c r="H240" s="104" t="s">
        <v>453</v>
      </c>
      <c r="I240" s="109" t="s">
        <v>672</v>
      </c>
    </row>
    <row r="241" spans="1:9" ht="14.45" hidden="1" customHeight="1" x14ac:dyDescent="0.2">
      <c r="A241" s="56" t="s">
        <v>422</v>
      </c>
      <c r="B241" s="104" t="s">
        <v>423</v>
      </c>
      <c r="D241" s="109" t="s">
        <v>46</v>
      </c>
      <c r="E241" s="109" t="s">
        <v>28</v>
      </c>
      <c r="F241" s="106">
        <f t="shared" si="3"/>
        <v>180</v>
      </c>
      <c r="G241" s="108">
        <v>15</v>
      </c>
      <c r="H241" s="104" t="s">
        <v>453</v>
      </c>
      <c r="I241" s="109" t="s">
        <v>672</v>
      </c>
    </row>
    <row r="242" spans="1:9" ht="14.45" hidden="1" customHeight="1" x14ac:dyDescent="0.2">
      <c r="A242" s="105" t="s">
        <v>176</v>
      </c>
      <c r="B242" s="105"/>
      <c r="C242" s="105"/>
      <c r="D242" s="105"/>
      <c r="E242" s="105"/>
      <c r="F242" s="106"/>
      <c r="G242" s="108"/>
      <c r="I242" s="109"/>
    </row>
    <row r="243" spans="1:9" ht="14.45" hidden="1" customHeight="1" x14ac:dyDescent="0.2">
      <c r="A243" s="104" t="s">
        <v>366</v>
      </c>
      <c r="D243" s="109" t="s">
        <v>44</v>
      </c>
      <c r="E243" s="109" t="s">
        <v>27</v>
      </c>
      <c r="F243" s="106">
        <f t="shared" si="3"/>
        <v>300</v>
      </c>
      <c r="G243" s="108">
        <v>25</v>
      </c>
      <c r="H243" s="104" t="s">
        <v>453</v>
      </c>
      <c r="I243" s="109" t="s">
        <v>671</v>
      </c>
    </row>
    <row r="244" spans="1:9" ht="14.45" hidden="1" customHeight="1" x14ac:dyDescent="0.2">
      <c r="A244" s="104" t="s">
        <v>87</v>
      </c>
      <c r="D244" s="109" t="s">
        <v>44</v>
      </c>
      <c r="E244" s="109" t="s">
        <v>27</v>
      </c>
      <c r="F244" s="106">
        <f t="shared" si="3"/>
        <v>312</v>
      </c>
      <c r="G244" s="108">
        <v>26</v>
      </c>
      <c r="H244" s="104" t="s">
        <v>453</v>
      </c>
      <c r="I244" s="109" t="s">
        <v>671</v>
      </c>
    </row>
    <row r="245" spans="1:9" hidden="1" x14ac:dyDescent="0.2">
      <c r="A245" s="104" t="s">
        <v>345</v>
      </c>
      <c r="D245" s="109" t="s">
        <v>44</v>
      </c>
      <c r="E245" s="109" t="s">
        <v>27</v>
      </c>
      <c r="F245" s="106">
        <f t="shared" si="3"/>
        <v>324</v>
      </c>
      <c r="G245" s="108">
        <v>27</v>
      </c>
      <c r="H245" s="104" t="s">
        <v>453</v>
      </c>
      <c r="I245" s="109" t="s">
        <v>671</v>
      </c>
    </row>
    <row r="246" spans="1:9" hidden="1" x14ac:dyDescent="0.2">
      <c r="A246" s="104" t="s">
        <v>2</v>
      </c>
      <c r="D246" s="109" t="s">
        <v>44</v>
      </c>
      <c r="E246" s="109" t="s">
        <v>27</v>
      </c>
      <c r="F246" s="106">
        <f t="shared" si="3"/>
        <v>336</v>
      </c>
      <c r="G246" s="108">
        <v>28</v>
      </c>
      <c r="H246" s="104" t="s">
        <v>453</v>
      </c>
      <c r="I246" s="109" t="s">
        <v>671</v>
      </c>
    </row>
    <row r="247" spans="1:9" hidden="1" x14ac:dyDescent="0.2">
      <c r="A247" s="104" t="s">
        <v>29</v>
      </c>
      <c r="D247" s="109" t="s">
        <v>44</v>
      </c>
      <c r="E247" s="109" t="s">
        <v>27</v>
      </c>
      <c r="F247" s="106">
        <f t="shared" si="3"/>
        <v>348</v>
      </c>
      <c r="G247" s="108">
        <v>29</v>
      </c>
      <c r="H247" s="104" t="s">
        <v>453</v>
      </c>
      <c r="I247" s="109" t="s">
        <v>671</v>
      </c>
    </row>
    <row r="248" spans="1:9" hidden="1" x14ac:dyDescent="0.2">
      <c r="A248" s="104" t="s">
        <v>92</v>
      </c>
      <c r="D248" s="109" t="s">
        <v>44</v>
      </c>
      <c r="E248" s="109" t="s">
        <v>27</v>
      </c>
      <c r="F248" s="106">
        <f t="shared" si="3"/>
        <v>360</v>
      </c>
      <c r="G248" s="108">
        <v>30</v>
      </c>
      <c r="H248" s="104" t="s">
        <v>453</v>
      </c>
      <c r="I248" s="109" t="s">
        <v>671</v>
      </c>
    </row>
    <row r="249" spans="1:9" hidden="1" x14ac:dyDescent="0.2">
      <c r="A249" s="104" t="s">
        <v>73</v>
      </c>
      <c r="D249" s="109" t="s">
        <v>44</v>
      </c>
      <c r="E249" s="109" t="s">
        <v>27</v>
      </c>
      <c r="F249" s="106">
        <f t="shared" si="3"/>
        <v>372</v>
      </c>
      <c r="G249" s="108">
        <v>31</v>
      </c>
      <c r="H249" s="104" t="s">
        <v>453</v>
      </c>
      <c r="I249" s="109" t="s">
        <v>671</v>
      </c>
    </row>
    <row r="250" spans="1:9" hidden="1" x14ac:dyDescent="0.2">
      <c r="A250" s="104" t="s">
        <v>157</v>
      </c>
      <c r="D250" s="109" t="s">
        <v>44</v>
      </c>
      <c r="E250" s="109" t="s">
        <v>27</v>
      </c>
      <c r="F250" s="106">
        <f t="shared" si="3"/>
        <v>384</v>
      </c>
      <c r="G250" s="108">
        <v>32</v>
      </c>
      <c r="H250" s="104" t="s">
        <v>453</v>
      </c>
      <c r="I250" s="109" t="s">
        <v>671</v>
      </c>
    </row>
    <row r="251" spans="1:9" hidden="1" x14ac:dyDescent="0.2">
      <c r="A251" s="104" t="s">
        <v>24</v>
      </c>
      <c r="D251" s="109" t="s">
        <v>44</v>
      </c>
      <c r="E251" s="109" t="s">
        <v>27</v>
      </c>
      <c r="F251" s="106">
        <f t="shared" si="3"/>
        <v>396</v>
      </c>
      <c r="G251" s="108">
        <v>33</v>
      </c>
      <c r="H251" s="104" t="s">
        <v>453</v>
      </c>
      <c r="I251" s="109" t="s">
        <v>671</v>
      </c>
    </row>
    <row r="252" spans="1:9" hidden="1" x14ac:dyDescent="0.2">
      <c r="A252" s="104" t="s">
        <v>238</v>
      </c>
      <c r="D252" s="109" t="s">
        <v>44</v>
      </c>
      <c r="E252" s="109" t="s">
        <v>27</v>
      </c>
      <c r="F252" s="106">
        <f t="shared" si="3"/>
        <v>408</v>
      </c>
      <c r="G252" s="108">
        <v>34</v>
      </c>
      <c r="H252" s="104" t="s">
        <v>453</v>
      </c>
      <c r="I252" s="109" t="s">
        <v>671</v>
      </c>
    </row>
    <row r="253" spans="1:9" hidden="1" x14ac:dyDescent="0.2">
      <c r="A253" s="104" t="s">
        <v>241</v>
      </c>
      <c r="B253" s="104" t="s">
        <v>242</v>
      </c>
      <c r="C253" s="104" t="s">
        <v>243</v>
      </c>
      <c r="D253" s="109" t="s">
        <v>44</v>
      </c>
      <c r="E253" s="109" t="s">
        <v>27</v>
      </c>
      <c r="F253" s="106">
        <f t="shared" si="3"/>
        <v>420</v>
      </c>
      <c r="G253" s="108">
        <v>35</v>
      </c>
      <c r="H253" s="104" t="s">
        <v>453</v>
      </c>
      <c r="I253" s="109" t="s">
        <v>671</v>
      </c>
    </row>
    <row r="254" spans="1:9" hidden="1" x14ac:dyDescent="0.2">
      <c r="A254" s="104" t="s">
        <v>74</v>
      </c>
      <c r="D254" s="109" t="s">
        <v>44</v>
      </c>
      <c r="E254" s="109" t="s">
        <v>27</v>
      </c>
      <c r="F254" s="106">
        <f t="shared" si="3"/>
        <v>432</v>
      </c>
      <c r="G254" s="108">
        <v>36</v>
      </c>
      <c r="H254" s="104" t="s">
        <v>453</v>
      </c>
      <c r="I254" s="109" t="s">
        <v>671</v>
      </c>
    </row>
    <row r="255" spans="1:9" hidden="1" x14ac:dyDescent="0.2">
      <c r="A255" s="104" t="s">
        <v>347</v>
      </c>
      <c r="D255" s="109" t="s">
        <v>44</v>
      </c>
      <c r="E255" s="109" t="s">
        <v>27</v>
      </c>
      <c r="F255" s="106">
        <f t="shared" si="3"/>
        <v>444</v>
      </c>
      <c r="G255" s="108">
        <v>37</v>
      </c>
      <c r="H255" s="104" t="s">
        <v>453</v>
      </c>
      <c r="I255" s="109" t="s">
        <v>671</v>
      </c>
    </row>
    <row r="256" spans="1:9" hidden="1" x14ac:dyDescent="0.2">
      <c r="A256" s="104" t="s">
        <v>302</v>
      </c>
      <c r="D256" s="109" t="s">
        <v>44</v>
      </c>
      <c r="E256" s="109" t="s">
        <v>27</v>
      </c>
      <c r="F256" s="106">
        <f t="shared" si="3"/>
        <v>456</v>
      </c>
      <c r="G256" s="108">
        <v>38</v>
      </c>
      <c r="H256" s="104" t="s">
        <v>453</v>
      </c>
      <c r="I256" s="109" t="s">
        <v>671</v>
      </c>
    </row>
    <row r="257" spans="1:9" hidden="1" x14ac:dyDescent="0.2">
      <c r="A257" s="104" t="s">
        <v>420</v>
      </c>
      <c r="D257" s="109" t="s">
        <v>44</v>
      </c>
      <c r="E257" s="109" t="s">
        <v>27</v>
      </c>
      <c r="F257" s="106">
        <f t="shared" si="3"/>
        <v>468</v>
      </c>
      <c r="G257" s="108">
        <v>39</v>
      </c>
      <c r="H257" s="104" t="s">
        <v>453</v>
      </c>
      <c r="I257" s="109" t="s">
        <v>671</v>
      </c>
    </row>
    <row r="258" spans="1:9" hidden="1" x14ac:dyDescent="0.2">
      <c r="A258" s="104" t="s">
        <v>252</v>
      </c>
      <c r="D258" s="109" t="s">
        <v>44</v>
      </c>
      <c r="E258" s="109" t="s">
        <v>27</v>
      </c>
      <c r="F258" s="106">
        <f t="shared" si="3"/>
        <v>480</v>
      </c>
      <c r="G258" s="108">
        <v>40</v>
      </c>
      <c r="H258" s="104" t="s">
        <v>453</v>
      </c>
      <c r="I258" s="109" t="s">
        <v>671</v>
      </c>
    </row>
    <row r="259" spans="1:9" hidden="1" x14ac:dyDescent="0.2">
      <c r="A259" s="104" t="s">
        <v>299</v>
      </c>
      <c r="D259" s="109" t="s">
        <v>44</v>
      </c>
      <c r="E259" s="109" t="s">
        <v>27</v>
      </c>
      <c r="F259" s="106">
        <f t="shared" si="3"/>
        <v>492</v>
      </c>
      <c r="G259" s="108">
        <v>41</v>
      </c>
      <c r="H259" s="104" t="s">
        <v>453</v>
      </c>
      <c r="I259" s="109" t="s">
        <v>671</v>
      </c>
    </row>
    <row r="260" spans="1:9" hidden="1" x14ac:dyDescent="0.2">
      <c r="A260" s="104" t="s">
        <v>346</v>
      </c>
      <c r="D260" s="109" t="s">
        <v>44</v>
      </c>
      <c r="E260" s="109" t="s">
        <v>27</v>
      </c>
      <c r="F260" s="106">
        <f t="shared" ref="F260:F315" si="4">12*G260</f>
        <v>504</v>
      </c>
      <c r="G260" s="108">
        <v>42</v>
      </c>
      <c r="H260" s="104" t="s">
        <v>453</v>
      </c>
      <c r="I260" s="109" t="s">
        <v>671</v>
      </c>
    </row>
    <row r="261" spans="1:9" hidden="1" x14ac:dyDescent="0.2">
      <c r="A261" s="104" t="s">
        <v>168</v>
      </c>
      <c r="D261" s="107" t="s">
        <v>44</v>
      </c>
      <c r="E261" s="109" t="s">
        <v>27</v>
      </c>
      <c r="F261" s="106">
        <f t="shared" si="4"/>
        <v>516</v>
      </c>
      <c r="G261" s="108">
        <v>43</v>
      </c>
      <c r="H261" s="104" t="s">
        <v>453</v>
      </c>
      <c r="I261" s="109" t="s">
        <v>671</v>
      </c>
    </row>
    <row r="262" spans="1:9" hidden="1" x14ac:dyDescent="0.2">
      <c r="A262" s="105" t="s">
        <v>177</v>
      </c>
      <c r="B262" s="105"/>
      <c r="C262" s="105"/>
      <c r="D262" s="105"/>
      <c r="E262" s="109"/>
      <c r="F262" s="106"/>
      <c r="G262" s="108"/>
    </row>
    <row r="263" spans="1:9" hidden="1" x14ac:dyDescent="0.2">
      <c r="A263" s="104" t="s">
        <v>179</v>
      </c>
      <c r="D263" s="109" t="s">
        <v>94</v>
      </c>
      <c r="E263" s="109" t="s">
        <v>27</v>
      </c>
      <c r="F263" s="106">
        <f t="shared" si="4"/>
        <v>96</v>
      </c>
      <c r="G263" s="108">
        <v>8</v>
      </c>
      <c r="H263" s="104" t="s">
        <v>453</v>
      </c>
      <c r="I263" t="s">
        <v>667</v>
      </c>
    </row>
    <row r="264" spans="1:9" hidden="1" x14ac:dyDescent="0.2">
      <c r="A264" s="104" t="s">
        <v>155</v>
      </c>
      <c r="D264" s="109" t="s">
        <v>94</v>
      </c>
      <c r="E264" s="109" t="s">
        <v>27</v>
      </c>
      <c r="F264" s="106">
        <f t="shared" si="4"/>
        <v>96</v>
      </c>
      <c r="G264" s="108">
        <v>8</v>
      </c>
      <c r="H264" s="104" t="s">
        <v>453</v>
      </c>
      <c r="I264" t="s">
        <v>667</v>
      </c>
    </row>
    <row r="265" spans="1:9" hidden="1" x14ac:dyDescent="0.2">
      <c r="A265" s="104" t="s">
        <v>218</v>
      </c>
      <c r="D265" s="109" t="s">
        <v>94</v>
      </c>
      <c r="E265" s="109" t="s">
        <v>27</v>
      </c>
      <c r="F265" s="106">
        <f t="shared" si="4"/>
        <v>96</v>
      </c>
      <c r="G265" s="108">
        <v>8</v>
      </c>
      <c r="H265" s="104" t="s">
        <v>453</v>
      </c>
      <c r="I265" t="s">
        <v>667</v>
      </c>
    </row>
    <row r="266" spans="1:9" hidden="1" x14ac:dyDescent="0.2">
      <c r="A266" s="104" t="s">
        <v>178</v>
      </c>
      <c r="D266" s="109" t="s">
        <v>94</v>
      </c>
      <c r="E266" s="109" t="s">
        <v>27</v>
      </c>
      <c r="F266" s="106">
        <f t="shared" si="4"/>
        <v>96</v>
      </c>
      <c r="G266" s="108">
        <v>8</v>
      </c>
      <c r="H266" s="104" t="s">
        <v>453</v>
      </c>
      <c r="I266" t="s">
        <v>667</v>
      </c>
    </row>
    <row r="267" spans="1:9" hidden="1" x14ac:dyDescent="0.2">
      <c r="A267" s="104" t="s">
        <v>130</v>
      </c>
      <c r="D267" s="109" t="s">
        <v>94</v>
      </c>
      <c r="E267" s="109" t="s">
        <v>27</v>
      </c>
      <c r="F267" s="106">
        <f t="shared" si="4"/>
        <v>96</v>
      </c>
      <c r="G267" s="108">
        <v>8</v>
      </c>
      <c r="H267" s="104" t="s">
        <v>453</v>
      </c>
      <c r="I267" t="s">
        <v>667</v>
      </c>
    </row>
    <row r="268" spans="1:9" hidden="1" x14ac:dyDescent="0.2">
      <c r="A268" s="104" t="s">
        <v>160</v>
      </c>
      <c r="D268" s="109" t="s">
        <v>94</v>
      </c>
      <c r="E268" s="109" t="s">
        <v>27</v>
      </c>
      <c r="F268" s="106">
        <f t="shared" si="4"/>
        <v>96</v>
      </c>
      <c r="G268" s="108">
        <v>8</v>
      </c>
      <c r="H268" s="104" t="s">
        <v>453</v>
      </c>
      <c r="I268" t="s">
        <v>667</v>
      </c>
    </row>
    <row r="269" spans="1:9" hidden="1" x14ac:dyDescent="0.2">
      <c r="A269" s="104" t="s">
        <v>114</v>
      </c>
      <c r="D269" s="109" t="s">
        <v>94</v>
      </c>
      <c r="E269" s="109" t="s">
        <v>27</v>
      </c>
      <c r="F269" s="106">
        <f t="shared" si="4"/>
        <v>96</v>
      </c>
      <c r="G269" s="108">
        <v>8</v>
      </c>
      <c r="H269" s="104" t="s">
        <v>453</v>
      </c>
      <c r="I269" t="s">
        <v>667</v>
      </c>
    </row>
    <row r="270" spans="1:9" hidden="1" x14ac:dyDescent="0.2">
      <c r="A270" s="104" t="s">
        <v>416</v>
      </c>
      <c r="D270" s="109" t="s">
        <v>94</v>
      </c>
      <c r="E270" s="109" t="s">
        <v>27</v>
      </c>
      <c r="F270" s="106">
        <f t="shared" si="4"/>
        <v>96</v>
      </c>
      <c r="G270" s="108">
        <v>8</v>
      </c>
      <c r="H270" s="104" t="s">
        <v>453</v>
      </c>
      <c r="I270" t="s">
        <v>667</v>
      </c>
    </row>
    <row r="271" spans="1:9" hidden="1" x14ac:dyDescent="0.2">
      <c r="A271" s="104" t="s">
        <v>388</v>
      </c>
      <c r="D271" s="109" t="s">
        <v>94</v>
      </c>
      <c r="E271" s="109" t="s">
        <v>27</v>
      </c>
      <c r="F271" s="106">
        <f t="shared" si="4"/>
        <v>96</v>
      </c>
      <c r="G271" s="108">
        <v>8</v>
      </c>
      <c r="H271" s="104" t="s">
        <v>453</v>
      </c>
      <c r="I271" t="s">
        <v>667</v>
      </c>
    </row>
    <row r="272" spans="1:9" hidden="1" x14ac:dyDescent="0.2">
      <c r="A272" s="104" t="s">
        <v>431</v>
      </c>
      <c r="D272" s="109" t="s">
        <v>94</v>
      </c>
      <c r="E272" s="109" t="s">
        <v>27</v>
      </c>
      <c r="F272" s="106">
        <f t="shared" si="4"/>
        <v>96</v>
      </c>
      <c r="G272" s="108">
        <v>8</v>
      </c>
      <c r="H272" s="104" t="s">
        <v>453</v>
      </c>
      <c r="I272" t="s">
        <v>667</v>
      </c>
    </row>
    <row r="273" spans="1:9" hidden="1" x14ac:dyDescent="0.2">
      <c r="A273" s="104" t="s">
        <v>439</v>
      </c>
      <c r="D273" s="109" t="s">
        <v>94</v>
      </c>
      <c r="E273" s="109" t="s">
        <v>27</v>
      </c>
      <c r="F273" s="106">
        <f t="shared" si="4"/>
        <v>96</v>
      </c>
      <c r="G273" s="108">
        <v>8</v>
      </c>
      <c r="H273" s="104" t="s">
        <v>453</v>
      </c>
      <c r="I273" t="s">
        <v>667</v>
      </c>
    </row>
    <row r="274" spans="1:9" hidden="1" x14ac:dyDescent="0.2">
      <c r="A274" s="104" t="s">
        <v>85</v>
      </c>
      <c r="D274" s="109" t="s">
        <v>94</v>
      </c>
      <c r="E274" s="109" t="s">
        <v>27</v>
      </c>
      <c r="F274" s="106">
        <f t="shared" si="4"/>
        <v>96</v>
      </c>
      <c r="G274" s="108">
        <v>8</v>
      </c>
      <c r="H274" s="104" t="s">
        <v>453</v>
      </c>
      <c r="I274" t="s">
        <v>667</v>
      </c>
    </row>
    <row r="275" spans="1:9" hidden="1" x14ac:dyDescent="0.2">
      <c r="A275" s="104" t="s">
        <v>78</v>
      </c>
      <c r="D275" s="109" t="s">
        <v>94</v>
      </c>
      <c r="E275" s="109" t="s">
        <v>27</v>
      </c>
      <c r="F275" s="106">
        <f t="shared" si="4"/>
        <v>96</v>
      </c>
      <c r="G275" s="108">
        <v>8</v>
      </c>
      <c r="H275" s="104" t="s">
        <v>453</v>
      </c>
      <c r="I275" t="s">
        <v>667</v>
      </c>
    </row>
    <row r="276" spans="1:9" hidden="1" x14ac:dyDescent="0.2">
      <c r="A276" s="104" t="s">
        <v>155</v>
      </c>
      <c r="D276" s="109" t="s">
        <v>94</v>
      </c>
      <c r="E276" s="109" t="s">
        <v>27</v>
      </c>
      <c r="F276" s="106">
        <f t="shared" si="4"/>
        <v>96</v>
      </c>
      <c r="G276" s="108">
        <v>8</v>
      </c>
      <c r="H276" s="104" t="s">
        <v>453</v>
      </c>
      <c r="I276" t="s">
        <v>667</v>
      </c>
    </row>
    <row r="277" spans="1:9" hidden="1" x14ac:dyDescent="0.2">
      <c r="A277" s="104" t="s">
        <v>40</v>
      </c>
      <c r="D277" s="109" t="s">
        <v>94</v>
      </c>
      <c r="E277" s="109" t="s">
        <v>27</v>
      </c>
      <c r="F277" s="106">
        <f t="shared" si="4"/>
        <v>96</v>
      </c>
      <c r="G277" s="108">
        <v>8</v>
      </c>
      <c r="H277" s="104" t="s">
        <v>453</v>
      </c>
      <c r="I277" t="s">
        <v>667</v>
      </c>
    </row>
    <row r="278" spans="1:9" hidden="1" x14ac:dyDescent="0.2">
      <c r="A278" s="104" t="s">
        <v>426</v>
      </c>
      <c r="D278" s="109" t="s">
        <v>94</v>
      </c>
      <c r="E278" s="109" t="s">
        <v>27</v>
      </c>
      <c r="F278" s="106">
        <f t="shared" si="4"/>
        <v>96</v>
      </c>
      <c r="G278" s="108">
        <v>8</v>
      </c>
      <c r="H278" s="104" t="s">
        <v>453</v>
      </c>
      <c r="I278" t="s">
        <v>667</v>
      </c>
    </row>
    <row r="279" spans="1:9" hidden="1" x14ac:dyDescent="0.2">
      <c r="A279" s="105" t="s">
        <v>577</v>
      </c>
      <c r="B279" s="105"/>
      <c r="C279" s="105"/>
      <c r="D279" s="105"/>
      <c r="E279" s="105"/>
      <c r="F279" s="106"/>
      <c r="G279" s="108"/>
    </row>
    <row r="280" spans="1:9" hidden="1" x14ac:dyDescent="0.2">
      <c r="A280" s="104" t="s">
        <v>4</v>
      </c>
      <c r="D280" s="109" t="s">
        <v>411</v>
      </c>
      <c r="E280" s="109" t="s">
        <v>28</v>
      </c>
      <c r="F280" s="106">
        <f t="shared" si="4"/>
        <v>240</v>
      </c>
      <c r="G280" s="108">
        <v>20</v>
      </c>
      <c r="H280" s="104" t="s">
        <v>453</v>
      </c>
      <c r="I280" t="s">
        <v>668</v>
      </c>
    </row>
    <row r="281" spans="1:9" hidden="1" x14ac:dyDescent="0.2">
      <c r="A281" s="104" t="s">
        <v>105</v>
      </c>
      <c r="D281" s="109" t="s">
        <v>411</v>
      </c>
      <c r="E281" s="109" t="s">
        <v>28</v>
      </c>
      <c r="F281" s="106">
        <f t="shared" si="4"/>
        <v>240</v>
      </c>
      <c r="G281" s="108">
        <v>20</v>
      </c>
      <c r="H281" s="104" t="s">
        <v>453</v>
      </c>
      <c r="I281" t="s">
        <v>668</v>
      </c>
    </row>
    <row r="282" spans="1:9" hidden="1" x14ac:dyDescent="0.2">
      <c r="A282" s="104" t="s">
        <v>384</v>
      </c>
      <c r="D282" s="104" t="s">
        <v>684</v>
      </c>
      <c r="E282" s="109" t="s">
        <v>28</v>
      </c>
      <c r="F282" s="106">
        <f t="shared" si="4"/>
        <v>120</v>
      </c>
      <c r="G282" s="108">
        <v>10</v>
      </c>
      <c r="H282" s="104" t="s">
        <v>453</v>
      </c>
      <c r="I282" t="s">
        <v>669</v>
      </c>
    </row>
    <row r="283" spans="1:9" hidden="1" x14ac:dyDescent="0.2">
      <c r="A283" s="104" t="s">
        <v>444</v>
      </c>
      <c r="D283" s="109" t="s">
        <v>43</v>
      </c>
      <c r="E283" s="109" t="s">
        <v>28</v>
      </c>
      <c r="F283" s="106">
        <f t="shared" si="4"/>
        <v>240</v>
      </c>
      <c r="G283" s="108">
        <v>20</v>
      </c>
      <c r="H283" s="104" t="s">
        <v>453</v>
      </c>
      <c r="I283" t="s">
        <v>669</v>
      </c>
    </row>
    <row r="284" spans="1:9" hidden="1" x14ac:dyDescent="0.2">
      <c r="A284" s="104" t="s">
        <v>289</v>
      </c>
      <c r="D284" s="109" t="s">
        <v>43</v>
      </c>
      <c r="E284" s="109" t="s">
        <v>28</v>
      </c>
      <c r="F284" s="106">
        <f t="shared" si="4"/>
        <v>240</v>
      </c>
      <c r="G284" s="108">
        <v>20</v>
      </c>
      <c r="H284" s="104" t="s">
        <v>453</v>
      </c>
      <c r="I284" t="s">
        <v>669</v>
      </c>
    </row>
    <row r="285" spans="1:9" hidden="1" x14ac:dyDescent="0.2">
      <c r="A285" s="104" t="s">
        <v>429</v>
      </c>
      <c r="D285" s="109" t="s">
        <v>43</v>
      </c>
      <c r="E285" s="109" t="s">
        <v>28</v>
      </c>
      <c r="F285" s="106">
        <f t="shared" si="4"/>
        <v>240</v>
      </c>
      <c r="G285" s="108">
        <v>20</v>
      </c>
      <c r="H285" s="104" t="s">
        <v>453</v>
      </c>
      <c r="I285" t="s">
        <v>669</v>
      </c>
    </row>
    <row r="286" spans="1:9" hidden="1" x14ac:dyDescent="0.2">
      <c r="A286" s="104" t="s">
        <v>141</v>
      </c>
      <c r="D286" s="109" t="s">
        <v>43</v>
      </c>
      <c r="E286" s="109" t="s">
        <v>28</v>
      </c>
      <c r="F286" s="106">
        <f t="shared" si="4"/>
        <v>300</v>
      </c>
      <c r="G286" s="108">
        <v>25</v>
      </c>
      <c r="H286" s="104" t="s">
        <v>453</v>
      </c>
      <c r="I286" t="s">
        <v>669</v>
      </c>
    </row>
    <row r="287" spans="1:9" hidden="1" x14ac:dyDescent="0.2">
      <c r="A287" s="104" t="s">
        <v>505</v>
      </c>
      <c r="D287" s="109" t="s">
        <v>43</v>
      </c>
      <c r="E287" s="109" t="s">
        <v>28</v>
      </c>
      <c r="F287" s="106">
        <f t="shared" si="4"/>
        <v>300</v>
      </c>
      <c r="G287" s="108">
        <v>25</v>
      </c>
      <c r="H287" s="104" t="s">
        <v>453</v>
      </c>
      <c r="I287" t="s">
        <v>669</v>
      </c>
    </row>
    <row r="288" spans="1:9" x14ac:dyDescent="0.2">
      <c r="A288" s="104" t="s">
        <v>118</v>
      </c>
      <c r="D288" s="109" t="s">
        <v>43</v>
      </c>
      <c r="E288" s="109" t="s">
        <v>28</v>
      </c>
      <c r="F288" s="106">
        <f t="shared" si="4"/>
        <v>300</v>
      </c>
      <c r="G288" s="108">
        <v>25</v>
      </c>
      <c r="H288" s="104" t="s">
        <v>453</v>
      </c>
      <c r="I288" t="s">
        <v>669</v>
      </c>
    </row>
    <row r="289" spans="1:9" x14ac:dyDescent="0.2">
      <c r="A289" s="104" t="s">
        <v>441</v>
      </c>
      <c r="D289" s="109" t="s">
        <v>43</v>
      </c>
      <c r="E289" s="109" t="s">
        <v>28</v>
      </c>
      <c r="F289" s="106">
        <f t="shared" si="4"/>
        <v>300</v>
      </c>
      <c r="G289" s="108">
        <v>25</v>
      </c>
      <c r="H289" s="104" t="s">
        <v>453</v>
      </c>
      <c r="I289" t="s">
        <v>669</v>
      </c>
    </row>
    <row r="290" spans="1:9" hidden="1" x14ac:dyDescent="0.2">
      <c r="A290" s="104" t="s">
        <v>188</v>
      </c>
      <c r="D290" s="109" t="s">
        <v>43</v>
      </c>
      <c r="E290" s="109" t="s">
        <v>28</v>
      </c>
      <c r="F290" s="106">
        <f t="shared" si="4"/>
        <v>240</v>
      </c>
      <c r="G290" s="108">
        <v>20</v>
      </c>
      <c r="H290" s="104" t="s">
        <v>453</v>
      </c>
      <c r="I290" t="s">
        <v>669</v>
      </c>
    </row>
    <row r="291" spans="1:9" hidden="1" x14ac:dyDescent="0.2">
      <c r="A291" s="104" t="s">
        <v>503</v>
      </c>
      <c r="D291" s="109" t="s">
        <v>43</v>
      </c>
      <c r="E291" s="109" t="s">
        <v>28</v>
      </c>
      <c r="F291" s="106">
        <f t="shared" si="4"/>
        <v>300</v>
      </c>
      <c r="G291" s="108">
        <v>25</v>
      </c>
      <c r="H291" s="104" t="s">
        <v>453</v>
      </c>
      <c r="I291" t="s">
        <v>669</v>
      </c>
    </row>
    <row r="292" spans="1:9" hidden="1" x14ac:dyDescent="0.2">
      <c r="A292" s="104" t="s">
        <v>269</v>
      </c>
      <c r="D292" s="109" t="s">
        <v>43</v>
      </c>
      <c r="E292" s="109" t="s">
        <v>28</v>
      </c>
      <c r="F292" s="106">
        <f t="shared" si="4"/>
        <v>300</v>
      </c>
      <c r="G292" s="108">
        <v>25</v>
      </c>
      <c r="H292" s="104" t="s">
        <v>453</v>
      </c>
      <c r="I292" t="s">
        <v>669</v>
      </c>
    </row>
    <row r="293" spans="1:9" hidden="1" x14ac:dyDescent="0.2">
      <c r="A293" s="104" t="s">
        <v>166</v>
      </c>
      <c r="D293" s="109" t="s">
        <v>43</v>
      </c>
      <c r="E293" s="109" t="s">
        <v>28</v>
      </c>
      <c r="F293" s="106">
        <f t="shared" si="4"/>
        <v>300</v>
      </c>
      <c r="G293" s="108">
        <v>25</v>
      </c>
      <c r="H293" s="104" t="s">
        <v>453</v>
      </c>
      <c r="I293" t="s">
        <v>669</v>
      </c>
    </row>
    <row r="294" spans="1:9" hidden="1" x14ac:dyDescent="0.2">
      <c r="A294" s="104" t="s">
        <v>421</v>
      </c>
      <c r="D294" s="109" t="s">
        <v>43</v>
      </c>
      <c r="E294" s="109" t="s">
        <v>28</v>
      </c>
      <c r="F294" s="106">
        <f t="shared" si="4"/>
        <v>300</v>
      </c>
      <c r="G294" s="108">
        <v>25</v>
      </c>
      <c r="H294" s="104" t="s">
        <v>453</v>
      </c>
      <c r="I294" t="s">
        <v>669</v>
      </c>
    </row>
    <row r="295" spans="1:9" hidden="1" x14ac:dyDescent="0.2">
      <c r="A295" s="104" t="s">
        <v>303</v>
      </c>
      <c r="D295" s="109" t="s">
        <v>43</v>
      </c>
      <c r="E295" s="109" t="s">
        <v>28</v>
      </c>
      <c r="F295" s="106">
        <f t="shared" si="4"/>
        <v>240</v>
      </c>
      <c r="G295" s="108">
        <v>20</v>
      </c>
      <c r="H295" s="104" t="s">
        <v>453</v>
      </c>
      <c r="I295" t="s">
        <v>669</v>
      </c>
    </row>
    <row r="296" spans="1:9" hidden="1" x14ac:dyDescent="0.2">
      <c r="A296" s="104" t="s">
        <v>343</v>
      </c>
      <c r="D296" s="109" t="s">
        <v>43</v>
      </c>
      <c r="E296" s="109" t="s">
        <v>28</v>
      </c>
      <c r="F296" s="106">
        <f t="shared" si="4"/>
        <v>240</v>
      </c>
      <c r="G296" s="108">
        <v>20</v>
      </c>
      <c r="H296" s="104" t="s">
        <v>453</v>
      </c>
      <c r="I296" t="s">
        <v>669</v>
      </c>
    </row>
    <row r="297" spans="1:9" hidden="1" x14ac:dyDescent="0.2">
      <c r="A297" s="104" t="s">
        <v>125</v>
      </c>
      <c r="D297" s="109" t="s">
        <v>43</v>
      </c>
      <c r="E297" s="109" t="s">
        <v>28</v>
      </c>
      <c r="F297" s="106">
        <f t="shared" si="4"/>
        <v>240</v>
      </c>
      <c r="G297" s="108">
        <v>20</v>
      </c>
      <c r="H297" s="104" t="s">
        <v>453</v>
      </c>
      <c r="I297" t="s">
        <v>669</v>
      </c>
    </row>
    <row r="298" spans="1:9" hidden="1" x14ac:dyDescent="0.2">
      <c r="A298" s="104" t="s">
        <v>88</v>
      </c>
      <c r="D298" s="109" t="s">
        <v>43</v>
      </c>
      <c r="E298" s="109" t="s">
        <v>28</v>
      </c>
      <c r="F298" s="106">
        <f t="shared" si="4"/>
        <v>240</v>
      </c>
      <c r="G298" s="108">
        <v>20</v>
      </c>
      <c r="H298" s="104" t="s">
        <v>453</v>
      </c>
      <c r="I298" t="s">
        <v>669</v>
      </c>
    </row>
    <row r="299" spans="1:9" hidden="1" x14ac:dyDescent="0.2">
      <c r="A299" s="104" t="s">
        <v>33</v>
      </c>
      <c r="D299" s="109" t="s">
        <v>43</v>
      </c>
      <c r="E299" s="109" t="s">
        <v>28</v>
      </c>
      <c r="F299" s="106">
        <f t="shared" si="4"/>
        <v>240</v>
      </c>
      <c r="G299" s="108">
        <v>20</v>
      </c>
      <c r="H299" s="104" t="s">
        <v>453</v>
      </c>
      <c r="I299" t="s">
        <v>669</v>
      </c>
    </row>
    <row r="300" spans="1:9" hidden="1" x14ac:dyDescent="0.2">
      <c r="A300" s="104" t="s">
        <v>63</v>
      </c>
      <c r="D300" s="109" t="s">
        <v>43</v>
      </c>
      <c r="E300" s="109" t="s">
        <v>28</v>
      </c>
      <c r="F300" s="106">
        <f t="shared" si="4"/>
        <v>240</v>
      </c>
      <c r="G300" s="108">
        <v>20</v>
      </c>
      <c r="H300" s="104" t="s">
        <v>453</v>
      </c>
      <c r="I300" t="s">
        <v>669</v>
      </c>
    </row>
    <row r="301" spans="1:9" hidden="1" x14ac:dyDescent="0.2">
      <c r="A301" s="104" t="s">
        <v>81</v>
      </c>
      <c r="D301" s="109" t="s">
        <v>43</v>
      </c>
      <c r="E301" s="109" t="s">
        <v>28</v>
      </c>
      <c r="F301" s="106">
        <f t="shared" si="4"/>
        <v>240</v>
      </c>
      <c r="G301" s="108">
        <v>20</v>
      </c>
      <c r="H301" s="104" t="s">
        <v>453</v>
      </c>
      <c r="I301" t="s">
        <v>669</v>
      </c>
    </row>
    <row r="302" spans="1:9" hidden="1" x14ac:dyDescent="0.2">
      <c r="A302" s="104" t="s">
        <v>304</v>
      </c>
      <c r="D302" s="109" t="s">
        <v>43</v>
      </c>
      <c r="E302" s="109" t="s">
        <v>28</v>
      </c>
      <c r="F302" s="106">
        <f t="shared" si="4"/>
        <v>240</v>
      </c>
      <c r="G302" s="108">
        <v>20</v>
      </c>
      <c r="H302" s="104" t="s">
        <v>453</v>
      </c>
      <c r="I302" t="s">
        <v>669</v>
      </c>
    </row>
    <row r="303" spans="1:9" hidden="1" x14ac:dyDescent="0.2">
      <c r="A303" s="107" t="s">
        <v>111</v>
      </c>
      <c r="D303" s="109" t="s">
        <v>43</v>
      </c>
      <c r="E303" s="109" t="s">
        <v>28</v>
      </c>
      <c r="F303" s="106">
        <f t="shared" si="4"/>
        <v>240</v>
      </c>
      <c r="G303" s="108">
        <v>20</v>
      </c>
      <c r="H303" s="104" t="s">
        <v>453</v>
      </c>
      <c r="I303" t="s">
        <v>669</v>
      </c>
    </row>
    <row r="304" spans="1:9" hidden="1" x14ac:dyDescent="0.2">
      <c r="A304" s="104" t="s">
        <v>274</v>
      </c>
      <c r="D304" s="109" t="s">
        <v>43</v>
      </c>
      <c r="E304" s="109" t="s">
        <v>28</v>
      </c>
      <c r="F304" s="106">
        <f t="shared" si="4"/>
        <v>240</v>
      </c>
      <c r="G304" s="108">
        <v>20</v>
      </c>
      <c r="H304" s="104" t="s">
        <v>453</v>
      </c>
      <c r="I304" t="s">
        <v>669</v>
      </c>
    </row>
    <row r="305" spans="1:9" hidden="1" x14ac:dyDescent="0.2">
      <c r="A305" s="104" t="s">
        <v>79</v>
      </c>
      <c r="D305" s="109" t="s">
        <v>43</v>
      </c>
      <c r="E305" s="109" t="s">
        <v>28</v>
      </c>
      <c r="F305" s="106">
        <f t="shared" si="4"/>
        <v>180</v>
      </c>
      <c r="G305" s="108">
        <v>15</v>
      </c>
      <c r="H305" s="104" t="s">
        <v>453</v>
      </c>
      <c r="I305" t="s">
        <v>669</v>
      </c>
    </row>
    <row r="306" spans="1:9" hidden="1" x14ac:dyDescent="0.2">
      <c r="A306" s="104" t="s">
        <v>504</v>
      </c>
      <c r="D306" s="109" t="s">
        <v>43</v>
      </c>
      <c r="E306" s="109" t="s">
        <v>28</v>
      </c>
      <c r="F306" s="106">
        <f t="shared" si="4"/>
        <v>216</v>
      </c>
      <c r="G306" s="108">
        <v>18</v>
      </c>
      <c r="H306" s="104" t="s">
        <v>453</v>
      </c>
      <c r="I306" t="s">
        <v>669</v>
      </c>
    </row>
    <row r="307" spans="1:9" hidden="1" x14ac:dyDescent="0.2">
      <c r="A307" s="104" t="s">
        <v>392</v>
      </c>
      <c r="D307" s="109" t="s">
        <v>43</v>
      </c>
      <c r="E307" s="109" t="s">
        <v>28</v>
      </c>
      <c r="F307" s="106">
        <f t="shared" si="4"/>
        <v>420</v>
      </c>
      <c r="G307" s="108">
        <v>35</v>
      </c>
      <c r="H307" s="104" t="s">
        <v>453</v>
      </c>
      <c r="I307" t="s">
        <v>669</v>
      </c>
    </row>
    <row r="308" spans="1:9" x14ac:dyDescent="0.2">
      <c r="A308" s="104" t="s">
        <v>502</v>
      </c>
      <c r="D308" s="109" t="s">
        <v>43</v>
      </c>
      <c r="E308" s="109" t="s">
        <v>28</v>
      </c>
      <c r="F308" s="106">
        <f t="shared" si="4"/>
        <v>300</v>
      </c>
      <c r="G308" s="108">
        <v>25</v>
      </c>
      <c r="H308" s="104" t="s">
        <v>453</v>
      </c>
      <c r="I308" t="s">
        <v>669</v>
      </c>
    </row>
    <row r="309" spans="1:9" hidden="1" x14ac:dyDescent="0.2">
      <c r="A309" s="104" t="s">
        <v>91</v>
      </c>
      <c r="D309" s="109" t="s">
        <v>43</v>
      </c>
      <c r="E309" s="109" t="s">
        <v>28</v>
      </c>
      <c r="F309" s="106">
        <f t="shared" si="4"/>
        <v>240</v>
      </c>
      <c r="G309" s="108">
        <v>20</v>
      </c>
      <c r="H309" s="104" t="s">
        <v>453</v>
      </c>
      <c r="I309" t="s">
        <v>669</v>
      </c>
    </row>
    <row r="310" spans="1:9" hidden="1" x14ac:dyDescent="0.2">
      <c r="A310" s="104" t="s">
        <v>31</v>
      </c>
      <c r="D310" s="109" t="s">
        <v>43</v>
      </c>
      <c r="E310" s="109" t="s">
        <v>28</v>
      </c>
      <c r="F310" s="106">
        <f t="shared" si="4"/>
        <v>240</v>
      </c>
      <c r="G310" s="108">
        <v>20</v>
      </c>
      <c r="H310" s="104" t="s">
        <v>453</v>
      </c>
      <c r="I310" t="s">
        <v>669</v>
      </c>
    </row>
    <row r="311" spans="1:9" hidden="1" x14ac:dyDescent="0.2">
      <c r="A311" s="104" t="s">
        <v>140</v>
      </c>
      <c r="D311" s="104" t="s">
        <v>684</v>
      </c>
      <c r="E311" s="109" t="s">
        <v>28</v>
      </c>
      <c r="F311" s="106">
        <f t="shared" si="4"/>
        <v>120</v>
      </c>
      <c r="G311" s="108">
        <v>10</v>
      </c>
      <c r="H311" s="104" t="s">
        <v>453</v>
      </c>
      <c r="I311" t="s">
        <v>669</v>
      </c>
    </row>
    <row r="312" spans="1:9" hidden="1" x14ac:dyDescent="0.2">
      <c r="A312" s="104" t="s">
        <v>6</v>
      </c>
      <c r="D312" s="109" t="s">
        <v>43</v>
      </c>
      <c r="E312" s="109" t="s">
        <v>28</v>
      </c>
      <c r="F312" s="106">
        <f t="shared" si="4"/>
        <v>240</v>
      </c>
      <c r="G312" s="108">
        <v>20</v>
      </c>
      <c r="H312" s="104" t="s">
        <v>453</v>
      </c>
      <c r="I312" t="s">
        <v>669</v>
      </c>
    </row>
    <row r="313" spans="1:9" hidden="1" x14ac:dyDescent="0.2">
      <c r="A313" s="104" t="s">
        <v>5</v>
      </c>
      <c r="D313" s="109" t="s">
        <v>43</v>
      </c>
      <c r="E313" s="109" t="s">
        <v>28</v>
      </c>
      <c r="F313" s="106">
        <f t="shared" si="4"/>
        <v>240</v>
      </c>
      <c r="G313" s="108">
        <v>20</v>
      </c>
      <c r="H313" s="104" t="s">
        <v>453</v>
      </c>
      <c r="I313" t="s">
        <v>669</v>
      </c>
    </row>
    <row r="314" spans="1:9" hidden="1" x14ac:dyDescent="0.2">
      <c r="A314" s="104" t="s">
        <v>133</v>
      </c>
      <c r="D314" s="104" t="s">
        <v>200</v>
      </c>
      <c r="E314" s="109" t="s">
        <v>28</v>
      </c>
      <c r="F314" s="106">
        <f t="shared" si="4"/>
        <v>360</v>
      </c>
      <c r="G314" s="108">
        <v>30</v>
      </c>
      <c r="H314" s="104" t="s">
        <v>453</v>
      </c>
      <c r="I314" t="s">
        <v>670</v>
      </c>
    </row>
    <row r="315" spans="1:9" hidden="1" x14ac:dyDescent="0.2">
      <c r="A315" s="104" t="s">
        <v>200</v>
      </c>
      <c r="D315" s="104" t="s">
        <v>200</v>
      </c>
      <c r="E315" s="109" t="s">
        <v>28</v>
      </c>
      <c r="F315" s="106">
        <f t="shared" si="4"/>
        <v>360</v>
      </c>
      <c r="G315" s="108">
        <v>30</v>
      </c>
      <c r="H315" s="104" t="s">
        <v>453</v>
      </c>
      <c r="I315" t="s">
        <v>670</v>
      </c>
    </row>
    <row r="317" spans="1:9" ht="15" x14ac:dyDescent="0.2">
      <c r="A317" s="196"/>
    </row>
  </sheetData>
  <autoFilter ref="A1:H315">
    <filterColumn colId="0">
      <filters>
        <filter val="Барокамера"/>
        <filter val="Барокамера (ОКА-МТ)"/>
        <filter val="ОКА-МТ"/>
      </filters>
    </filterColumn>
  </autoFilter>
  <phoneticPr fontId="2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17"/>
  <sheetViews>
    <sheetView workbookViewId="0">
      <pane ySplit="1" topLeftCell="A2" activePane="bottomLeft" state="frozen"/>
      <selection pane="bottomLeft" activeCell="L2" sqref="L2"/>
    </sheetView>
  </sheetViews>
  <sheetFormatPr defaultRowHeight="11.25" x14ac:dyDescent="0.2"/>
  <cols>
    <col min="1" max="1" width="11.85546875" style="51" customWidth="1"/>
    <col min="2" max="2" width="10.5703125" style="51" customWidth="1"/>
    <col min="3" max="3" width="6.140625" style="51" customWidth="1"/>
    <col min="4" max="4" width="19.85546875" style="76" customWidth="1"/>
    <col min="5" max="5" width="20.5703125" style="76" customWidth="1"/>
    <col min="6" max="6" width="11.140625" style="76" customWidth="1"/>
    <col min="7" max="7" width="10.140625" style="153" customWidth="1"/>
    <col min="8" max="8" width="8.5703125" style="76" customWidth="1"/>
    <col min="9" max="9" width="10.85546875" style="76" customWidth="1"/>
    <col min="10" max="10" width="9.7109375" style="76" customWidth="1"/>
    <col min="11" max="11" width="4.85546875" style="76" customWidth="1"/>
    <col min="12" max="12" width="9.85546875" style="51" customWidth="1"/>
    <col min="13" max="13" width="50.5703125" style="51" customWidth="1"/>
    <col min="14" max="14" width="44.140625" style="76" customWidth="1"/>
    <col min="15" max="15" width="14.140625" style="76" customWidth="1"/>
    <col min="16" max="16" width="9.85546875" style="113" customWidth="1"/>
    <col min="17" max="16384" width="9.140625" style="51"/>
  </cols>
  <sheetData>
    <row r="1" spans="1:16" x14ac:dyDescent="0.2">
      <c r="A1" s="79" t="s">
        <v>26</v>
      </c>
      <c r="B1" s="84" t="s">
        <v>386</v>
      </c>
      <c r="C1" s="84" t="s">
        <v>408</v>
      </c>
      <c r="D1" s="74" t="s">
        <v>127</v>
      </c>
      <c r="E1" s="74" t="s">
        <v>631</v>
      </c>
      <c r="F1" s="75" t="s">
        <v>264</v>
      </c>
      <c r="G1" s="84" t="s">
        <v>632</v>
      </c>
      <c r="H1" s="84" t="s">
        <v>633</v>
      </c>
      <c r="I1" s="84" t="s">
        <v>463</v>
      </c>
      <c r="J1" s="153" t="s">
        <v>239</v>
      </c>
      <c r="K1" s="84"/>
      <c r="L1" s="84" t="s">
        <v>298</v>
      </c>
      <c r="M1" s="74" t="s">
        <v>519</v>
      </c>
      <c r="N1" s="75" t="s">
        <v>520</v>
      </c>
      <c r="O1" s="74" t="s">
        <v>296</v>
      </c>
      <c r="P1" s="112" t="s">
        <v>297</v>
      </c>
    </row>
    <row r="2" spans="1:16" ht="12.75" x14ac:dyDescent="0.2">
      <c r="A2" s="51" t="s">
        <v>539</v>
      </c>
      <c r="B2" s="51" t="s">
        <v>468</v>
      </c>
      <c r="C2" s="51" t="s">
        <v>548</v>
      </c>
      <c r="D2" s="54" t="s">
        <v>537</v>
      </c>
      <c r="E2" s="54" t="s">
        <v>537</v>
      </c>
      <c r="F2" s="54" t="s">
        <v>469</v>
      </c>
      <c r="G2" s="152" t="s">
        <v>480</v>
      </c>
      <c r="I2" s="54" t="s">
        <v>569</v>
      </c>
      <c r="J2" s="54" t="s">
        <v>572</v>
      </c>
      <c r="K2" s="54"/>
      <c r="L2" s="51" t="s">
        <v>521</v>
      </c>
      <c r="M2" s="139" t="s">
        <v>528</v>
      </c>
      <c r="N2" s="148" t="s">
        <v>315</v>
      </c>
      <c r="O2" t="s">
        <v>316</v>
      </c>
      <c r="P2" t="s">
        <v>529</v>
      </c>
    </row>
    <row r="3" spans="1:16" ht="12.75" x14ac:dyDescent="0.2">
      <c r="A3" s="51" t="s">
        <v>540</v>
      </c>
      <c r="B3" s="51" t="s">
        <v>541</v>
      </c>
      <c r="C3" s="51" t="s">
        <v>543</v>
      </c>
      <c r="D3" s="54" t="s">
        <v>544</v>
      </c>
      <c r="E3" s="54" t="s">
        <v>544</v>
      </c>
      <c r="F3" s="54" t="s">
        <v>612</v>
      </c>
      <c r="G3" s="152" t="s">
        <v>479</v>
      </c>
      <c r="H3" s="76" t="s">
        <v>545</v>
      </c>
      <c r="I3" s="54"/>
      <c r="J3" s="54" t="s">
        <v>572</v>
      </c>
      <c r="K3" s="54"/>
      <c r="L3" s="51" t="s">
        <v>521</v>
      </c>
      <c r="M3" s="139" t="s">
        <v>530</v>
      </c>
      <c r="N3" s="148" t="s">
        <v>306</v>
      </c>
      <c r="O3" t="s">
        <v>307</v>
      </c>
      <c r="P3" t="s">
        <v>531</v>
      </c>
    </row>
    <row r="4" spans="1:16" ht="12.75" x14ac:dyDescent="0.2">
      <c r="A4" s="117" t="s">
        <v>546</v>
      </c>
      <c r="B4" s="117" t="s">
        <v>547</v>
      </c>
      <c r="C4" s="117" t="s">
        <v>538</v>
      </c>
      <c r="D4" s="118" t="s">
        <v>550</v>
      </c>
      <c r="E4" s="118" t="s">
        <v>551</v>
      </c>
      <c r="F4" s="118" t="s">
        <v>549</v>
      </c>
      <c r="G4" s="152" t="s">
        <v>184</v>
      </c>
      <c r="H4" s="118"/>
      <c r="I4" s="118"/>
      <c r="J4" s="118" t="s">
        <v>506</v>
      </c>
      <c r="L4" s="51" t="s">
        <v>521</v>
      </c>
      <c r="M4" s="139" t="s">
        <v>430</v>
      </c>
      <c r="N4" s="148" t="s">
        <v>308</v>
      </c>
      <c r="O4" t="s">
        <v>309</v>
      </c>
      <c r="P4" t="s">
        <v>531</v>
      </c>
    </row>
    <row r="5" spans="1:16" ht="12.75" x14ac:dyDescent="0.2">
      <c r="A5" s="151" t="s">
        <v>546</v>
      </c>
      <c r="B5" s="151" t="s">
        <v>547</v>
      </c>
      <c r="C5" s="151" t="s">
        <v>538</v>
      </c>
      <c r="D5" s="152" t="s">
        <v>552</v>
      </c>
      <c r="E5" s="152" t="s">
        <v>553</v>
      </c>
      <c r="F5" s="152" t="s">
        <v>474</v>
      </c>
      <c r="G5" s="152" t="s">
        <v>481</v>
      </c>
      <c r="H5" s="152"/>
      <c r="I5" s="152"/>
      <c r="J5" s="54" t="s">
        <v>572</v>
      </c>
      <c r="L5" s="51" t="s">
        <v>521</v>
      </c>
      <c r="M5" s="139" t="s">
        <v>510</v>
      </c>
      <c r="N5" s="148" t="s">
        <v>310</v>
      </c>
      <c r="O5" t="s">
        <v>311</v>
      </c>
      <c r="P5" t="s">
        <v>511</v>
      </c>
    </row>
    <row r="6" spans="1:16" ht="12.75" x14ac:dyDescent="0.2">
      <c r="A6" s="51" t="s">
        <v>554</v>
      </c>
      <c r="B6" s="51" t="s">
        <v>468</v>
      </c>
      <c r="C6" s="51" t="s">
        <v>555</v>
      </c>
      <c r="D6" s="54" t="s">
        <v>556</v>
      </c>
      <c r="E6" s="54" t="s">
        <v>557</v>
      </c>
      <c r="F6" s="76" t="s">
        <v>83</v>
      </c>
      <c r="G6" s="152" t="s">
        <v>481</v>
      </c>
      <c r="H6" s="54" t="s">
        <v>558</v>
      </c>
      <c r="I6" s="54"/>
      <c r="J6" s="54" t="s">
        <v>573</v>
      </c>
      <c r="L6" s="51" t="s">
        <v>521</v>
      </c>
      <c r="M6" s="139" t="s">
        <v>497</v>
      </c>
      <c r="N6" s="148" t="s">
        <v>312</v>
      </c>
      <c r="O6" t="s">
        <v>313</v>
      </c>
      <c r="P6" t="s">
        <v>512</v>
      </c>
    </row>
    <row r="7" spans="1:16" ht="12.75" x14ac:dyDescent="0.2">
      <c r="A7" s="117" t="s">
        <v>554</v>
      </c>
      <c r="B7" s="117" t="s">
        <v>468</v>
      </c>
      <c r="C7" s="51" t="s">
        <v>555</v>
      </c>
      <c r="D7" s="118" t="s">
        <v>559</v>
      </c>
      <c r="E7" s="118" t="s">
        <v>559</v>
      </c>
      <c r="F7" s="119" t="s">
        <v>474</v>
      </c>
      <c r="G7" s="152" t="s">
        <v>481</v>
      </c>
      <c r="H7" s="119"/>
      <c r="I7" s="118" t="s">
        <v>400</v>
      </c>
      <c r="J7" s="118" t="s">
        <v>266</v>
      </c>
      <c r="K7" s="54"/>
      <c r="L7" s="51" t="s">
        <v>588</v>
      </c>
      <c r="M7" s="139" t="s">
        <v>589</v>
      </c>
      <c r="N7" s="148" t="s">
        <v>591</v>
      </c>
      <c r="O7" t="s">
        <v>590</v>
      </c>
      <c r="P7" t="s">
        <v>512</v>
      </c>
    </row>
    <row r="8" spans="1:16" ht="12.75" x14ac:dyDescent="0.2">
      <c r="A8" s="51" t="s">
        <v>560</v>
      </c>
      <c r="B8" s="51" t="s">
        <v>468</v>
      </c>
      <c r="C8" s="51" t="s">
        <v>548</v>
      </c>
      <c r="D8" s="54" t="s">
        <v>561</v>
      </c>
      <c r="E8" s="54" t="s">
        <v>561</v>
      </c>
      <c r="F8" s="76" t="s">
        <v>562</v>
      </c>
      <c r="G8" s="153" t="s">
        <v>499</v>
      </c>
      <c r="H8" s="76" t="s">
        <v>194</v>
      </c>
      <c r="I8" s="54"/>
      <c r="J8" s="76" t="s">
        <v>576</v>
      </c>
      <c r="K8" s="54"/>
      <c r="L8" s="51" t="s">
        <v>521</v>
      </c>
      <c r="M8" s="139" t="s">
        <v>327</v>
      </c>
      <c r="N8" s="148" t="s">
        <v>491</v>
      </c>
      <c r="O8" t="s">
        <v>492</v>
      </c>
      <c r="P8" t="s">
        <v>328</v>
      </c>
    </row>
    <row r="9" spans="1:16" ht="12.75" x14ac:dyDescent="0.2">
      <c r="A9" s="51" t="s">
        <v>560</v>
      </c>
      <c r="B9" s="51" t="s">
        <v>547</v>
      </c>
      <c r="C9" s="51" t="s">
        <v>542</v>
      </c>
      <c r="D9" s="73" t="s">
        <v>563</v>
      </c>
      <c r="E9" s="73" t="s">
        <v>563</v>
      </c>
      <c r="F9" s="54" t="s">
        <v>23</v>
      </c>
      <c r="G9" s="153" t="s">
        <v>478</v>
      </c>
      <c r="H9" s="54" t="s">
        <v>564</v>
      </c>
      <c r="I9" s="54"/>
      <c r="J9" s="54" t="s">
        <v>572</v>
      </c>
      <c r="K9" s="54"/>
      <c r="L9" s="51" t="s">
        <v>521</v>
      </c>
      <c r="M9" s="139" t="s">
        <v>329</v>
      </c>
      <c r="N9" s="148" t="s">
        <v>493</v>
      </c>
      <c r="O9" t="s">
        <v>405</v>
      </c>
      <c r="P9" t="s">
        <v>330</v>
      </c>
    </row>
    <row r="10" spans="1:16" ht="12.75" x14ac:dyDescent="0.2">
      <c r="A10" s="51" t="s">
        <v>608</v>
      </c>
      <c r="B10" s="51" t="s">
        <v>547</v>
      </c>
      <c r="C10" s="51" t="s">
        <v>613</v>
      </c>
      <c r="D10" s="54" t="s">
        <v>565</v>
      </c>
      <c r="E10" s="54" t="s">
        <v>565</v>
      </c>
      <c r="F10" s="76" t="s">
        <v>48</v>
      </c>
      <c r="G10" s="153" t="s">
        <v>480</v>
      </c>
      <c r="H10" s="54"/>
      <c r="I10" s="54"/>
      <c r="J10" s="76" t="s">
        <v>576</v>
      </c>
      <c r="L10" s="51" t="s">
        <v>521</v>
      </c>
      <c r="M10" s="139" t="s">
        <v>464</v>
      </c>
      <c r="N10" s="148" t="s">
        <v>454</v>
      </c>
      <c r="O10" t="s">
        <v>455</v>
      </c>
      <c r="P10" t="s">
        <v>465</v>
      </c>
    </row>
    <row r="11" spans="1:16" ht="12.75" x14ac:dyDescent="0.2">
      <c r="A11" s="117" t="s">
        <v>608</v>
      </c>
      <c r="B11" s="117" t="s">
        <v>547</v>
      </c>
      <c r="C11" s="51" t="s">
        <v>613</v>
      </c>
      <c r="D11" s="118" t="s">
        <v>566</v>
      </c>
      <c r="E11" s="118" t="s">
        <v>566</v>
      </c>
      <c r="F11" s="119" t="s">
        <v>48</v>
      </c>
      <c r="G11" s="153" t="s">
        <v>480</v>
      </c>
      <c r="H11" s="118"/>
      <c r="I11" s="118"/>
      <c r="J11" s="118" t="s">
        <v>266</v>
      </c>
      <c r="K11" s="54"/>
      <c r="L11" s="51" t="s">
        <v>521</v>
      </c>
      <c r="M11" s="139" t="s">
        <v>466</v>
      </c>
      <c r="N11" s="148" t="s">
        <v>456</v>
      </c>
      <c r="O11" t="s">
        <v>457</v>
      </c>
      <c r="P11" t="s">
        <v>465</v>
      </c>
    </row>
    <row r="12" spans="1:16" ht="12.75" x14ac:dyDescent="0.2">
      <c r="A12" s="117" t="s">
        <v>567</v>
      </c>
      <c r="B12" s="117" t="s">
        <v>468</v>
      </c>
      <c r="C12" s="51" t="s">
        <v>542</v>
      </c>
      <c r="D12" s="120" t="s">
        <v>570</v>
      </c>
      <c r="E12" s="120" t="s">
        <v>571</v>
      </c>
      <c r="F12" s="118" t="s">
        <v>568</v>
      </c>
      <c r="G12" s="153" t="s">
        <v>480</v>
      </c>
      <c r="H12" s="118"/>
      <c r="I12" s="118" t="s">
        <v>569</v>
      </c>
      <c r="J12" s="118" t="s">
        <v>506</v>
      </c>
      <c r="L12" s="51" t="s">
        <v>521</v>
      </c>
      <c r="M12" s="139" t="s">
        <v>370</v>
      </c>
      <c r="N12" s="148" t="s">
        <v>459</v>
      </c>
      <c r="O12" t="s">
        <v>460</v>
      </c>
      <c r="P12" t="s">
        <v>369</v>
      </c>
    </row>
    <row r="13" spans="1:16" ht="12.75" x14ac:dyDescent="0.2">
      <c r="A13" s="151" t="s">
        <v>567</v>
      </c>
      <c r="B13" s="151" t="s">
        <v>468</v>
      </c>
      <c r="C13" s="151" t="s">
        <v>542</v>
      </c>
      <c r="D13" s="164" t="s">
        <v>610</v>
      </c>
      <c r="E13" s="164" t="s">
        <v>611</v>
      </c>
      <c r="F13" s="54" t="s">
        <v>71</v>
      </c>
      <c r="G13" s="153" t="s">
        <v>525</v>
      </c>
      <c r="H13" s="152"/>
      <c r="I13" s="152" t="s">
        <v>569</v>
      </c>
      <c r="J13" s="76" t="s">
        <v>573</v>
      </c>
      <c r="K13" s="54"/>
      <c r="L13" s="51" t="s">
        <v>521</v>
      </c>
      <c r="M13" s="139" t="s">
        <v>371</v>
      </c>
      <c r="N13" s="148" t="s">
        <v>494</v>
      </c>
      <c r="O13" t="s">
        <v>458</v>
      </c>
      <c r="P13" t="s">
        <v>372</v>
      </c>
    </row>
    <row r="14" spans="1:16" ht="12.75" x14ac:dyDescent="0.2">
      <c r="A14" s="51" t="s">
        <v>554</v>
      </c>
      <c r="B14" s="51" t="s">
        <v>468</v>
      </c>
      <c r="C14" s="51" t="s">
        <v>555</v>
      </c>
      <c r="D14" s="76" t="s">
        <v>574</v>
      </c>
      <c r="E14" s="76" t="s">
        <v>575</v>
      </c>
      <c r="F14" s="76" t="s">
        <v>562</v>
      </c>
      <c r="G14" s="153" t="s">
        <v>499</v>
      </c>
      <c r="H14" s="76" t="s">
        <v>194</v>
      </c>
      <c r="I14" s="76" t="s">
        <v>337</v>
      </c>
      <c r="J14" s="76" t="s">
        <v>573</v>
      </c>
      <c r="K14" s="54"/>
      <c r="L14" s="51" t="s">
        <v>521</v>
      </c>
      <c r="M14" t="s">
        <v>508</v>
      </c>
      <c r="N14" t="s">
        <v>300</v>
      </c>
      <c r="O14" t="s">
        <v>301</v>
      </c>
      <c r="P14" s="149">
        <v>40305</v>
      </c>
    </row>
    <row r="17" spans="1:1" x14ac:dyDescent="0.2">
      <c r="A17" s="51" t="s">
        <v>581</v>
      </c>
    </row>
  </sheetData>
  <sheetProtection formatCells="0" formatColumns="0" formatRows="0" insertColumns="0" insertRows="0" insertHyperlinks="0" sort="0" autoFilter="0" pivotTables="0"/>
  <autoFilter ref="A1:O14"/>
  <phoneticPr fontId="2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17"/>
  <sheetViews>
    <sheetView zoomScaleNormal="100" workbookViewId="0">
      <pane ySplit="1" topLeftCell="A2" activePane="bottomLeft" state="frozen"/>
      <selection pane="bottomLeft" activeCell="L5" sqref="L5"/>
    </sheetView>
  </sheetViews>
  <sheetFormatPr defaultRowHeight="11.25" x14ac:dyDescent="0.2"/>
  <cols>
    <col min="1" max="1" width="4.140625" style="92" customWidth="1"/>
    <col min="2" max="2" width="7.28515625" style="93" customWidth="1"/>
    <col min="3" max="3" width="13.28515625" style="96" customWidth="1"/>
    <col min="4" max="4" width="8.5703125" style="96" customWidth="1"/>
    <col min="5" max="5" width="8.5703125" style="124" customWidth="1"/>
    <col min="6" max="6" width="8.7109375" style="94" customWidth="1"/>
    <col min="7" max="7" width="8.5703125" style="244" customWidth="1"/>
    <col min="8" max="8" width="7.5703125" style="93" customWidth="1"/>
    <col min="9" max="9" width="9" style="93" customWidth="1"/>
    <col min="10" max="10" width="10.85546875" style="93" customWidth="1"/>
    <col min="11" max="11" width="12.140625" style="97" customWidth="1"/>
    <col min="12" max="12" width="7.5703125" style="90" customWidth="1"/>
    <col min="13" max="13" width="4.7109375" style="99" customWidth="1"/>
    <col min="14" max="14" width="6.7109375" style="100" customWidth="1"/>
    <col min="15" max="15" width="4.85546875" style="99" customWidth="1"/>
    <col min="16" max="16" width="17.7109375" style="96" customWidth="1"/>
    <col min="17" max="17" width="25.7109375" style="91" customWidth="1"/>
    <col min="18" max="19" width="9.85546875" style="98" customWidth="1"/>
    <col min="20" max="20" width="4" style="57" customWidth="1"/>
    <col min="21" max="16384" width="9.140625" style="57"/>
  </cols>
  <sheetData>
    <row r="1" spans="1:21" s="55" customFormat="1" ht="27.75" customHeight="1" x14ac:dyDescent="0.2">
      <c r="A1" s="228" t="s">
        <v>498</v>
      </c>
      <c r="B1" s="220" t="s">
        <v>25</v>
      </c>
      <c r="C1" s="221" t="s">
        <v>26</v>
      </c>
      <c r="D1" s="221" t="s">
        <v>349</v>
      </c>
      <c r="E1" s="222" t="s">
        <v>231</v>
      </c>
      <c r="F1" s="223" t="s">
        <v>232</v>
      </c>
      <c r="G1" s="241" t="s">
        <v>640</v>
      </c>
      <c r="H1" s="224" t="s">
        <v>643</v>
      </c>
      <c r="I1" s="220" t="s">
        <v>86</v>
      </c>
      <c r="J1" s="220" t="s">
        <v>644</v>
      </c>
      <c r="K1" s="225" t="s">
        <v>127</v>
      </c>
      <c r="L1" s="226" t="s">
        <v>264</v>
      </c>
      <c r="M1" s="227" t="s">
        <v>651</v>
      </c>
      <c r="N1" s="240" t="s">
        <v>265</v>
      </c>
      <c r="O1" s="228" t="s">
        <v>652</v>
      </c>
      <c r="P1" s="229" t="s">
        <v>641</v>
      </c>
      <c r="Q1" s="230" t="s">
        <v>642</v>
      </c>
      <c r="R1" s="231" t="s">
        <v>653</v>
      </c>
      <c r="S1" s="228"/>
      <c r="T1" s="142">
        <f>SUBTOTAL(103,C2:C14)</f>
        <v>3</v>
      </c>
      <c r="U1" s="141" t="s">
        <v>317</v>
      </c>
    </row>
    <row r="2" spans="1:21" ht="12.75" x14ac:dyDescent="0.2">
      <c r="A2" s="218">
        <v>1</v>
      </c>
      <c r="B2" s="188">
        <v>39917</v>
      </c>
      <c r="C2" s="11" t="s">
        <v>271</v>
      </c>
      <c r="D2" s="189" t="str">
        <f>INDEX(Срок!A:F,MATCH(C2,Срок!A:A,),MATCH("Назначен",Срок!$A$1:$F$1,))</f>
        <v>гпм</v>
      </c>
      <c r="E2" s="154">
        <v>1111</v>
      </c>
      <c r="F2" s="155" t="s">
        <v>477</v>
      </c>
      <c r="G2" s="242">
        <v>2222</v>
      </c>
      <c r="H2" s="188">
        <v>39913</v>
      </c>
      <c r="I2" s="77" t="str">
        <f>INDEX(Запол!A:F,MATCH(K2,Запол!D:D,),MATCH("отчет",Запол!$A$1:$F$1,))</f>
        <v>ООО</v>
      </c>
      <c r="J2" s="77" t="str">
        <f>INDEX(Запол!A:F,MATCH(K2,Запол!D:D,),MATCH("Отчет",Запол!$A$1:$F$1,))</f>
        <v>ООО</v>
      </c>
      <c r="K2" s="78" t="s">
        <v>537</v>
      </c>
      <c r="L2" s="182" t="str">
        <f>INDEX(Запол!D:F,MATCH(K2,Запол!D:D,),MATCH("Место",Запол!$D$1:$F$1,))</f>
        <v>г. Самара</v>
      </c>
      <c r="M2" s="187" t="s">
        <v>698</v>
      </c>
      <c r="N2" s="194" t="s">
        <v>648</v>
      </c>
      <c r="O2" s="187">
        <v>-2009</v>
      </c>
      <c r="P2" s="191" t="s">
        <v>530</v>
      </c>
      <c r="Q2" s="182" t="str">
        <f>INDEX(Запол!M:N,MATCH(P2,Запол!M:M,),MATCH("Дислокац эксп",Запол!$M$1:$N$1,))</f>
        <v>453110, Республика Башкортостан, г. Стерлитамак, ул. Техническая, д. 14</v>
      </c>
      <c r="R2" s="219">
        <v>41548</v>
      </c>
      <c r="S2" s="245"/>
    </row>
    <row r="3" spans="1:21" ht="12.75" x14ac:dyDescent="0.2">
      <c r="A3" s="218">
        <v>2</v>
      </c>
      <c r="B3" s="188">
        <v>41176</v>
      </c>
      <c r="C3" s="11" t="s">
        <v>110</v>
      </c>
      <c r="D3" s="189" t="str">
        <f>INDEX(Срок!A:F,MATCH(C3,Срок!A:A,),MATCH("Назначен",Срок!$A$1:$F$1,))</f>
        <v>гпм</v>
      </c>
      <c r="E3" s="154">
        <v>1112</v>
      </c>
      <c r="F3" s="155" t="s">
        <v>614</v>
      </c>
      <c r="G3" s="242">
        <v>457</v>
      </c>
      <c r="H3" s="188">
        <v>41172</v>
      </c>
      <c r="I3" s="77" t="str">
        <f>INDEX(Запол!A:F,MATCH(K3,Запол!D:D,),MATCH("Место",Запол!$A$1:$F$1,))</f>
        <v>г. Казань</v>
      </c>
      <c r="J3" s="77" t="str">
        <f>INDEX(Запол!A:F,MATCH(K3,Запол!D:D,),MATCH("Отчет",Запол!$A$1:$F$1,))</f>
        <v>ОАО</v>
      </c>
      <c r="K3" s="78" t="s">
        <v>610</v>
      </c>
      <c r="L3" s="182" t="str">
        <f>INDEX(Запол!D:F,MATCH(K3,Запол!D:D,),MATCH("Место",Запол!$D$1:$F$1,))</f>
        <v>г. Казань</v>
      </c>
      <c r="M3" s="187" t="s">
        <v>699</v>
      </c>
      <c r="N3" s="194" t="s">
        <v>649</v>
      </c>
      <c r="O3" s="187">
        <v>-2012</v>
      </c>
      <c r="P3" s="191" t="s">
        <v>510</v>
      </c>
      <c r="Q3" s="182" t="str">
        <f>INDEX(Запол!M:N,MATCH(P3,Запол!M:M,),MATCH("Дислокац эксп",Запол!$M$1:$N$1,))</f>
        <v>670047, Республика Бурятия, г. Улан-Удэ, ул. Сахьяновой, д. 9, стр. 14, оф. 51</v>
      </c>
      <c r="R3" s="219">
        <v>42430</v>
      </c>
      <c r="S3" s="245"/>
    </row>
    <row r="4" spans="1:21" ht="12.75" x14ac:dyDescent="0.2">
      <c r="A4" s="218">
        <v>3</v>
      </c>
      <c r="B4" s="188">
        <v>41559</v>
      </c>
      <c r="C4" s="11" t="s">
        <v>271</v>
      </c>
      <c r="D4" s="189" t="str">
        <f>INDEX(Срок!A:F,MATCH(C4,Срок!A:A,),MATCH("Назначен",Срок!$A$1:$F$1,))</f>
        <v>гпм</v>
      </c>
      <c r="E4" s="154">
        <v>1111</v>
      </c>
      <c r="F4" s="155" t="s">
        <v>477</v>
      </c>
      <c r="G4" s="242" t="s">
        <v>645</v>
      </c>
      <c r="H4" s="188">
        <v>41557</v>
      </c>
      <c r="I4" s="77" t="str">
        <f>INDEX(Запол!A:F,MATCH(K4,Запол!D:D,),MATCH("Место",Запол!$A$1:$F$1,))</f>
        <v>г. Казань</v>
      </c>
      <c r="J4" s="77" t="str">
        <f>INDEX(Запол!A:F,MATCH(K4,Запол!D:D,),MATCH("Отчет",Запол!$A$1:$F$1,))</f>
        <v>ОАО</v>
      </c>
      <c r="K4" s="78" t="s">
        <v>610</v>
      </c>
      <c r="L4" s="182" t="str">
        <f>INDEX(Запол!D:F,MATCH(K4,Запол!D:D,),MATCH("Место",Запол!$D$1:$F$1,))</f>
        <v>г. Казань</v>
      </c>
      <c r="M4" s="187" t="s">
        <v>700</v>
      </c>
      <c r="N4" s="194" t="s">
        <v>650</v>
      </c>
      <c r="O4" s="187">
        <v>2019</v>
      </c>
      <c r="P4" s="191" t="s">
        <v>371</v>
      </c>
      <c r="Q4" s="182" t="str">
        <f>INDEX(Запол!M:N,MATCH(P4,Запол!M:M,),MATCH("Дислокац эксп",Запол!$M$1:$N$1,))</f>
        <v>603950, г. Нижний Новгород, ул. Бринского, д. 6</v>
      </c>
      <c r="R4" s="219">
        <v>44440</v>
      </c>
      <c r="S4" s="245"/>
    </row>
    <row r="5" spans="1:21" ht="12" x14ac:dyDescent="0.2">
      <c r="A5" s="218"/>
      <c r="B5" s="188"/>
      <c r="C5" s="191"/>
      <c r="D5" s="189" t="e">
        <f>INDEX(Срок!A:F,MATCH(C5,Срок!A:A,),MATCH("Назначен",Срок!$A$1:$F$1,))</f>
        <v>#N/A</v>
      </c>
      <c r="E5" s="192"/>
      <c r="F5" s="193"/>
      <c r="G5" s="242"/>
      <c r="H5" s="188"/>
      <c r="I5" s="77" t="e">
        <f>INDEX(Запол!A:F,MATCH(K5,Запол!D:D,),MATCH("Место",Запол!$A$1:$F$1,))</f>
        <v>#N/A</v>
      </c>
      <c r="J5" s="77" t="e">
        <f>INDEX(Запол!A:F,MATCH(K5,Запол!D:D,),MATCH("Отчет",Запол!$A$1:$F$1,))</f>
        <v>#N/A</v>
      </c>
      <c r="K5" s="78"/>
      <c r="L5" s="182" t="e">
        <f>INDEX(Запол!D:F,MATCH(K5,Запол!D:D,),MATCH("Место",Запол!$D$1:$F$1,))</f>
        <v>#N/A</v>
      </c>
      <c r="M5" s="190"/>
      <c r="N5" s="194"/>
      <c r="O5" s="187"/>
      <c r="P5" s="191"/>
      <c r="Q5" s="182" t="e">
        <f>INDEX(Запол!M:N,MATCH(P5,Запол!M:M,),MATCH("Дислокац эксп",Запол!$M$1:$N$1,))</f>
        <v>#N/A</v>
      </c>
      <c r="R5" s="219"/>
      <c r="S5" s="245"/>
    </row>
    <row r="6" spans="1:21" ht="12" x14ac:dyDescent="0.2">
      <c r="A6" s="218"/>
      <c r="B6" s="188"/>
      <c r="C6" s="191"/>
      <c r="D6" s="189" t="e">
        <f>INDEX(Срок!A:F,MATCH(C6,Срок!A:A,),MATCH("Назначен",Срок!$A$1:$F$1,))</f>
        <v>#N/A</v>
      </c>
      <c r="E6" s="192"/>
      <c r="F6" s="193"/>
      <c r="G6" s="242"/>
      <c r="H6" s="188"/>
      <c r="I6" s="77" t="e">
        <f>INDEX(Запол!A:F,MATCH(K6,Запол!D:D,),MATCH("Место",Запол!$A$1:$F$1,))</f>
        <v>#N/A</v>
      </c>
      <c r="J6" s="77" t="e">
        <f>INDEX(Запол!A:F,MATCH(K6,Запол!D:D,),MATCH("Отчет",Запол!$A$1:$F$1,))</f>
        <v>#N/A</v>
      </c>
      <c r="K6" s="78"/>
      <c r="L6" s="182" t="e">
        <f>INDEX(Запол!D:F,MATCH(K6,Запол!D:D,),MATCH("Место",Запол!$D$1:$F$1,))</f>
        <v>#N/A</v>
      </c>
      <c r="M6" s="190"/>
      <c r="N6" s="194"/>
      <c r="O6" s="187"/>
      <c r="P6" s="191"/>
      <c r="Q6" s="182" t="e">
        <f>INDEX(Запол!M:N,MATCH(P6,Запол!M:M,),MATCH("Дислокац эксп",Запол!$M$1:$N$1,))</f>
        <v>#N/A</v>
      </c>
      <c r="R6" s="219"/>
      <c r="S6" s="245"/>
    </row>
    <row r="7" spans="1:21" ht="12" x14ac:dyDescent="0.2">
      <c r="A7" s="218"/>
      <c r="B7" s="188"/>
      <c r="C7" s="191"/>
      <c r="D7" s="189" t="e">
        <f>INDEX(Срок!A:F,MATCH(C7,Срок!A:A,),MATCH("Назначен",Срок!$A$1:$F$1,))</f>
        <v>#N/A</v>
      </c>
      <c r="E7" s="192"/>
      <c r="F7" s="193"/>
      <c r="G7" s="242"/>
      <c r="H7" s="188"/>
      <c r="I7" s="77" t="e">
        <f>INDEX(Запол!A:F,MATCH(K7,Запол!D:D,),MATCH("Место",Запол!$A$1:$F$1,))</f>
        <v>#N/A</v>
      </c>
      <c r="J7" s="77" t="e">
        <f>INDEX(Запол!A:F,MATCH(K7,Запол!D:D,),MATCH("Отчет",Запол!$A$1:$F$1,))</f>
        <v>#N/A</v>
      </c>
      <c r="K7" s="78"/>
      <c r="L7" s="182" t="e">
        <f>INDEX(Запол!D:F,MATCH(K7,Запол!D:D,),MATCH("Место",Запол!$D$1:$F$1,))</f>
        <v>#N/A</v>
      </c>
      <c r="M7" s="190"/>
      <c r="N7" s="194"/>
      <c r="O7" s="187"/>
      <c r="P7" s="191"/>
      <c r="Q7" s="182" t="e">
        <f>INDEX(Запол!M:N,MATCH(P7,Запол!M:M,),MATCH("Дислокац эксп",Запол!$M$1:$N$1,))</f>
        <v>#N/A</v>
      </c>
      <c r="R7" s="219"/>
      <c r="S7" s="245"/>
    </row>
    <row r="8" spans="1:21" ht="12" x14ac:dyDescent="0.2">
      <c r="A8" s="218"/>
      <c r="B8" s="188"/>
      <c r="C8" s="191"/>
      <c r="D8" s="189" t="e">
        <f>INDEX(Срок!A:F,MATCH(C8,Срок!A:A,),MATCH("Назначен",Срок!$A$1:$F$1,))</f>
        <v>#N/A</v>
      </c>
      <c r="E8" s="192"/>
      <c r="F8" s="193"/>
      <c r="G8" s="242"/>
      <c r="H8" s="188"/>
      <c r="I8" s="77" t="e">
        <f>INDEX(Запол!A:F,MATCH(K8,Запол!D:D,),MATCH("Место",Запол!$A$1:$F$1,))</f>
        <v>#N/A</v>
      </c>
      <c r="J8" s="77" t="e">
        <f>INDEX(Запол!A:F,MATCH(K8,Запол!D:D,),MATCH("Отчет",Запол!$A$1:$F$1,))</f>
        <v>#N/A</v>
      </c>
      <c r="K8" s="194"/>
      <c r="L8" s="182" t="e">
        <f>INDEX(Запол!D:F,MATCH(K8,Запол!D:D,),MATCH("Место",Запол!$D$1:$F$1,))</f>
        <v>#N/A</v>
      </c>
      <c r="M8" s="190"/>
      <c r="N8" s="194"/>
      <c r="O8" s="187"/>
      <c r="P8" s="191"/>
      <c r="Q8" s="182" t="e">
        <f>INDEX(Запол!M:N,MATCH(P8,Запол!M:M,),MATCH("Дислокац эксп",Запол!$M$1:$N$1,))</f>
        <v>#N/A</v>
      </c>
      <c r="R8" s="219"/>
      <c r="S8" s="245"/>
    </row>
    <row r="9" spans="1:21" ht="12" x14ac:dyDescent="0.2">
      <c r="A9" s="218"/>
      <c r="B9" s="188"/>
      <c r="C9" s="191"/>
      <c r="D9" s="189" t="e">
        <f>INDEX(Срок!A:F,MATCH(C9,Срок!A:A,),MATCH("Назначен",Срок!$A$1:$F$1,))</f>
        <v>#N/A</v>
      </c>
      <c r="E9" s="192"/>
      <c r="F9" s="193"/>
      <c r="G9" s="242"/>
      <c r="H9" s="188"/>
      <c r="I9" s="77" t="e">
        <f>INDEX(Запол!A:F,MATCH(K9,Запол!D:D,),MATCH("Место",Запол!$A$1:$F$1,))</f>
        <v>#N/A</v>
      </c>
      <c r="J9" s="77" t="e">
        <f>INDEX(Запол!A:F,MATCH(K9,Запол!D:D,),MATCH("Отчет",Запол!$A$1:$F$1,))</f>
        <v>#N/A</v>
      </c>
      <c r="K9" s="194"/>
      <c r="L9" s="182" t="e">
        <f>INDEX(Запол!D:F,MATCH(K9,Запол!D:D,),MATCH("Место",Запол!$D$1:$F$1,))</f>
        <v>#N/A</v>
      </c>
      <c r="M9" s="190"/>
      <c r="N9" s="194"/>
      <c r="O9" s="187"/>
      <c r="P9" s="191"/>
      <c r="Q9" s="182" t="e">
        <f>INDEX(Запол!M:N,MATCH(P9,Запол!M:M,),MATCH("Дислокац эксп",Запол!$M$1:$N$1,))</f>
        <v>#N/A</v>
      </c>
      <c r="R9" s="219"/>
      <c r="S9" s="245"/>
    </row>
    <row r="10" spans="1:21" ht="12" x14ac:dyDescent="0.2">
      <c r="A10" s="218"/>
      <c r="B10" s="188"/>
      <c r="C10" s="191"/>
      <c r="D10" s="189" t="e">
        <f>INDEX(Срок!A:F,MATCH(C10,Срок!A:A,),MATCH("Назначен",Срок!$A$1:$F$1,))</f>
        <v>#N/A</v>
      </c>
      <c r="E10" s="192"/>
      <c r="F10" s="193"/>
      <c r="G10" s="242"/>
      <c r="H10" s="188"/>
      <c r="I10" s="77" t="e">
        <f>INDEX(Запол!A:F,MATCH(K10,Запол!D:D,),MATCH("Место",Запол!$A$1:$F$1,))</f>
        <v>#N/A</v>
      </c>
      <c r="J10" s="77" t="e">
        <f>INDEX(Запол!A:F,MATCH(K10,Запол!D:D,),MATCH("Отчет",Запол!$A$1:$F$1,))</f>
        <v>#N/A</v>
      </c>
      <c r="K10" s="194"/>
      <c r="L10" s="182" t="e">
        <f>INDEX(Запол!D:F,MATCH(K10,Запол!D:D,),MATCH("Место",Запол!$D$1:$F$1,))</f>
        <v>#N/A</v>
      </c>
      <c r="M10" s="190"/>
      <c r="N10" s="194"/>
      <c r="O10" s="187"/>
      <c r="P10" s="191"/>
      <c r="Q10" s="182" t="e">
        <f>INDEX(Запол!M:N,MATCH(P10,Запол!M:M,),MATCH("Дислокац эксп",Запол!$M$1:$N$1,))</f>
        <v>#N/A</v>
      </c>
      <c r="R10" s="219"/>
      <c r="S10" s="245"/>
    </row>
    <row r="11" spans="1:21" ht="12" x14ac:dyDescent="0.2">
      <c r="A11" s="218"/>
      <c r="B11" s="188"/>
      <c r="C11" s="191"/>
      <c r="D11" s="189" t="e">
        <f>INDEX(Срок!A:F,MATCH(C11,Срок!A:A,),MATCH("Назначен",Срок!$A$1:$F$1,))</f>
        <v>#N/A</v>
      </c>
      <c r="E11" s="192"/>
      <c r="F11" s="193"/>
      <c r="G11" s="242"/>
      <c r="H11" s="188"/>
      <c r="I11" s="77" t="e">
        <f>INDEX(Запол!A:F,MATCH(K11,Запол!D:D,),MATCH("Место",Запол!$A$1:$F$1,))</f>
        <v>#N/A</v>
      </c>
      <c r="J11" s="77" t="e">
        <f>INDEX(Запол!A:F,MATCH(K11,Запол!D:D,),MATCH("Отчет",Запол!$A$1:$F$1,))</f>
        <v>#N/A</v>
      </c>
      <c r="K11" s="194"/>
      <c r="L11" s="182" t="e">
        <f>INDEX(Запол!D:F,MATCH(K11,Запол!D:D,),MATCH("Место",Запол!$D$1:$F$1,))</f>
        <v>#N/A</v>
      </c>
      <c r="M11" s="190"/>
      <c r="N11" s="194"/>
      <c r="O11" s="187"/>
      <c r="P11" s="191"/>
      <c r="Q11" s="182" t="e">
        <f>INDEX(Запол!M:N,MATCH(P11,Запол!M:M,),MATCH("Дислокац эксп",Запол!$M$1:$N$1,))</f>
        <v>#N/A</v>
      </c>
      <c r="R11" s="219"/>
      <c r="S11" s="245"/>
    </row>
    <row r="12" spans="1:21" ht="12" x14ac:dyDescent="0.2">
      <c r="A12" s="218"/>
      <c r="B12" s="188"/>
      <c r="C12" s="191"/>
      <c r="D12" s="189" t="e">
        <f>INDEX(Срок!A:F,MATCH(C12,Срок!A:A,),MATCH("Назначен",Срок!$A$1:$F$1,))</f>
        <v>#N/A</v>
      </c>
      <c r="E12" s="192"/>
      <c r="F12" s="193"/>
      <c r="G12" s="242"/>
      <c r="H12" s="188"/>
      <c r="I12" s="77" t="e">
        <f>INDEX(Запол!A:F,MATCH(K12,Запол!D:D,),MATCH("Место",Запол!$A$1:$F$1,))</f>
        <v>#N/A</v>
      </c>
      <c r="J12" s="77" t="e">
        <f>INDEX(Запол!A:F,MATCH(K12,Запол!D:D,),MATCH("Отчет",Запол!$A$1:$F$1,))</f>
        <v>#N/A</v>
      </c>
      <c r="K12" s="194"/>
      <c r="L12" s="182" t="e">
        <f>INDEX(Запол!D:F,MATCH(K12,Запол!D:D,),MATCH("Место",Запол!$D$1:$F$1,))</f>
        <v>#N/A</v>
      </c>
      <c r="M12" s="190"/>
      <c r="N12" s="194"/>
      <c r="O12" s="187"/>
      <c r="P12" s="191"/>
      <c r="Q12" s="182" t="e">
        <f>INDEX(Запол!M:N,MATCH(P12,Запол!M:M,),MATCH("Дислокац эксп",Запол!$M$1:$N$1,))</f>
        <v>#N/A</v>
      </c>
      <c r="R12" s="219"/>
      <c r="S12" s="245"/>
    </row>
    <row r="13" spans="1:21" ht="12" x14ac:dyDescent="0.2">
      <c r="A13" s="218"/>
      <c r="B13" s="188"/>
      <c r="C13" s="191"/>
      <c r="D13" s="189" t="e">
        <f>INDEX(Срок!A:F,MATCH(C13,Срок!A:A,),MATCH("Назначен",Срок!$A$1:$F$1,))</f>
        <v>#N/A</v>
      </c>
      <c r="E13" s="192"/>
      <c r="F13" s="193"/>
      <c r="G13" s="242"/>
      <c r="H13" s="188"/>
      <c r="I13" s="77" t="e">
        <f>INDEX(Запол!A:F,MATCH(K13,Запол!D:D,),MATCH("Место",Запол!$A$1:$F$1,))</f>
        <v>#N/A</v>
      </c>
      <c r="J13" s="77" t="e">
        <f>INDEX(Запол!A:F,MATCH(K13,Запол!D:D,),MATCH("Отчет",Запол!$A$1:$F$1,))</f>
        <v>#N/A</v>
      </c>
      <c r="K13" s="194"/>
      <c r="L13" s="182" t="e">
        <f>INDEX(Запол!D:F,MATCH(K13,Запол!D:D,),MATCH("Место",Запол!$D$1:$F$1,))</f>
        <v>#N/A</v>
      </c>
      <c r="M13" s="190"/>
      <c r="N13" s="194"/>
      <c r="O13" s="187"/>
      <c r="P13" s="191"/>
      <c r="Q13" s="182" t="e">
        <f>INDEX(Запол!M:N,MATCH(P13,Запол!M:M,),MATCH("Дислокац эксп",Запол!$M$1:$N$1,))</f>
        <v>#N/A</v>
      </c>
      <c r="R13" s="219"/>
      <c r="S13" s="245"/>
    </row>
    <row r="14" spans="1:21" ht="12" x14ac:dyDescent="0.2">
      <c r="A14" s="232"/>
      <c r="B14" s="183"/>
      <c r="C14" s="233"/>
      <c r="D14" s="234" t="e">
        <f>INDEX(Срок!A:F,MATCH(C14,Срок!A:A,),MATCH("Назначен",Срок!$A$1:$F$1,))</f>
        <v>#N/A</v>
      </c>
      <c r="E14" s="185"/>
      <c r="F14" s="186"/>
      <c r="G14" s="243"/>
      <c r="H14" s="183"/>
      <c r="I14" s="207" t="e">
        <f>INDEX(Запол!A:F,MATCH(K14,Запол!D:D,),MATCH("Место",Запол!$A$1:$F$1,))</f>
        <v>#N/A</v>
      </c>
      <c r="J14" s="207" t="e">
        <f>INDEX(Запол!A:F,MATCH(K14,Запол!D:D,),MATCH("Отчет",Запол!$A$1:$F$1,))</f>
        <v>#N/A</v>
      </c>
      <c r="K14" s="236"/>
      <c r="L14" s="237" t="e">
        <f>INDEX(Запол!D:F,MATCH(K14,Запол!D:D,),MATCH("Место",Запол!$D$1:$F$1,))</f>
        <v>#N/A</v>
      </c>
      <c r="M14" s="235"/>
      <c r="N14" s="236"/>
      <c r="O14" s="184"/>
      <c r="P14" s="233"/>
      <c r="Q14" s="237" t="e">
        <f>INDEX(Запол!M:N,MATCH(P14,Запол!M:M,),MATCH("Дислокац эксп",Запол!$M$1:$N$1,))</f>
        <v>#N/A</v>
      </c>
      <c r="R14" s="238"/>
      <c r="S14" s="245"/>
    </row>
    <row r="17" spans="1:1" x14ac:dyDescent="0.2">
      <c r="A17" s="98" t="s">
        <v>618</v>
      </c>
    </row>
  </sheetData>
  <sheetProtection formatCells="0" formatColumns="0" formatRows="0" insertRows="0" deleteRows="0" sort="0" autoFilter="0" pivotTables="0"/>
  <phoneticPr fontId="14" type="noConversion"/>
  <dataValidations count="4">
    <dataValidation type="list" showInputMessage="1" showErrorMessage="1" errorTitle="НЕТ ТАКОЙ КОНТОРЫ !" error="Выбирай из списка !_x000a_" sqref="K8:K14">
      <formula1>Владелец</formula1>
    </dataValidation>
    <dataValidation type="list" showInputMessage="1" showErrorMessage="1" errorTitle="Не правильные данные ОГТН" error="Смотри в листе Срок" sqref="C2:C14">
      <formula1>ОГТН</formula1>
    </dataValidation>
    <dataValidation type="list" showInputMessage="1" showErrorMessage="1" error="НЕТ ТАКОЙ КОНТОРЫ !_x000a_посмотри в листе Запол" sqref="K2:K7">
      <formula1>Владелец</formula1>
    </dataValidation>
    <dataValidation type="list" showInputMessage="1" showErrorMessage="1" errorTitle="НЕТ ТАКОЙ КОНТОРЫ !" error="Выбирай из списка_x000a_" sqref="P2:P14">
      <formula1>Экспертная_организация</formula1>
    </dataValidation>
  </dataValidations>
  <pageMargins left="0.75" right="0.75" top="1" bottom="1" header="0.5" footer="0.5"/>
  <pageSetup paperSize="9" orientation="portrait" horizontalDpi="120" verticalDpi="14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59"/>
  <sheetViews>
    <sheetView workbookViewId="0">
      <selection activeCell="C15" sqref="C15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7" style="58" customWidth="1"/>
    <col min="6" max="6" width="5.42578125" style="58" customWidth="1"/>
    <col min="7" max="8" width="8.28515625" style="58" customWidth="1"/>
    <col min="9" max="9" width="11.28515625" style="58" customWidth="1"/>
    <col min="10" max="10" width="8.5703125" style="58" customWidth="1"/>
    <col min="11" max="11" width="7.7109375" style="58" customWidth="1"/>
    <col min="12" max="12" width="7.5703125" style="58" customWidth="1"/>
    <col min="13" max="13" width="6.140625" style="58" customWidth="1"/>
    <col min="14" max="14" width="6.5703125" style="58" customWidth="1"/>
    <col min="15" max="15" width="5" style="58" customWidth="1"/>
    <col min="16" max="16" width="5.28515625" style="58" customWidth="1"/>
    <col min="17" max="16384" width="9.140625" style="58"/>
  </cols>
  <sheetData>
    <row r="1" spans="1:16" x14ac:dyDescent="0.2">
      <c r="A1" s="52" t="s">
        <v>341</v>
      </c>
      <c r="C1" s="61"/>
      <c r="D1" s="62"/>
      <c r="H1" s="276" t="e">
        <f>INDEX(Запол!A:F,MATCH(P2,Запол!D:D,),MATCH("Шеф",Запол!$A$1:$F$1,))&amp;"у "&amp;INDEX(Заключение!#REF!,A2)</f>
        <v>#REF!</v>
      </c>
      <c r="I1" s="276"/>
      <c r="J1" s="276"/>
      <c r="K1" s="276"/>
      <c r="L1" s="276"/>
      <c r="M1" s="276"/>
      <c r="N1" s="276"/>
      <c r="O1" s="162"/>
    </row>
    <row r="2" spans="1:16" ht="23.25" customHeight="1" x14ac:dyDescent="0.2">
      <c r="A2" s="59">
        <v>4</v>
      </c>
      <c r="G2" s="162"/>
      <c r="H2" s="276"/>
      <c r="I2" s="276"/>
      <c r="J2" s="276"/>
      <c r="K2" s="276"/>
      <c r="L2" s="276"/>
      <c r="M2" s="276"/>
      <c r="N2" s="276"/>
      <c r="O2" s="162"/>
      <c r="P2" s="63" t="str">
        <f>INDEX(Заключение!K:K,A2)</f>
        <v>Аэродром 2</v>
      </c>
    </row>
    <row r="3" spans="1:16" ht="12.75" customHeight="1" x14ac:dyDescent="0.2">
      <c r="A3" s="59">
        <f>A2+1</f>
        <v>5</v>
      </c>
      <c r="B3" s="277" t="s">
        <v>548</v>
      </c>
      <c r="C3" s="277"/>
      <c r="D3" s="277"/>
      <c r="E3" s="277"/>
      <c r="F3" s="277"/>
      <c r="G3" s="61"/>
      <c r="H3" s="280" t="str">
        <f>INDEX(Заключение!L:L,A2)</f>
        <v>г. Казань</v>
      </c>
      <c r="I3" s="280"/>
      <c r="J3" s="280"/>
      <c r="K3" s="280"/>
      <c r="L3" s="280"/>
      <c r="M3" s="280"/>
      <c r="N3" s="280"/>
    </row>
    <row r="4" spans="1:16" ht="12.75" customHeight="1" x14ac:dyDescent="0.2">
      <c r="A4" s="59">
        <f>A3+1</f>
        <v>6</v>
      </c>
      <c r="B4" s="277" t="s">
        <v>646</v>
      </c>
      <c r="C4" s="277"/>
      <c r="D4" s="277"/>
      <c r="E4" s="277"/>
      <c r="F4" s="277"/>
      <c r="G4" s="61"/>
      <c r="H4" s="61"/>
      <c r="I4" s="163"/>
      <c r="J4" s="163"/>
      <c r="K4" s="163"/>
      <c r="L4" s="163"/>
      <c r="M4" s="163"/>
      <c r="N4" s="163"/>
      <c r="O4" s="163"/>
    </row>
    <row r="5" spans="1:16" ht="12.75" customHeight="1" x14ac:dyDescent="0.2">
      <c r="A5" s="59">
        <f t="shared" ref="A5:A18" si="0">A4+1</f>
        <v>7</v>
      </c>
      <c r="G5" s="163"/>
      <c r="H5" s="276" t="str">
        <f>INDEX(Запол!L:N,MATCH(P5,Запол!M:M,),MATCH("Шеф1",Запол!$L$1:$N$1,))&amp;" "&amp;INDEX(Заключение!P:P,A2)</f>
        <v>Генеральному директору ООО "ИНКОТЕС"</v>
      </c>
      <c r="I5" s="276"/>
      <c r="J5" s="276"/>
      <c r="K5" s="276"/>
      <c r="L5" s="276"/>
      <c r="M5" s="276"/>
      <c r="N5" s="276"/>
      <c r="O5" s="163"/>
      <c r="P5" s="63" t="str">
        <f>INDEX(Заключение!P:P,A2)</f>
        <v>ООО "ИНКОТЕС"</v>
      </c>
    </row>
    <row r="6" spans="1:16" ht="12.75" customHeight="1" x14ac:dyDescent="0.2">
      <c r="A6" s="59">
        <f t="shared" si="0"/>
        <v>8</v>
      </c>
      <c r="B6" s="278" t="s">
        <v>596</v>
      </c>
      <c r="C6" s="278"/>
      <c r="D6" s="278"/>
      <c r="E6" s="278"/>
      <c r="F6" s="278"/>
      <c r="G6" s="163"/>
      <c r="H6" s="276"/>
      <c r="I6" s="276"/>
      <c r="J6" s="276"/>
      <c r="K6" s="276"/>
      <c r="L6" s="276"/>
      <c r="M6" s="276"/>
      <c r="N6" s="276"/>
      <c r="O6" s="163"/>
    </row>
    <row r="7" spans="1:16" ht="12.75" customHeight="1" x14ac:dyDescent="0.2">
      <c r="A7" s="59">
        <f t="shared" si="0"/>
        <v>9</v>
      </c>
      <c r="B7" s="275" t="s">
        <v>654</v>
      </c>
      <c r="C7" s="275"/>
      <c r="D7" s="275"/>
      <c r="E7" s="275"/>
      <c r="F7" s="275"/>
      <c r="H7" s="281" t="str">
        <f>INDEX(Заключение!Q:Q,A2)</f>
        <v>603950, г. Нижний Новгород, ул. Бринского, д. 6</v>
      </c>
      <c r="I7" s="281"/>
      <c r="J7" s="281"/>
      <c r="K7" s="281"/>
      <c r="L7" s="281"/>
      <c r="M7" s="281"/>
      <c r="N7" s="281"/>
    </row>
    <row r="8" spans="1:16" ht="12.75" customHeight="1" x14ac:dyDescent="0.2">
      <c r="A8" s="59">
        <f t="shared" si="0"/>
        <v>10</v>
      </c>
      <c r="B8" s="277"/>
      <c r="C8" s="277"/>
      <c r="D8" s="277"/>
      <c r="E8" s="277"/>
      <c r="F8" s="277"/>
      <c r="H8" s="281"/>
      <c r="I8" s="281"/>
      <c r="J8" s="281"/>
      <c r="K8" s="281"/>
      <c r="L8" s="281"/>
      <c r="M8" s="281"/>
      <c r="N8" s="281"/>
    </row>
    <row r="9" spans="1:16" ht="12.75" customHeight="1" x14ac:dyDescent="0.2">
      <c r="A9" s="59">
        <f t="shared" si="0"/>
        <v>11</v>
      </c>
      <c r="B9" s="65" t="s">
        <v>475</v>
      </c>
      <c r="C9" s="279"/>
      <c r="D9" s="279"/>
      <c r="E9" s="279"/>
      <c r="F9" s="279"/>
    </row>
    <row r="10" spans="1:16" ht="12.75" customHeight="1" x14ac:dyDescent="0.2">
      <c r="A10" s="59">
        <f t="shared" si="0"/>
        <v>12</v>
      </c>
    </row>
    <row r="11" spans="1:16" ht="12.75" customHeight="1" x14ac:dyDescent="0.2">
      <c r="A11" s="59">
        <f t="shared" si="0"/>
        <v>13</v>
      </c>
    </row>
    <row r="12" spans="1:16" ht="12.75" customHeight="1" x14ac:dyDescent="0.2">
      <c r="A12" s="59">
        <f t="shared" si="0"/>
        <v>14</v>
      </c>
    </row>
    <row r="13" spans="1:16" ht="14.25" customHeight="1" x14ac:dyDescent="0.2">
      <c r="A13" s="59">
        <f t="shared" si="0"/>
        <v>15</v>
      </c>
      <c r="B13" s="273" t="str">
        <f>"          ООО «РОГА &amp; КОПЫТА» любезно соблаговолил рассмотреть заключение "&amp;INDEX(Q30:Q31,A36)</f>
        <v xml:space="preserve">          ООО «РОГА &amp; КОПЫТА» любезно соблаговолил рассмотреть заключение экспертизы промышленной безопасности представленное Аэродром 2, выполенное ООО "ИНКОТЕС" на следующие технические устройства: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</row>
    <row r="14" spans="1:16" ht="33.75" customHeight="1" x14ac:dyDescent="0.2">
      <c r="A14" s="59">
        <f t="shared" si="0"/>
        <v>16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</row>
    <row r="15" spans="1:16" ht="15.75" x14ac:dyDescent="0.25">
      <c r="A15" s="59">
        <f t="shared" si="0"/>
        <v>17</v>
      </c>
      <c r="B15" s="67"/>
      <c r="C15" s="67" t="str">
        <f>"1. "&amp;INDEX(Заключение!C:C,A2)&amp;", Рег. № "&amp;INDEX(Заключение!E:E,A2)&amp;", Зав. № "&amp;INDEX(Заключение!F:F,A2)</f>
        <v>1. КС-4562, Рег. № 1111, Зав. № 4118</v>
      </c>
      <c r="F15" s="67"/>
      <c r="G15" s="71"/>
      <c r="H15" s="72"/>
      <c r="I15" s="86"/>
      <c r="M15" s="67"/>
      <c r="N15" s="67"/>
      <c r="O15" s="66"/>
    </row>
    <row r="16" spans="1:16" ht="15.75" x14ac:dyDescent="0.25">
      <c r="A16" s="59">
        <f t="shared" si="0"/>
        <v>18</v>
      </c>
      <c r="B16" s="67"/>
      <c r="C16" s="67" t="str">
        <f>IF(INDEX(Заключение!C:C,A3)=0,"","2. "&amp;INDEX(Заключение!C:C,A3)&amp;", Рег. № "&amp;INDEX(Заключение!E:E,A3)&amp;", Зав. № "&amp;INDEX(Заключение!F:F,A3))</f>
        <v/>
      </c>
      <c r="F16" s="67"/>
      <c r="G16" s="71"/>
      <c r="H16" s="72"/>
      <c r="I16" s="86"/>
      <c r="M16" s="67"/>
      <c r="N16" s="67"/>
      <c r="O16" s="66"/>
    </row>
    <row r="17" spans="1:30" ht="15.75" x14ac:dyDescent="0.25">
      <c r="A17" s="59">
        <f t="shared" si="0"/>
        <v>19</v>
      </c>
      <c r="B17" s="67"/>
      <c r="C17" s="67" t="str">
        <f>IF(INDEX(Заключение!C:C,A4)=0,"","3. "&amp;INDEX(Заключение!C:C,A4)&amp;", Рег. № "&amp;INDEX(Заключение!E:E,A4)&amp;", Зав. № "&amp;INDEX(Заключение!F:F,A4))</f>
        <v/>
      </c>
      <c r="F17" s="67"/>
      <c r="G17" s="71"/>
      <c r="H17" s="72"/>
      <c r="I17" s="86"/>
      <c r="M17" s="67"/>
      <c r="N17" s="67"/>
      <c r="O17" s="66"/>
    </row>
    <row r="18" spans="1:30" ht="16.5" customHeight="1" x14ac:dyDescent="0.25">
      <c r="A18" s="59">
        <f t="shared" si="0"/>
        <v>20</v>
      </c>
      <c r="B18" s="67"/>
      <c r="C18" s="67" t="str">
        <f>IF(INDEX(Заключение!C:C,A5)=0,"","4. "&amp;INDEX(Заключение!C:C,A5)&amp;", Рег. № "&amp;INDEX(Заключение!E:E,A5)&amp;", Зав. № "&amp;INDEX(Заключение!F:F,A5))</f>
        <v/>
      </c>
      <c r="F18" s="67"/>
      <c r="G18" s="71"/>
      <c r="H18" s="72"/>
      <c r="I18" s="86"/>
      <c r="M18" s="67"/>
      <c r="N18" s="67"/>
      <c r="O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57"/>
    </row>
    <row r="19" spans="1:30" ht="15" customHeight="1" x14ac:dyDescent="0.25">
      <c r="B19" s="67"/>
      <c r="C19" s="67" t="str">
        <f>IF(INDEX(Заключение!C:C,A6)=0,"","5. "&amp;INDEX(Заключение!C:C,A6)&amp;", Рег. № "&amp;INDEX(Заключение!E:E,A6)&amp;", Зав. № "&amp;INDEX(Заключение!F:F,A6))</f>
        <v/>
      </c>
      <c r="F19" s="67"/>
      <c r="G19" s="71"/>
      <c r="H19" s="72"/>
      <c r="I19" s="86"/>
      <c r="M19" s="67"/>
      <c r="N19" s="67"/>
      <c r="O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57"/>
    </row>
    <row r="20" spans="1:30" ht="15.75" x14ac:dyDescent="0.25">
      <c r="B20" s="67"/>
      <c r="C20" s="67" t="str">
        <f>IF(INDEX(Заключение!C:C,A7)=0,"","6. "&amp;INDEX(Заключение!C:C,A7)&amp;", Рег. № "&amp;INDEX(Заключение!E:E,A7)&amp;", Зав. № "&amp;INDEX(Заключение!F:F,A7))</f>
        <v/>
      </c>
      <c r="F20" s="67"/>
      <c r="G20" s="71"/>
      <c r="H20" s="72"/>
      <c r="I20" s="86"/>
      <c r="M20" s="67"/>
      <c r="N20" s="67"/>
      <c r="O20" s="67"/>
    </row>
    <row r="21" spans="1:30" ht="15.75" x14ac:dyDescent="0.25">
      <c r="B21" s="67"/>
      <c r="C21" s="67" t="str">
        <f>IF(INDEX(Заключение!C:C,A8)=0,"","7. "&amp;INDEX(Заключение!C:C,A8)&amp;", Рег. № "&amp;INDEX(Заключение!E:E,A8)&amp;", Зав. № "&amp;INDEX(Заключение!F:F,A8))</f>
        <v/>
      </c>
      <c r="F21" s="67"/>
      <c r="G21" s="71"/>
      <c r="H21" s="72"/>
      <c r="I21" s="86"/>
      <c r="M21" s="67"/>
      <c r="N21" s="67"/>
      <c r="O21" s="67"/>
    </row>
    <row r="22" spans="1:30" ht="15.75" x14ac:dyDescent="0.25">
      <c r="B22" s="67"/>
      <c r="C22" s="67" t="str">
        <f>IF(INDEX(Заключение!C:C,A9)=0,"","8. "&amp;INDEX(Заключение!C:C,A9)&amp;", Рег. № "&amp;INDEX(Заключение!E:E,A9)&amp;", Зав. № "&amp;INDEX(Заключение!F:F,A9))</f>
        <v/>
      </c>
      <c r="F22" s="67"/>
      <c r="G22" s="71"/>
      <c r="H22" s="72"/>
      <c r="I22" s="86"/>
      <c r="M22" s="67"/>
      <c r="N22" s="67"/>
      <c r="O22" s="67"/>
    </row>
    <row r="23" spans="1:30" ht="15.75" x14ac:dyDescent="0.25">
      <c r="B23" s="67"/>
      <c r="C23" s="67" t="str">
        <f>IF(INDEX(Заключение!C:C,A10)=0,"","9. "&amp;INDEX(Заключение!C:C,A10)&amp;", Рег. № "&amp;INDEX(Заключение!E:E,A10)&amp;", Зав. № "&amp;INDEX(Заключение!F:F,A10))</f>
        <v/>
      </c>
      <c r="F23" s="67"/>
      <c r="G23" s="71"/>
      <c r="H23" s="72"/>
      <c r="I23" s="86"/>
      <c r="M23" s="67"/>
      <c r="N23" s="67"/>
      <c r="O23" s="67"/>
    </row>
    <row r="24" spans="1:30" ht="15.75" x14ac:dyDescent="0.25">
      <c r="B24" s="67"/>
      <c r="C24" s="67" t="str">
        <f>IF(INDEX(Заключение!C:C,A11)=0,"","10. "&amp;INDEX(Заключение!C:C,A11)&amp;", Рег. № "&amp;INDEX(Заключение!E:E,A11)&amp;", Зав. № "&amp;INDEX(Заключение!F:F,A11))</f>
        <v/>
      </c>
      <c r="F24" s="67"/>
      <c r="G24" s="71"/>
      <c r="H24" s="72"/>
      <c r="I24" s="86"/>
      <c r="M24" s="67"/>
      <c r="N24" s="67"/>
      <c r="O24" s="67"/>
    </row>
    <row r="25" spans="1:30" ht="15.75" x14ac:dyDescent="0.25">
      <c r="B25" s="67"/>
      <c r="C25" s="67" t="str">
        <f>IF(INDEX(Заключение!C:C,A12)=0,"","11. "&amp;INDEX(Заключение!C:C,A12)&amp;", Рег. № "&amp;INDEX(Заключение!E:E,A12)&amp;", Зав. № "&amp;INDEX(Заключение!F:F,A12))</f>
        <v/>
      </c>
      <c r="F25" s="67"/>
      <c r="G25" s="71"/>
      <c r="H25" s="72"/>
      <c r="I25" s="86"/>
      <c r="M25" s="67"/>
      <c r="N25" s="67"/>
      <c r="O25" s="67"/>
    </row>
    <row r="26" spans="1:30" ht="15.75" x14ac:dyDescent="0.25">
      <c r="B26" s="67"/>
      <c r="C26" s="67" t="str">
        <f>IF(INDEX(Заключение!C:C,A13)=0,"","12. "&amp;INDEX(Заключение!C:C,A13)&amp;", Рег. № "&amp;INDEX(Заключение!E:E,A13)&amp;", Зав. № "&amp;INDEX(Заключение!F:F,A13))</f>
        <v/>
      </c>
      <c r="F26" s="67"/>
      <c r="G26" s="71"/>
      <c r="H26" s="72"/>
      <c r="I26" s="86"/>
      <c r="M26" s="67"/>
      <c r="N26" s="67"/>
      <c r="O26" s="67"/>
    </row>
    <row r="27" spans="1:30" ht="15.75" x14ac:dyDescent="0.25">
      <c r="B27" s="67"/>
      <c r="C27" s="67" t="str">
        <f>IF(INDEX(Заключение!C:C,A14)=0,"","13. "&amp;INDEX(Заключение!C:C,A14)&amp;", Рег. № "&amp;INDEX(Заключение!E:E,A14)&amp;", Зав. № "&amp;INDEX(Заключение!F:F,A14))</f>
        <v/>
      </c>
      <c r="F27" s="67"/>
      <c r="G27" s="71"/>
      <c r="H27" s="72"/>
      <c r="I27" s="86"/>
      <c r="M27" s="67"/>
      <c r="N27" s="67"/>
      <c r="O27" s="67"/>
    </row>
    <row r="28" spans="1:30" ht="15.75" x14ac:dyDescent="0.25">
      <c r="B28" s="67"/>
      <c r="C28" s="67" t="str">
        <f>IF(INDEX(Заключение!C:C,A15)=0,"","14. "&amp;INDEX(Заключение!C:C,A15)&amp;", Рег. № "&amp;INDEX(Заключение!E:E,A15)&amp;", Зав. № "&amp;INDEX(Заключение!F:F,A15))</f>
        <v/>
      </c>
      <c r="F28" s="67"/>
      <c r="G28" s="71"/>
      <c r="H28" s="72"/>
      <c r="I28" s="86"/>
      <c r="M28" s="67"/>
      <c r="N28" s="67"/>
      <c r="O28" s="67"/>
    </row>
    <row r="29" spans="1:30" ht="15.75" x14ac:dyDescent="0.25">
      <c r="B29" s="67"/>
      <c r="C29" s="67" t="str">
        <f>IF(INDEX(Заключение!C:C,A16)=0,"","15. "&amp;INDEX(Заключение!C:C,A16)&amp;", Рег. № "&amp;INDEX(Заключение!E:E,A16)&amp;", Зав. № "&amp;INDEX(Заключение!F:F,A16))</f>
        <v/>
      </c>
      <c r="F29" s="67"/>
      <c r="G29" s="71"/>
      <c r="H29" s="72"/>
      <c r="I29" s="86"/>
      <c r="M29" s="67"/>
      <c r="N29" s="67"/>
      <c r="O29" s="67"/>
    </row>
    <row r="30" spans="1:30" ht="15.75" x14ac:dyDescent="0.25">
      <c r="C30" s="61"/>
      <c r="O30" s="67"/>
      <c r="P30" s="158">
        <v>1</v>
      </c>
      <c r="Q30" s="67" t="str">
        <f>"экспертизы промышленной безопасности представленное "&amp;P2&amp;", выполенное "&amp;P5&amp;" на следующие технические устройства:"</f>
        <v>экспертизы промышленной безопасности представленное Аэродром 2, выполенное ООО "ИНКОТЕС" на следующие технические устройства:</v>
      </c>
    </row>
    <row r="31" spans="1:30" ht="30.75" customHeight="1" x14ac:dyDescent="0.25">
      <c r="B31" s="274" t="s">
        <v>655</v>
      </c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67"/>
      <c r="P31" s="158">
        <v>2</v>
      </c>
      <c r="Q31" s="67" t="str">
        <f>"экспертизы безопасности по результатам технического диагностирования, представленное "&amp;P2&amp;", выполенное "&amp;P5&amp;" на следующие технические устройства:"</f>
        <v>экспертизы безопасности по результатам технического диагностирования, представленное Аэродром 2, выполенное ООО "ИНКОТЕС" на следующие технические устройства:</v>
      </c>
    </row>
    <row r="32" spans="1:30" ht="15.75" x14ac:dyDescent="0.25">
      <c r="B32" s="67"/>
      <c r="O32" s="67"/>
      <c r="P32" s="150">
        <v>1</v>
      </c>
      <c r="Q32" s="86" t="s">
        <v>428</v>
      </c>
    </row>
    <row r="33" spans="1:17" ht="15.75" x14ac:dyDescent="0.25">
      <c r="B33" s="128"/>
      <c r="C33" s="137" t="str">
        <f>IF(INDEX(Q32:Q33,A37)=0," ",INDEX(Q32:Q33,A37)&amp;" "&amp;COUNTA(C15:C29)-COUNTBLANK(C15:C29)&amp;" ед.")</f>
        <v>Приложение: Паспорт технического устройства и заключение 1 ед.</v>
      </c>
      <c r="E33" s="67"/>
      <c r="F33" s="67"/>
      <c r="G33" s="71"/>
      <c r="H33" s="72"/>
      <c r="I33" s="86"/>
      <c r="M33" s="67"/>
      <c r="N33" s="67"/>
      <c r="O33" s="66"/>
      <c r="P33" s="150">
        <v>2</v>
      </c>
      <c r="Q33" s="86"/>
    </row>
    <row r="34" spans="1:17" ht="15.75" x14ac:dyDescent="0.25">
      <c r="C34" s="68"/>
      <c r="P34" s="88">
        <v>1</v>
      </c>
      <c r="Q34" s="173" t="s">
        <v>582</v>
      </c>
    </row>
    <row r="35" spans="1:17" ht="15.75" x14ac:dyDescent="0.25">
      <c r="B35" s="29" t="str">
        <f>INDEX(Q34:Q35,A40)</f>
        <v>ДИРЕКТОР ООО «РОГА &amp; КОПЫТА»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67"/>
      <c r="P35" s="88">
        <v>2</v>
      </c>
      <c r="Q35" s="173" t="s">
        <v>583</v>
      </c>
    </row>
    <row r="36" spans="1:17" ht="15.75" x14ac:dyDescent="0.25">
      <c r="A36" s="158">
        <v>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47"/>
      <c r="P36" s="88"/>
      <c r="Q36" s="86"/>
    </row>
    <row r="37" spans="1:17" ht="15.75" x14ac:dyDescent="0.25">
      <c r="A37" s="150">
        <v>1</v>
      </c>
      <c r="N37" s="126" t="str">
        <f>INDEX(Q40:Q46,A42)</f>
        <v>И.Иванов</v>
      </c>
    </row>
    <row r="38" spans="1:17" ht="15.75" x14ac:dyDescent="0.25">
      <c r="O38" s="29"/>
      <c r="P38" s="87">
        <v>1</v>
      </c>
      <c r="Q38" s="86"/>
    </row>
    <row r="39" spans="1:17" x14ac:dyDescent="0.2">
      <c r="P39" s="87">
        <v>2</v>
      </c>
      <c r="Q39" s="86"/>
    </row>
    <row r="40" spans="1:17" x14ac:dyDescent="0.2">
      <c r="A40" s="88">
        <v>1</v>
      </c>
      <c r="P40" s="89">
        <v>1</v>
      </c>
      <c r="Q40" s="173" t="s">
        <v>584</v>
      </c>
    </row>
    <row r="41" spans="1:17" ht="12.75" customHeight="1" x14ac:dyDescent="0.2">
      <c r="A41" s="87"/>
      <c r="P41" s="89">
        <v>2</v>
      </c>
      <c r="Q41" s="173" t="s">
        <v>585</v>
      </c>
    </row>
    <row r="42" spans="1:17" x14ac:dyDescent="0.2">
      <c r="A42" s="89">
        <v>1</v>
      </c>
      <c r="P42" s="89">
        <v>3</v>
      </c>
      <c r="Q42" s="173" t="s">
        <v>586</v>
      </c>
    </row>
    <row r="43" spans="1:17" x14ac:dyDescent="0.2">
      <c r="P43" s="89">
        <v>4</v>
      </c>
      <c r="Q43" s="86"/>
    </row>
    <row r="44" spans="1:17" x14ac:dyDescent="0.2">
      <c r="P44" s="89">
        <v>5</v>
      </c>
      <c r="Q44" s="86"/>
    </row>
    <row r="45" spans="1:17" x14ac:dyDescent="0.2">
      <c r="P45" s="89">
        <v>6</v>
      </c>
    </row>
    <row r="46" spans="1:17" x14ac:dyDescent="0.2">
      <c r="P46" s="89">
        <v>7</v>
      </c>
    </row>
    <row r="49" spans="1:11" x14ac:dyDescent="0.2">
      <c r="A49" s="173"/>
    </row>
    <row r="50" spans="1:11" x14ac:dyDescent="0.2">
      <c r="A50" s="173"/>
      <c r="K50" s="173"/>
    </row>
    <row r="51" spans="1:11" x14ac:dyDescent="0.2">
      <c r="A51" s="173"/>
    </row>
    <row r="52" spans="1:11" x14ac:dyDescent="0.2">
      <c r="A52" s="173"/>
      <c r="H52" s="173"/>
    </row>
    <row r="53" spans="1:11" x14ac:dyDescent="0.2">
      <c r="A53" s="173"/>
    </row>
    <row r="54" spans="1:11" x14ac:dyDescent="0.2">
      <c r="H54" s="173"/>
    </row>
    <row r="55" spans="1:11" x14ac:dyDescent="0.2">
      <c r="A55" s="173"/>
    </row>
    <row r="57" spans="1:11" x14ac:dyDescent="0.2">
      <c r="A57" s="173"/>
    </row>
    <row r="59" spans="1:11" x14ac:dyDescent="0.2">
      <c r="A59" s="173"/>
    </row>
  </sheetData>
  <mergeCells count="12">
    <mergeCell ref="B13:N14"/>
    <mergeCell ref="B31:N31"/>
    <mergeCell ref="B7:F7"/>
    <mergeCell ref="H1:N2"/>
    <mergeCell ref="B4:F4"/>
    <mergeCell ref="B6:F6"/>
    <mergeCell ref="H5:N6"/>
    <mergeCell ref="C9:F9"/>
    <mergeCell ref="B8:F8"/>
    <mergeCell ref="H3:N3"/>
    <mergeCell ref="B3:F3"/>
    <mergeCell ref="H7:N8"/>
  </mergeCells>
  <phoneticPr fontId="2" type="noConversion"/>
  <pageMargins left="0.84" right="0.23622047244094491" top="0.55000000000000004" bottom="0.8" header="0.51181102362204722" footer="0.4"/>
  <pageSetup paperSize="9" scale="34" orientation="portrait" horizontalDpi="4294967293" r:id="rId1"/>
  <headerFooter alignWithMargins="0">
    <oddFooter>&amp;L&amp;8Исп. Главный инспектор А. Александров
тел.: (846) 339-98-98
email: ogtn967@yandex.ru</oddFooter>
  </headerFooter>
  <cellWatches>
    <cellWatch r="J1"/>
  </cellWatch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S43"/>
  <sheetViews>
    <sheetView workbookViewId="0">
      <pane ySplit="1" topLeftCell="A3" activePane="bottomLeft" state="frozen"/>
      <selection activeCell="E3836" sqref="E3836"/>
      <selection pane="bottomLeft" activeCell="G15" sqref="G15"/>
    </sheetView>
  </sheetViews>
  <sheetFormatPr defaultRowHeight="12.75" x14ac:dyDescent="0.2"/>
  <cols>
    <col min="1" max="1" width="5.5703125" style="30" customWidth="1"/>
    <col min="2" max="2" width="8.42578125" style="30" customWidth="1"/>
    <col min="3" max="3" width="19.140625" style="177" customWidth="1"/>
    <col min="4" max="4" width="10.85546875" style="30" customWidth="1"/>
    <col min="5" max="5" width="14" style="30" customWidth="1"/>
    <col min="6" max="6" width="5.85546875" style="179" customWidth="1"/>
    <col min="7" max="7" width="13.5703125" style="180" customWidth="1"/>
    <col min="8" max="8" width="5.85546875" style="30" customWidth="1"/>
    <col min="9" max="11" width="6.7109375" style="30" customWidth="1"/>
    <col min="12" max="12" width="7.140625" style="145" customWidth="1"/>
    <col min="13" max="13" width="17.5703125" style="30" customWidth="1"/>
    <col min="14" max="14" width="8.5703125" style="178" customWidth="1"/>
    <col min="15" max="15" width="10.28515625" style="30" customWidth="1"/>
    <col min="16" max="16" width="7.5703125" style="181" customWidth="1"/>
    <col min="17" max="17" width="2" style="30" customWidth="1"/>
    <col min="18" max="16384" width="9.140625" style="30"/>
  </cols>
  <sheetData>
    <row r="1" spans="1:19" s="51" customFormat="1" ht="25.5" customHeight="1" x14ac:dyDescent="0.2">
      <c r="A1" s="47" t="s">
        <v>318</v>
      </c>
      <c r="B1" s="48" t="s">
        <v>622</v>
      </c>
      <c r="C1" s="48" t="s">
        <v>127</v>
      </c>
      <c r="D1" s="49" t="s">
        <v>621</v>
      </c>
      <c r="E1" s="49" t="s">
        <v>634</v>
      </c>
      <c r="F1" s="138" t="s">
        <v>231</v>
      </c>
      <c r="G1" s="49" t="s">
        <v>232</v>
      </c>
      <c r="H1" s="49" t="s">
        <v>233</v>
      </c>
      <c r="I1" s="50" t="s">
        <v>234</v>
      </c>
      <c r="J1" s="50" t="s">
        <v>276</v>
      </c>
      <c r="K1" s="50" t="s">
        <v>235</v>
      </c>
      <c r="L1" s="7" t="s">
        <v>277</v>
      </c>
      <c r="M1" s="217" t="s">
        <v>236</v>
      </c>
      <c r="N1" s="47"/>
      <c r="O1" s="50" t="s">
        <v>445</v>
      </c>
      <c r="P1" s="50" t="s">
        <v>609</v>
      </c>
      <c r="R1" s="144">
        <f>SUBTOTAL(3,N2:N101)</f>
        <v>42</v>
      </c>
      <c r="S1" s="141" t="s">
        <v>317</v>
      </c>
    </row>
    <row r="2" spans="1:19" customFormat="1" x14ac:dyDescent="0.2">
      <c r="A2" s="1">
        <v>1</v>
      </c>
      <c r="B2" s="77" t="str">
        <f>INDEX(Запол!$A$1:$F$14,MATCH(C2,Запол!$D$1:$D$14,),MATCH("отчет",Запол!$A$1:$F$1,))</f>
        <v>АНО</v>
      </c>
      <c r="C2" s="78" t="s">
        <v>544</v>
      </c>
      <c r="D2" s="77" t="str">
        <f>INDEX(Запол!$D$1:$F$14,MATCH(C2,Запол!$D$1:$D$14,),MATCH("Место",Запол!$D$1:$F$1,))</f>
        <v>г. Кошкино</v>
      </c>
      <c r="E2" s="11" t="s">
        <v>322</v>
      </c>
      <c r="F2" s="125">
        <v>1042</v>
      </c>
      <c r="G2" s="6" t="s">
        <v>158</v>
      </c>
      <c r="H2" s="6" t="s">
        <v>161</v>
      </c>
      <c r="I2" s="9">
        <v>40533</v>
      </c>
      <c r="J2" s="7">
        <v>41974</v>
      </c>
      <c r="K2" s="7">
        <v>41974</v>
      </c>
      <c r="L2" s="7" t="e">
        <f ca="1">IF(_xlfn.MAXIFS(Заключение!R$3:R$15023,Заключение!D$3:D$15023,E2,Заключение!F$3:F$15023,G2)=0,EDATE(I2,INDEX(Срок!$A$1:$F$3137,MATCH(E2,Срок!$A$1:$A$3137,),MATCH("Срок",Срок!$A$1:$F$1,))),_xlfn.MAXIFS(Заключение!R$3:R$15023,Заключение!D$3:D$15023,E2,Заключение!F$3:F$15023,G2))</f>
        <v>#NAME?</v>
      </c>
      <c r="M2" s="10" t="e">
        <f ca="1">IF(L2&lt;база!T$1,"требует ЭО","")</f>
        <v>#NAME?</v>
      </c>
      <c r="N2" s="146" t="str">
        <f>INDEX(Срок!$A$1:$F$315,MATCH(E2,Срок!$A$1:$A$315,),MATCH("Назначен",Срок!$A$1:$F$1,))</f>
        <v>гпм</v>
      </c>
      <c r="O2" s="115"/>
      <c r="P2" s="111">
        <v>40198</v>
      </c>
      <c r="Q2" s="2"/>
    </row>
    <row r="3" spans="1:19" customFormat="1" x14ac:dyDescent="0.2">
      <c r="A3" s="1">
        <v>2</v>
      </c>
      <c r="B3" s="77" t="str">
        <f>INDEX(Запол!$A$1:$F$14,MATCH(C3,Запол!$D$1:$D$14,),MATCH("отчет",Запол!$A$1:$F$1,))</f>
        <v>АНО</v>
      </c>
      <c r="C3" s="5" t="s">
        <v>544</v>
      </c>
      <c r="D3" s="77" t="str">
        <f>INDEX(Запол!$D$1:$F$14,MATCH(C3,Запол!$D$1:$D$14,),MATCH("Место",Запол!$D$1:$F$1,))</f>
        <v>г. Кошкино</v>
      </c>
      <c r="E3" s="11" t="s">
        <v>37</v>
      </c>
      <c r="F3" s="125">
        <v>1081</v>
      </c>
      <c r="G3" s="6" t="s">
        <v>262</v>
      </c>
      <c r="H3" s="6">
        <v>1981</v>
      </c>
      <c r="I3" s="9">
        <v>29740</v>
      </c>
      <c r="J3" s="7"/>
      <c r="K3" s="7"/>
      <c r="L3" s="7" t="e">
        <f ca="1">IF(_xlfn.MAXIFS(Заключение!R$3:R$15023,Заключение!D$3:D$15023,E3,Заключение!F$3:F$15023,G3)=0,EDATE(I3,INDEX(Срок!$A$1:$F$3137,MATCH(E3,Срок!$A$1:$A$3137,),MATCH("Срок",Срок!$A$1:$F$1,))),_xlfn.MAXIFS(Заключение!R$3:R$15023,Заключение!D$3:D$15023,E3,Заключение!F$3:F$15023,G3))</f>
        <v>#NAME?</v>
      </c>
      <c r="M3" s="10" t="e">
        <f ca="1">IF(L3&lt;база!T$1,"требует ЭО","")</f>
        <v>#NAME?</v>
      </c>
      <c r="N3" s="146" t="str">
        <f>INDEX(Срок!$A$1:$F$315,MATCH(E3,Срок!$A$1:$A$315,),MATCH("Назначен",Срок!$A$1:$F$1,))</f>
        <v>котел</v>
      </c>
      <c r="O3" s="115"/>
      <c r="P3" s="111">
        <v>31067</v>
      </c>
      <c r="Q3" s="2"/>
    </row>
    <row r="4" spans="1:19" customFormat="1" x14ac:dyDescent="0.2">
      <c r="A4" s="1">
        <v>3</v>
      </c>
      <c r="B4" s="77" t="str">
        <f>INDEX(Запол!$A$1:$F$14,MATCH(C4,Запол!$D$1:$D$14,),MATCH("отчет",Запол!$A$1:$F$1,))</f>
        <v>ИП</v>
      </c>
      <c r="C4" s="78" t="s">
        <v>552</v>
      </c>
      <c r="D4" s="77" t="str">
        <f>INDEX(Запол!$D$1:$F$14,MATCH(C4,Запол!$D$1:$D$14,),MATCH("Место",Запол!$D$1:$F$1,))</f>
        <v>г. Саратов</v>
      </c>
      <c r="E4" s="11" t="s">
        <v>103</v>
      </c>
      <c r="F4" s="125">
        <v>1043</v>
      </c>
      <c r="G4" s="6" t="s">
        <v>261</v>
      </c>
      <c r="H4" s="6" t="s">
        <v>161</v>
      </c>
      <c r="I4" s="9">
        <v>40533</v>
      </c>
      <c r="J4" s="7">
        <v>41974</v>
      </c>
      <c r="K4" s="7">
        <v>41974</v>
      </c>
      <c r="L4" s="7" t="e">
        <f ca="1">IF(_xlfn.MAXIFS(Заключение!R$3:R$15023,Заключение!D$3:D$15023,E4,Заключение!F$3:F$15023,G4)=0,EDATE(I4,INDEX(Срок!$A$1:$F$3137,MATCH(E4,Срок!$A$1:$A$3137,),MATCH("Срок",Срок!$A$1:$F$1,))),_xlfn.MAXIFS(Заключение!R$3:R$15023,Заключение!D$3:D$15023,E4,Заключение!F$3:F$15023,G4))</f>
        <v>#NAME?</v>
      </c>
      <c r="M4" s="10" t="e">
        <f ca="1">IF(L4&lt;база!T$1,"требует ЭО","")</f>
        <v>#NAME?</v>
      </c>
      <c r="N4" s="13" t="str">
        <f>INDEX(Срок!$A$1:$F$315,MATCH(E4,Срок!$A$1:$A$315,),MATCH("Назначен",Срок!$A$1:$F$1,))</f>
        <v>гпм</v>
      </c>
      <c r="O4" s="115"/>
      <c r="P4" s="111">
        <v>40546</v>
      </c>
      <c r="Q4" s="2"/>
    </row>
    <row r="5" spans="1:19" customFormat="1" x14ac:dyDescent="0.2">
      <c r="A5" s="1">
        <v>4</v>
      </c>
      <c r="B5" s="77" t="str">
        <f>INDEX(Запол!$A$1:$F$14,MATCH(C5,Запол!$D$1:$D$14,),MATCH("отчет",Запол!$A$1:$F$1,))</f>
        <v>ИП</v>
      </c>
      <c r="C5" s="78" t="s">
        <v>552</v>
      </c>
      <c r="D5" s="77" t="str">
        <f>INDEX(Запол!$D$1:$F$14,MATCH(C5,Запол!$D$1:$D$14,),MATCH("Место",Запол!$D$1:$F$1,))</f>
        <v>г. Саратов</v>
      </c>
      <c r="E5" s="11" t="s">
        <v>284</v>
      </c>
      <c r="F5" s="125">
        <v>739</v>
      </c>
      <c r="G5" s="6" t="s">
        <v>509</v>
      </c>
      <c r="H5" s="6" t="s">
        <v>314</v>
      </c>
      <c r="I5" s="9">
        <v>33208</v>
      </c>
      <c r="J5" s="7"/>
      <c r="K5" s="7"/>
      <c r="L5" s="7" t="e">
        <f ca="1">IF(_xlfn.MAXIFS(Заключение!R$3:R$15023,Заключение!D$3:D$15023,E5,Заключение!F$3:F$15023,G5)=0,EDATE(I5,INDEX(Срок!$A$1:$F$3137,MATCH(E5,Срок!$A$1:$A$3137,),MATCH("Срок",Срок!$A$1:$F$1,))),_xlfn.MAXIFS(Заключение!R$3:R$15023,Заключение!D$3:D$15023,E5,Заключение!F$3:F$15023,G5))</f>
        <v>#NAME?</v>
      </c>
      <c r="M5" s="10" t="e">
        <f ca="1">IF(L5&lt;база!T$1,"требует ЭО","")</f>
        <v>#NAME?</v>
      </c>
      <c r="N5" s="13" t="str">
        <f>INDEX(Срок!$A$1:$F$315,MATCH(E5,Срок!$A$1:$A$315,),MATCH("Назначен",Срок!$A$1:$F$1,))</f>
        <v>гпм</v>
      </c>
      <c r="O5" s="115"/>
      <c r="P5" s="111">
        <v>33268</v>
      </c>
      <c r="Q5" s="2"/>
    </row>
    <row r="6" spans="1:19" customFormat="1" x14ac:dyDescent="0.2">
      <c r="A6" s="1">
        <v>5</v>
      </c>
      <c r="B6" s="77" t="str">
        <f>INDEX(Запол!$A$1:$F$14,MATCH(C6,Запол!$D$1:$D$14,),MATCH("отчет",Запол!$A$1:$F$1,))</f>
        <v>ИП</v>
      </c>
      <c r="C6" s="5" t="s">
        <v>552</v>
      </c>
      <c r="D6" s="77" t="str">
        <f>INDEX(Запол!$D$1:$F$14,MATCH(C6,Запол!$D$1:$D$14,),MATCH("Место",Запол!$D$1:$F$1,))</f>
        <v>г. Саратов</v>
      </c>
      <c r="E6" s="11" t="s">
        <v>218</v>
      </c>
      <c r="F6" s="125">
        <v>224</v>
      </c>
      <c r="G6" s="6" t="s">
        <v>67</v>
      </c>
      <c r="H6" s="6">
        <v>1998</v>
      </c>
      <c r="I6" s="9">
        <v>35796</v>
      </c>
      <c r="J6" s="7">
        <v>39114</v>
      </c>
      <c r="K6" s="7">
        <v>39114</v>
      </c>
      <c r="L6" s="7" t="e">
        <f ca="1">IF(_xlfn.MAXIFS(Заключение!R$3:R$15023,Заключение!D$3:D$15023,E6,Заключение!F$3:F$15023,G6)=0,EDATE(I6,INDEX(Срок!$A$1:$F$3137,MATCH(E6,Срок!$A$1:$A$3137,),MATCH("Срок",Срок!$A$1:$F$1,))),_xlfn.MAXIFS(Заключение!R$3:R$15023,Заключение!D$3:D$15023,E6,Заключение!F$3:F$15023,G6))</f>
        <v>#NAME?</v>
      </c>
      <c r="M6" s="10" t="e">
        <f ca="1">IF(L6&lt;база!T$1,"требует ЭО","")</f>
        <v>#NAME?</v>
      </c>
      <c r="N6" s="13" t="str">
        <f>INDEX(Срок!$A$1:$F$315,MATCH(E6,Срок!$A$1:$A$315,),MATCH("Назначен",Срок!$A$1:$F$1,))</f>
        <v>вышка</v>
      </c>
      <c r="O6" s="115"/>
      <c r="P6" s="111">
        <v>41659</v>
      </c>
      <c r="Q6" s="2"/>
    </row>
    <row r="7" spans="1:19" customFormat="1" x14ac:dyDescent="0.2">
      <c r="A7" s="1">
        <v>6</v>
      </c>
      <c r="B7" s="77" t="str">
        <f>INDEX(Запол!$A$1:$F$14,MATCH(C7,Запол!$D$1:$D$14,),MATCH("отчет",Запол!$A$1:$F$1,))</f>
        <v>ИП</v>
      </c>
      <c r="C7" s="5" t="s">
        <v>552</v>
      </c>
      <c r="D7" s="77" t="str">
        <f>INDEX(Запол!$D$1:$F$14,MATCH(C7,Запол!$D$1:$D$14,),MATCH("Место",Запол!$D$1:$F$1,))</f>
        <v>г. Саратов</v>
      </c>
      <c r="E7" s="11" t="s">
        <v>218</v>
      </c>
      <c r="F7" s="125">
        <v>1079</v>
      </c>
      <c r="G7" s="6" t="s">
        <v>364</v>
      </c>
      <c r="H7" s="6">
        <v>2009</v>
      </c>
      <c r="I7" s="9">
        <v>39963</v>
      </c>
      <c r="J7" s="7"/>
      <c r="K7" s="7"/>
      <c r="L7" s="7" t="e">
        <f ca="1">IF(_xlfn.MAXIFS(Заключение!R$3:R$15023,Заключение!D$3:D$15023,E7,Заключение!F$3:F$15023,G7)=0,EDATE(I7,INDEX(Срок!$A$1:$F$3137,MATCH(E7,Срок!$A$1:$A$3137,),MATCH("Срок",Срок!$A$1:$F$1,))),_xlfn.MAXIFS(Заключение!R$3:R$15023,Заключение!D$3:D$15023,E7,Заключение!F$3:F$15023,G7))</f>
        <v>#NAME?</v>
      </c>
      <c r="M7" s="10" t="e">
        <f ca="1">IF(L7&lt;база!T$1,"требует ЭО","")</f>
        <v>#NAME?</v>
      </c>
      <c r="N7" s="13" t="str">
        <f>INDEX(Срок!$A$1:$F$315,MATCH(E7,Срок!$A$1:$A$315,),MATCH("Назначен",Срок!$A$1:$F$1,))</f>
        <v>вышка</v>
      </c>
      <c r="O7" s="115"/>
      <c r="P7" s="111">
        <v>41659</v>
      </c>
      <c r="Q7" s="2"/>
    </row>
    <row r="8" spans="1:19" customFormat="1" x14ac:dyDescent="0.2">
      <c r="A8" s="1">
        <v>7</v>
      </c>
      <c r="B8" s="77" t="str">
        <f>INDEX(Запол!$A$1:$F$14,MATCH(C8,Запол!$D$1:$D$14,),MATCH("отчет",Запол!$A$1:$F$1,))</f>
        <v>МУ</v>
      </c>
      <c r="C8" s="5" t="s">
        <v>556</v>
      </c>
      <c r="D8" s="77" t="str">
        <f>INDEX(Запол!$D$1:$F$14,MATCH(C8,Запол!$D$1:$D$14,),MATCH("Место",Запол!$D$1:$F$1,))</f>
        <v>г. Вольск</v>
      </c>
      <c r="E8" s="11" t="s">
        <v>166</v>
      </c>
      <c r="F8" s="125">
        <v>8</v>
      </c>
      <c r="G8" s="6" t="s">
        <v>321</v>
      </c>
      <c r="H8" s="6">
        <v>1989</v>
      </c>
      <c r="I8" s="9">
        <v>32670</v>
      </c>
      <c r="J8" s="7"/>
      <c r="K8" s="7"/>
      <c r="L8" s="7" t="e">
        <f ca="1">IF(_xlfn.MAXIFS(Заключение!R$3:R$15023,Заключение!D$3:D$15023,E8,Заключение!F$3:F$15023,G8)=0,EDATE(I8,INDEX(Срок!$A$1:$F$3137,MATCH(E8,Срок!$A$1:$A$3137,),MATCH("Срок",Срок!$A$1:$F$1,))),_xlfn.MAXIFS(Заключение!R$3:R$15023,Заключение!D$3:D$15023,E8,Заключение!F$3:F$15023,G8))</f>
        <v>#NAME?</v>
      </c>
      <c r="M8" s="10" t="e">
        <f ca="1">IF(L8&lt;база!T$1,"требует ЭО","")</f>
        <v>#NAME?</v>
      </c>
      <c r="N8" s="13" t="str">
        <f>INDEX(Срок!$A$1:$F$315,MATCH(E8,Срок!$A$1:$A$315,),MATCH("Назначен",Срок!$A$1:$F$1,))</f>
        <v>сосуд</v>
      </c>
      <c r="O8" s="115"/>
      <c r="P8" s="111">
        <v>41659</v>
      </c>
      <c r="Q8" s="2"/>
    </row>
    <row r="9" spans="1:19" customFormat="1" x14ac:dyDescent="0.2">
      <c r="A9" s="1">
        <v>8</v>
      </c>
      <c r="B9" s="77" t="str">
        <f>INDEX(Запол!$A$1:$F$14,MATCH(C9,Запол!$D$1:$D$14,),MATCH("отчет",Запол!$A$1:$F$1,))</f>
        <v>МУ</v>
      </c>
      <c r="C9" s="5" t="s">
        <v>556</v>
      </c>
      <c r="D9" s="77" t="str">
        <f>INDEX(Запол!$D$1:$F$14,MATCH(C9,Запол!$D$1:$D$14,),MATCH("Место",Запол!$D$1:$F$1,))</f>
        <v>г. Вольск</v>
      </c>
      <c r="E9" s="11" t="s">
        <v>502</v>
      </c>
      <c r="F9" s="125">
        <v>9</v>
      </c>
      <c r="G9" s="6" t="s">
        <v>436</v>
      </c>
      <c r="H9" s="6" t="s">
        <v>314</v>
      </c>
      <c r="I9" s="9">
        <v>33025</v>
      </c>
      <c r="J9" s="7"/>
      <c r="K9" s="7"/>
      <c r="L9" s="7" t="e">
        <f ca="1">IF(_xlfn.MAXIFS(Заключение!R$3:R$15023,Заключение!D$3:D$15023,E9,Заключение!F$3:F$15023,G9)=0,EDATE(I9,INDEX(Срок!$A$1:$F$3137,MATCH(E9,Срок!$A$1:$A$3137,),MATCH("Срок",Срок!$A$1:$F$1,))),_xlfn.MAXIFS(Заключение!R$3:R$15023,Заключение!D$3:D$15023,E9,Заключение!F$3:F$15023,G9))</f>
        <v>#NAME?</v>
      </c>
      <c r="M9" s="10" t="e">
        <f ca="1">IF(L9&lt;база!T$1,"требует ЭО","")</f>
        <v>#NAME?</v>
      </c>
      <c r="N9" s="13" t="str">
        <f>INDEX(Срок!$A$1:$F$315,MATCH(E9,Срок!$A$1:$A$315,),MATCH("Назначен",Срок!$A$1:$F$1,))</f>
        <v>сосуд</v>
      </c>
      <c r="O9" s="115"/>
      <c r="P9" s="111">
        <v>41659</v>
      </c>
      <c r="Q9" s="2"/>
    </row>
    <row r="10" spans="1:19" customFormat="1" x14ac:dyDescent="0.2">
      <c r="A10" s="1">
        <v>9</v>
      </c>
      <c r="B10" s="77" t="str">
        <f>INDEX(Запол!$A$1:$F$14,MATCH(C10,Запол!$D$1:$D$14,),MATCH("отчет",Запол!$A$1:$F$1,))</f>
        <v>МУ</v>
      </c>
      <c r="C10" s="5" t="s">
        <v>556</v>
      </c>
      <c r="D10" s="77" t="str">
        <f>INDEX(Запол!$D$1:$F$14,MATCH(C10,Запол!$D$1:$D$14,),MATCH("Место",Запол!$D$1:$F$1,))</f>
        <v>г. Вольск</v>
      </c>
      <c r="E10" s="11" t="s">
        <v>366</v>
      </c>
      <c r="F10" s="125">
        <v>145</v>
      </c>
      <c r="G10" s="6" t="s">
        <v>267</v>
      </c>
      <c r="H10" s="6">
        <v>1984</v>
      </c>
      <c r="I10" s="9">
        <v>33878</v>
      </c>
      <c r="J10" s="7"/>
      <c r="K10" s="7"/>
      <c r="L10" s="7" t="e">
        <f ca="1">IF(_xlfn.MAXIFS(Заключение!R$3:R$15023,Заключение!D$3:D$15023,E10,Заключение!F$3:F$15023,G10)=0,EDATE(I10,INDEX(Срок!$A$1:$F$3137,MATCH(E10,Срок!$A$1:$A$3137,),MATCH("Срок",Срок!$A$1:$F$1,))),_xlfn.MAXIFS(Заключение!R$3:R$15023,Заключение!D$3:D$15023,E10,Заключение!F$3:F$15023,G10))</f>
        <v>#NAME?</v>
      </c>
      <c r="M10" s="10" t="e">
        <f ca="1">IF(L10&lt;база!T$1,"требует ЭО","")</f>
        <v>#NAME?</v>
      </c>
      <c r="N10" s="13" t="str">
        <f>INDEX(Срок!$A$1:$F$315,MATCH(E10,Срок!$A$1:$A$315,),MATCH("Назначен",Срок!$A$1:$F$1,))</f>
        <v>лифт</v>
      </c>
      <c r="O10" s="115"/>
      <c r="P10" s="111">
        <v>41659</v>
      </c>
      <c r="Q10" s="2"/>
    </row>
    <row r="11" spans="1:19" customFormat="1" x14ac:dyDescent="0.2">
      <c r="A11" s="1">
        <v>10</v>
      </c>
      <c r="B11" s="77" t="str">
        <f>INDEX(Запол!$A$1:$F$14,MATCH(C11,Запол!$D$1:$D$14,),MATCH("отчет",Запол!$A$1:$F$1,))</f>
        <v>МУ</v>
      </c>
      <c r="C11" s="5" t="s">
        <v>556</v>
      </c>
      <c r="D11" s="77" t="str">
        <f>INDEX(Запол!$D$1:$F$14,MATCH(C11,Запол!$D$1:$D$14,),MATCH("Место",Запол!$D$1:$F$1,))</f>
        <v>г. Вольск</v>
      </c>
      <c r="E11" s="11" t="s">
        <v>366</v>
      </c>
      <c r="F11" s="125">
        <v>148</v>
      </c>
      <c r="G11" s="6" t="s">
        <v>268</v>
      </c>
      <c r="H11" s="6">
        <v>1985</v>
      </c>
      <c r="I11" s="9">
        <v>34243</v>
      </c>
      <c r="J11" s="7"/>
      <c r="K11" s="7"/>
      <c r="L11" s="7" t="e">
        <f ca="1">IF(_xlfn.MAXIFS(Заключение!R$3:R$15023,Заключение!D$3:D$15023,E11,Заключение!F$3:F$15023,G11)=0,EDATE(I11,INDEX(Срок!$A$1:$F$3137,MATCH(E11,Срок!$A$1:$A$3137,),MATCH("Срок",Срок!$A$1:$F$1,))),_xlfn.MAXIFS(Заключение!R$3:R$15023,Заключение!D$3:D$15023,E11,Заключение!F$3:F$15023,G11))</f>
        <v>#NAME?</v>
      </c>
      <c r="M11" s="10" t="e">
        <f ca="1">IF(L11&lt;база!T$1,"требует ЭО","")</f>
        <v>#NAME?</v>
      </c>
      <c r="N11" s="13" t="str">
        <f>INDEX(Срок!$A$1:$F$315,MATCH(E11,Срок!$A$1:$A$315,),MATCH("Назначен",Срок!$A$1:$F$1,))</f>
        <v>лифт</v>
      </c>
      <c r="O11" s="115"/>
      <c r="P11" s="111">
        <v>41659</v>
      </c>
      <c r="Q11" s="2"/>
    </row>
    <row r="12" spans="1:19" x14ac:dyDescent="0.2">
      <c r="A12" s="1">
        <v>11</v>
      </c>
      <c r="B12" s="77" t="str">
        <f>INDEX(Запол!$A$1:$F$14,MATCH(C12,Запол!$D$1:$D$14,),MATCH("отчет",Запол!$A$1:$F$1,))</f>
        <v>МУ</v>
      </c>
      <c r="C12" s="5" t="s">
        <v>556</v>
      </c>
      <c r="D12" s="77" t="str">
        <f>INDEX(Запол!$D$1:$F$14,MATCH(C12,Запол!$D$1:$D$14,),MATCH("Место",Запол!$D$1:$F$1,))</f>
        <v>г. Вольск</v>
      </c>
      <c r="E12" s="11" t="s">
        <v>345</v>
      </c>
      <c r="F12" s="125">
        <v>34</v>
      </c>
      <c r="G12" s="6" t="s">
        <v>135</v>
      </c>
      <c r="H12" s="6">
        <v>1993</v>
      </c>
      <c r="I12" s="9">
        <v>34304</v>
      </c>
      <c r="J12" s="7"/>
      <c r="K12" s="7"/>
      <c r="L12" s="7" t="e">
        <f ca="1">IF(_xlfn.MAXIFS(Заключение!R$3:R$15023,Заключение!D$3:D$15023,E12,Заключение!F$3:F$15023,G12)=0,EDATE(I12,INDEX(Срок!$A$1:$F$3137,MATCH(E12,Срок!$A$1:$A$3137,),MATCH("Срок",Срок!$A$1:$F$1,))),_xlfn.MAXIFS(Заключение!R$3:R$15023,Заключение!D$3:D$15023,E12,Заключение!F$3:F$15023,G12))</f>
        <v>#NAME?</v>
      </c>
      <c r="M12" s="10" t="e">
        <f ca="1">IF(L12&lt;база!T$1,"требует ЭО","")</f>
        <v>#NAME?</v>
      </c>
      <c r="N12" s="13" t="str">
        <f>INDEX(Срок!$A$1:$F$315,MATCH(E12,Срок!$A$1:$A$315,),MATCH("Назначен",Срок!$A$1:$F$1,))</f>
        <v>лифт</v>
      </c>
      <c r="O12" s="115"/>
      <c r="P12" s="111">
        <v>41659</v>
      </c>
      <c r="Q12" s="2"/>
    </row>
    <row r="13" spans="1:19" x14ac:dyDescent="0.2">
      <c r="A13" s="1">
        <v>12</v>
      </c>
      <c r="B13" s="77" t="str">
        <f>INDEX(Запол!$A$1:$F$14,MATCH(C13,Запол!$D$1:$D$14,),MATCH("отчет",Запол!$A$1:$F$1,))</f>
        <v>МУ</v>
      </c>
      <c r="C13" s="5" t="s">
        <v>556</v>
      </c>
      <c r="D13" s="77" t="str">
        <f>INDEX(Запол!$D$1:$F$14,MATCH(C13,Запол!$D$1:$D$14,),MATCH("Место",Запол!$D$1:$F$1,))</f>
        <v>г. Вольск</v>
      </c>
      <c r="E13" s="11" t="s">
        <v>504</v>
      </c>
      <c r="F13" s="125">
        <v>104</v>
      </c>
      <c r="G13" s="6" t="s">
        <v>335</v>
      </c>
      <c r="H13" s="6" t="s">
        <v>486</v>
      </c>
      <c r="I13" s="9">
        <v>31593</v>
      </c>
      <c r="J13" s="7"/>
      <c r="K13" s="7"/>
      <c r="L13" s="7" t="e">
        <f ca="1">IF(_xlfn.MAXIFS(Заключение!R$3:R$15023,Заключение!D$3:D$15023,E13,Заключение!F$3:F$15023,G13)=0,EDATE(I13,INDEX(Срок!$A$1:$F$3137,MATCH(E13,Срок!$A$1:$A$3137,),MATCH("Срок",Срок!$A$1:$F$1,))),_xlfn.MAXIFS(Заключение!R$3:R$15023,Заключение!D$3:D$15023,E13,Заключение!F$3:F$15023,G13))</f>
        <v>#NAME?</v>
      </c>
      <c r="M13" s="10" t="e">
        <f ca="1">IF(L13&lt;база!T$1,"требует ЭО","")</f>
        <v>#NAME?</v>
      </c>
      <c r="N13" s="13" t="str">
        <f>INDEX(Срок!$A$1:$F$315,MATCH(E13,Срок!$A$1:$A$315,),MATCH("Назначен",Срок!$A$1:$F$1,))</f>
        <v>сосуд</v>
      </c>
      <c r="O13" s="115"/>
      <c r="P13" s="111">
        <v>41659</v>
      </c>
      <c r="Q13" s="2"/>
    </row>
    <row r="14" spans="1:19" x14ac:dyDescent="0.2">
      <c r="A14" s="1">
        <v>13</v>
      </c>
      <c r="B14" s="77" t="str">
        <f>INDEX(Запол!$A$1:$F$14,MATCH(C14,Запол!$D$1:$D$14,),MATCH("отчет",Запол!$A$1:$F$1,))</f>
        <v>МУ</v>
      </c>
      <c r="C14" s="5" t="s">
        <v>556</v>
      </c>
      <c r="D14" s="77" t="str">
        <f>INDEX(Запол!$D$1:$F$14,MATCH(C14,Запол!$D$1:$D$14,),MATCH("Место",Запол!$D$1:$F$1,))</f>
        <v>г. Вольск</v>
      </c>
      <c r="E14" s="11" t="s">
        <v>504</v>
      </c>
      <c r="F14" s="125">
        <v>106</v>
      </c>
      <c r="G14" s="6" t="s">
        <v>336</v>
      </c>
      <c r="H14" s="6" t="s">
        <v>486</v>
      </c>
      <c r="I14" s="9">
        <v>31593</v>
      </c>
      <c r="J14" s="7"/>
      <c r="K14" s="7"/>
      <c r="L14" s="7" t="e">
        <f ca="1">IF(_xlfn.MAXIFS(Заключение!R$3:R$15023,Заключение!D$3:D$15023,E14,Заключение!F$3:F$15023,G14)=0,EDATE(I14,INDEX(Срок!$A$1:$F$3137,MATCH(E14,Срок!$A$1:$A$3137,),MATCH("Срок",Срок!$A$1:$F$1,))),_xlfn.MAXIFS(Заключение!R$3:R$15023,Заключение!D$3:D$15023,E14,Заключение!F$3:F$15023,G14))</f>
        <v>#NAME?</v>
      </c>
      <c r="M14" s="10" t="e">
        <f ca="1">IF(L14&lt;база!T$1,"требует ЭО","")</f>
        <v>#NAME?</v>
      </c>
      <c r="N14" s="13" t="str">
        <f>INDEX(Срок!$A$1:$F$315,MATCH(E14,Срок!$A$1:$A$315,),MATCH("Назначен",Срок!$A$1:$F$1,))</f>
        <v>сосуд</v>
      </c>
      <c r="O14" s="115"/>
      <c r="P14" s="111">
        <v>41659</v>
      </c>
      <c r="Q14" s="2"/>
    </row>
    <row r="15" spans="1:19" x14ac:dyDescent="0.2">
      <c r="A15" s="1">
        <v>14</v>
      </c>
      <c r="B15" s="77" t="str">
        <f>INDEX(Запол!$A$1:$F$14,MATCH(C15,Запол!$D$1:$D$14,),MATCH("отчет",Запол!$A$1:$F$1,))</f>
        <v>МУ</v>
      </c>
      <c r="C15" s="5" t="s">
        <v>574</v>
      </c>
      <c r="D15" s="77" t="str">
        <f>INDEX(Запол!$D$1:$F$14,MATCH(C15,Запол!$D$1:$D$14,),MATCH("Место",Запол!$D$1:$F$1,))</f>
        <v>с. Троицкое</v>
      </c>
      <c r="E15" s="11" t="s">
        <v>384</v>
      </c>
      <c r="F15" s="125"/>
      <c r="G15" s="6" t="s">
        <v>626</v>
      </c>
      <c r="H15" s="6" t="s">
        <v>623</v>
      </c>
      <c r="I15" s="9">
        <v>41061</v>
      </c>
      <c r="J15" s="7"/>
      <c r="K15" s="7"/>
      <c r="L15" s="7" t="e">
        <f ca="1">IF(_xlfn.MAXIFS(Заключение!R$3:R$15023,Заключение!D$3:D$15023,E15,Заключение!F$3:F$15023,G15)=0,EDATE(I15,INDEX(Срок!$A$1:$F$3137,MATCH(E15,Срок!$A$1:$A$3137,),MATCH("Срок",Срок!$A$1:$F$1,))),_xlfn.MAXIFS(Заключение!R$3:R$15023,Заключение!D$3:D$15023,E15,Заключение!F$3:F$15023,G15))</f>
        <v>#NAME?</v>
      </c>
      <c r="M15" s="10" t="e">
        <f ca="1">IF(L15&lt;база!T$1,"требует ЭО","")</f>
        <v>#NAME?</v>
      </c>
      <c r="N15" s="13" t="str">
        <f>INDEX(Срок!$A$1:$F$315,MATCH(E15,Срок!$A$1:$A$315,),MATCH("Назначен",Срок!$A$1:$F$1,))</f>
        <v>не рег ТУ орд</v>
      </c>
      <c r="O15" s="115"/>
      <c r="P15" s="111">
        <v>41659</v>
      </c>
      <c r="Q15" s="2"/>
    </row>
    <row r="16" spans="1:19" x14ac:dyDescent="0.2">
      <c r="A16" s="1">
        <v>15</v>
      </c>
      <c r="B16" s="77" t="str">
        <f>INDEX(Запол!$A$1:$F$14,MATCH(C16,Запол!$D$1:$D$14,),MATCH("отчет",Запол!$A$1:$F$1,))</f>
        <v>МУ</v>
      </c>
      <c r="C16" s="5" t="s">
        <v>556</v>
      </c>
      <c r="D16" s="77" t="str">
        <f>INDEX(Запол!$D$1:$F$14,MATCH(C16,Запол!$D$1:$D$14,),MATCH("Место",Запол!$D$1:$F$1,))</f>
        <v>г. Вольск</v>
      </c>
      <c r="E16" s="11" t="s">
        <v>384</v>
      </c>
      <c r="F16" s="125"/>
      <c r="G16" s="6" t="s">
        <v>627</v>
      </c>
      <c r="H16" s="6" t="s">
        <v>624</v>
      </c>
      <c r="I16" s="9">
        <v>39665</v>
      </c>
      <c r="J16" s="7"/>
      <c r="K16" s="7"/>
      <c r="L16" s="7" t="e">
        <f ca="1">IF(_xlfn.MAXIFS(Заключение!R$3:R$15023,Заключение!D$3:D$15023,E16,Заключение!F$3:F$15023,G16)=0,EDATE(I16,INDEX(Срок!$A$1:$F$3137,MATCH(E16,Срок!$A$1:$A$3137,),MATCH("Срок",Срок!$A$1:$F$1,))),_xlfn.MAXIFS(Заключение!R$3:R$15023,Заключение!D$3:D$15023,E16,Заключение!F$3:F$15023,G16))</f>
        <v>#NAME?</v>
      </c>
      <c r="M16" s="10" t="e">
        <f ca="1">IF(L16&lt;база!T$1,"требует ЭО","")</f>
        <v>#NAME?</v>
      </c>
      <c r="N16" s="13" t="str">
        <f>INDEX(Срок!$A$1:$F$315,MATCH(E16,Срок!$A$1:$A$315,),MATCH("Назначен",Срок!$A$1:$F$1,))</f>
        <v>не рег ТУ орд</v>
      </c>
      <c r="O16" s="115"/>
      <c r="P16" s="111">
        <v>41659</v>
      </c>
      <c r="Q16" s="2"/>
    </row>
    <row r="17" spans="1:17" x14ac:dyDescent="0.2">
      <c r="A17" s="1">
        <v>16</v>
      </c>
      <c r="B17" s="77" t="str">
        <f>INDEX(Запол!$A$1:$F$14,MATCH(C17,Запол!$D$1:$D$14,),MATCH("отчет",Запол!$A$1:$F$1,))</f>
        <v>МУ</v>
      </c>
      <c r="C17" s="5" t="s">
        <v>556</v>
      </c>
      <c r="D17" s="77" t="str">
        <f>INDEX(Запол!$D$1:$F$14,MATCH(C17,Запол!$D$1:$D$14,),MATCH("Место",Запол!$D$1:$F$1,))</f>
        <v>г. Вольск</v>
      </c>
      <c r="E17" s="11" t="s">
        <v>140</v>
      </c>
      <c r="F17" s="125"/>
      <c r="G17" s="6" t="s">
        <v>628</v>
      </c>
      <c r="H17" s="6" t="s">
        <v>625</v>
      </c>
      <c r="I17" s="9">
        <v>39666</v>
      </c>
      <c r="J17" s="7"/>
      <c r="K17" s="7"/>
      <c r="L17" s="7" t="e">
        <f ca="1">IF(_xlfn.MAXIFS(Заключение!R$3:R$15023,Заключение!D$3:D$15023,E17,Заключение!F$3:F$15023,G17)=0,EDATE(I17,INDEX(Срок!$A$1:$F$3137,MATCH(E17,Срок!$A$1:$A$3137,),MATCH("Срок",Срок!$A$1:$F$1,))),_xlfn.MAXIFS(Заключение!R$3:R$15023,Заключение!D$3:D$15023,E17,Заключение!F$3:F$15023,G17))</f>
        <v>#NAME?</v>
      </c>
      <c r="M17" s="10" t="e">
        <f ca="1">IF(L17&lt;база!T$1,"требует ЭО","")</f>
        <v>#NAME?</v>
      </c>
      <c r="N17" s="13" t="str">
        <f>INDEX(Срок!$A$1:$F$315,MATCH(E17,Срок!$A$1:$A$315,),MATCH("Назначен",Срок!$A$1:$F$1,))</f>
        <v>не рег ТУ орд</v>
      </c>
      <c r="O17" s="115"/>
      <c r="P17" s="111">
        <v>41659</v>
      </c>
      <c r="Q17" s="2"/>
    </row>
    <row r="18" spans="1:17" x14ac:dyDescent="0.2">
      <c r="A18" s="1">
        <v>17</v>
      </c>
      <c r="B18" s="77" t="str">
        <f>INDEX(Запол!$A$1:$F$14,MATCH(C18,Запол!$D$1:$D$14,),MATCH("отчет",Запол!$A$1:$F$1,))</f>
        <v>МУ</v>
      </c>
      <c r="C18" s="5" t="s">
        <v>556</v>
      </c>
      <c r="D18" s="77" t="str">
        <f>INDEX(Запол!$D$1:$F$14,MATCH(C18,Запол!$D$1:$D$14,),MATCH("Место",Запол!$D$1:$F$1,))</f>
        <v>г. Вольск</v>
      </c>
      <c r="E18" s="11" t="s">
        <v>504</v>
      </c>
      <c r="F18" s="125">
        <v>768</v>
      </c>
      <c r="G18" s="6" t="s">
        <v>515</v>
      </c>
      <c r="H18" s="6" t="s">
        <v>381</v>
      </c>
      <c r="I18" s="9">
        <v>34366</v>
      </c>
      <c r="J18" s="7"/>
      <c r="K18" s="7"/>
      <c r="L18" s="7" t="e">
        <f ca="1">IF(_xlfn.MAXIFS(Заключение!R$3:R$15023,Заключение!D$3:D$15023,E18,Заключение!F$3:F$15023,G18)=0,EDATE(I18,INDEX(Срок!$A$1:$F$3137,MATCH(E18,Срок!$A$1:$A$3137,),MATCH("Срок",Срок!$A$1:$F$1,))),_xlfn.MAXIFS(Заключение!R$3:R$15023,Заключение!D$3:D$15023,E18,Заключение!F$3:F$15023,G18))</f>
        <v>#NAME?</v>
      </c>
      <c r="M18" s="10" t="e">
        <f ca="1">IF(L18&lt;база!T$1,"требует ЭО","")</f>
        <v>#NAME?</v>
      </c>
      <c r="N18" s="13" t="str">
        <f>INDEX(Срок!$A$1:$F$315,MATCH(E18,Срок!$A$1:$A$315,),MATCH("Назначен",Срок!$A$1:$F$1,))</f>
        <v>сосуд</v>
      </c>
      <c r="O18" s="115"/>
      <c r="P18" s="111">
        <v>41659</v>
      </c>
      <c r="Q18" s="2"/>
    </row>
    <row r="19" spans="1:17" x14ac:dyDescent="0.2">
      <c r="A19" s="1">
        <v>18</v>
      </c>
      <c r="B19" s="77" t="str">
        <f>INDEX(Запол!$A$1:$F$14,MATCH(C19,Запол!$D$1:$D$14,),MATCH("отчет",Запол!$A$1:$F$1,))</f>
        <v>МУ</v>
      </c>
      <c r="C19" s="5" t="s">
        <v>556</v>
      </c>
      <c r="D19" s="77" t="str">
        <f>INDEX(Запол!$D$1:$F$14,MATCH(C19,Запол!$D$1:$D$14,),MATCH("Место",Запол!$D$1:$F$1,))</f>
        <v>г. Вольск</v>
      </c>
      <c r="E19" s="11" t="s">
        <v>29</v>
      </c>
      <c r="F19" s="125">
        <v>1192</v>
      </c>
      <c r="G19" s="6" t="s">
        <v>507</v>
      </c>
      <c r="H19" s="6">
        <v>1985</v>
      </c>
      <c r="I19" s="9">
        <v>31168</v>
      </c>
      <c r="J19" s="7"/>
      <c r="K19" s="7"/>
      <c r="L19" s="7" t="e">
        <f ca="1">IF(_xlfn.MAXIFS(Заключение!R$3:R$15023,Заключение!D$3:D$15023,E19,Заключение!F$3:F$15023,G19)=0,EDATE(I19,INDEX(Срок!$A$1:$F$3137,MATCH(E19,Срок!$A$1:$A$3137,),MATCH("Срок",Срок!$A$1:$F$1,))),_xlfn.MAXIFS(Заключение!R$3:R$15023,Заключение!D$3:D$15023,E19,Заключение!F$3:F$15023,G19))</f>
        <v>#NAME?</v>
      </c>
      <c r="M19" s="10" t="e">
        <f ca="1">IF(L19&lt;база!T$1,"требует ЭО","")</f>
        <v>#NAME?</v>
      </c>
      <c r="N19" s="13" t="str">
        <f>INDEX(Срок!$A$1:$F$315,MATCH(E19,Срок!$A$1:$A$315,),MATCH("Назначен",Срок!$A$1:$F$1,))</f>
        <v>лифт</v>
      </c>
      <c r="O19" s="115"/>
      <c r="P19" s="111">
        <v>41659</v>
      </c>
      <c r="Q19" s="2"/>
    </row>
    <row r="20" spans="1:17" x14ac:dyDescent="0.2">
      <c r="A20" s="1">
        <v>19</v>
      </c>
      <c r="B20" s="77" t="str">
        <f>INDEX(Запол!$A$1:$F$14,MATCH(C20,Запол!$D$1:$D$14,),MATCH("отчет",Запол!$A$1:$F$1,))</f>
        <v>МУ</v>
      </c>
      <c r="C20" s="78" t="s">
        <v>574</v>
      </c>
      <c r="D20" s="77" t="str">
        <f>INDEX(Запол!$D$1:$F$14,MATCH(C20,Запол!$D$1:$D$14,),MATCH("Место",Запол!$D$1:$F$1,))</f>
        <v>с. Троицкое</v>
      </c>
      <c r="E20" s="11" t="s">
        <v>4</v>
      </c>
      <c r="F20" s="125">
        <v>155</v>
      </c>
      <c r="G20" s="6" t="s">
        <v>62</v>
      </c>
      <c r="H20" s="6" t="s">
        <v>109</v>
      </c>
      <c r="I20" s="9">
        <v>28642</v>
      </c>
      <c r="J20" s="7"/>
      <c r="K20" s="7"/>
      <c r="L20" s="7" t="e">
        <f ca="1">IF(_xlfn.MAXIFS(Заключение!R$3:R$15023,Заключение!D$3:D$15023,E20,Заключение!F$3:F$15023,G20)=0,EDATE(I20,INDEX(Срок!$A$1:$F$3137,MATCH(E20,Срок!$A$1:$A$3137,),MATCH("Срок",Срок!$A$1:$F$1,))),_xlfn.MAXIFS(Заключение!R$3:R$15023,Заключение!D$3:D$15023,E20,Заключение!F$3:F$15023,G20))</f>
        <v>#NAME?</v>
      </c>
      <c r="M20" s="10" t="e">
        <f ca="1">IF(L20&lt;база!T$1,"требует ЭО","")</f>
        <v>#NAME?</v>
      </c>
      <c r="N20" s="13" t="str">
        <f>INDEX(Срок!$A$1:$F$315,MATCH(E20,Срок!$A$1:$A$315,),MATCH("Назначен",Срок!$A$1:$F$1,))</f>
        <v>баллон</v>
      </c>
      <c r="O20" s="115"/>
      <c r="P20" s="111">
        <v>41659</v>
      </c>
      <c r="Q20" s="2"/>
    </row>
    <row r="21" spans="1:17" x14ac:dyDescent="0.2">
      <c r="A21" s="1">
        <v>20</v>
      </c>
      <c r="B21" s="77" t="str">
        <f>INDEX(Запол!$A$1:$F$14,MATCH(C21,Запол!$D$1:$D$14,),MATCH("отчет",Запол!$A$1:$F$1,))</f>
        <v>МУ</v>
      </c>
      <c r="C21" s="78" t="s">
        <v>574</v>
      </c>
      <c r="D21" s="77" t="str">
        <f>INDEX(Запол!$D$1:$F$14,MATCH(C21,Запол!$D$1:$D$14,),MATCH("Место",Запол!$D$1:$F$1,))</f>
        <v>с. Троицкое</v>
      </c>
      <c r="E21" s="11" t="s">
        <v>4</v>
      </c>
      <c r="F21" s="125">
        <v>155</v>
      </c>
      <c r="G21" s="6" t="s">
        <v>201</v>
      </c>
      <c r="H21" s="6" t="s">
        <v>109</v>
      </c>
      <c r="I21" s="9">
        <v>28642</v>
      </c>
      <c r="J21" s="7"/>
      <c r="K21" s="7"/>
      <c r="L21" s="7" t="e">
        <f ca="1">IF(_xlfn.MAXIFS(Заключение!R$3:R$15023,Заключение!D$3:D$15023,E21,Заключение!F$3:F$15023,G21)=0,EDATE(I21,INDEX(Срок!$A$1:$F$3137,MATCH(E21,Срок!$A$1:$A$3137,),MATCH("Срок",Срок!$A$1:$F$1,))),_xlfn.MAXIFS(Заключение!R$3:R$15023,Заключение!D$3:D$15023,E21,Заключение!F$3:F$15023,G21))</f>
        <v>#NAME?</v>
      </c>
      <c r="M21" s="10" t="e">
        <f ca="1">IF(L21&lt;база!T$1,"требует ЭО","")</f>
        <v>#NAME?</v>
      </c>
      <c r="N21" s="13" t="str">
        <f>INDEX(Срок!$A$1:$F$315,MATCH(E21,Срок!$A$1:$A$315,),MATCH("Назначен",Срок!$A$1:$F$1,))</f>
        <v>баллон</v>
      </c>
      <c r="O21" s="115"/>
      <c r="P21" s="111">
        <v>41659</v>
      </c>
      <c r="Q21" s="2"/>
    </row>
    <row r="22" spans="1:17" x14ac:dyDescent="0.2">
      <c r="A22" s="1">
        <v>21</v>
      </c>
      <c r="B22" s="77" t="str">
        <f>INDEX(Запол!$A$1:$F$14,MATCH(C22,Запол!$D$1:$D$14,),MATCH("отчет",Запол!$A$1:$F$1,))</f>
        <v>ОАО</v>
      </c>
      <c r="C22" s="5" t="s">
        <v>563</v>
      </c>
      <c r="D22" s="77" t="str">
        <f>INDEX(Запол!$D$1:$F$14,MATCH(C22,Запол!$D$1:$D$14,),MATCH("Место",Запол!$D$1:$F$1,))</f>
        <v>г. Йошкар-Ола</v>
      </c>
      <c r="E22" s="11" t="s">
        <v>207</v>
      </c>
      <c r="F22" s="125">
        <v>373</v>
      </c>
      <c r="G22" s="6" t="s">
        <v>263</v>
      </c>
      <c r="H22" s="6" t="s">
        <v>485</v>
      </c>
      <c r="I22" s="9">
        <v>30926</v>
      </c>
      <c r="J22" s="7">
        <v>40057</v>
      </c>
      <c r="K22" s="7">
        <v>40057</v>
      </c>
      <c r="L22" s="7" t="e">
        <f ca="1">IF(_xlfn.MAXIFS(Заключение!R$3:R$15023,Заключение!D$3:D$15023,E22,Заключение!F$3:F$15023,G22)=0,EDATE(I22,INDEX(Срок!$A$1:$F$3137,MATCH(E22,Срок!$A$1:$A$3137,),MATCH("Срок",Срок!$A$1:$F$1,))),_xlfn.MAXIFS(Заключение!R$3:R$15023,Заключение!D$3:D$15023,E22,Заключение!F$3:F$15023,G22))</f>
        <v>#NAME?</v>
      </c>
      <c r="M22" s="10" t="e">
        <f ca="1">IF(L22&lt;база!T$1,"требует ЭО","")</f>
        <v>#NAME?</v>
      </c>
      <c r="N22" s="13" t="str">
        <f>INDEX(Срок!$A$1:$F$315,MATCH(E22,Срок!$A$1:$A$315,),MATCH("Назначен",Срок!$A$1:$F$1,))</f>
        <v>гпм</v>
      </c>
      <c r="O22" s="115"/>
      <c r="P22" s="111">
        <v>41659</v>
      </c>
    </row>
    <row r="23" spans="1:17" x14ac:dyDescent="0.2">
      <c r="A23" s="1">
        <v>22</v>
      </c>
      <c r="B23" s="77" t="str">
        <f>INDEX(Запол!$A$1:$F$14,MATCH(C23,Запол!$D$1:$D$14,),MATCH("отчет",Запол!$A$1:$F$1,))</f>
        <v>ОАО</v>
      </c>
      <c r="C23" s="5" t="s">
        <v>610</v>
      </c>
      <c r="D23" s="77" t="str">
        <f>INDEX(Запол!$D$1:$F$14,MATCH(C23,Запол!$D$1:$D$14,),MATCH("Место",Запол!$D$1:$F$1,))</f>
        <v>г. Казань</v>
      </c>
      <c r="E23" s="11" t="s">
        <v>271</v>
      </c>
      <c r="F23" s="154">
        <v>1111</v>
      </c>
      <c r="G23" s="155" t="s">
        <v>477</v>
      </c>
      <c r="H23" s="6" t="s">
        <v>314</v>
      </c>
      <c r="I23" s="9">
        <v>33208</v>
      </c>
      <c r="J23" s="7"/>
      <c r="K23" s="7"/>
      <c r="L23" s="7" t="e">
        <f ca="1">IF(_xlfn.MAXIFS(Заключение!R$3:R$15023,Заключение!D$3:D$15023,E23,Заключение!F$3:F$15023,G23)=0,EDATE(I23,INDEX(Срок!$A$1:$F$3137,MATCH(E23,Срок!$A$1:$A$3137,),MATCH("Срок",Срок!$A$1:$F$1,))),_xlfn.MAXIFS(Заключение!R$3:R$15023,Заключение!D$3:D$15023,E23,Заключение!F$3:F$15023,G23))</f>
        <v>#NAME?</v>
      </c>
      <c r="M23" s="10" t="e">
        <f ca="1">IF(L23&lt;база!T$1,"требует ЭО","")</f>
        <v>#NAME?</v>
      </c>
      <c r="N23" s="13" t="str">
        <f>INDEX(Срок!$A$1:$F$315,MATCH(E23,Срок!$A$1:$A$315,),MATCH("Назначен",Срок!$A$1:$F$1,))</f>
        <v>гпм</v>
      </c>
      <c r="O23" s="115"/>
      <c r="P23" s="111">
        <v>41659</v>
      </c>
    </row>
    <row r="24" spans="1:17" x14ac:dyDescent="0.2">
      <c r="A24" s="1">
        <v>23</v>
      </c>
      <c r="B24" s="77" t="str">
        <f>INDEX(Запол!$A$1:$F$14,MATCH(C24,Запол!$D$1:$D$14,),MATCH("отчет",Запол!$A$1:$F$1,))</f>
        <v>ОАО</v>
      </c>
      <c r="C24" s="5" t="s">
        <v>610</v>
      </c>
      <c r="D24" s="77" t="str">
        <f>INDEX(Запол!$D$1:$F$14,MATCH(C24,Запол!$D$1:$D$14,),MATCH("Место",Запол!$D$1:$F$1,))</f>
        <v>г. Казань</v>
      </c>
      <c r="E24" s="11" t="s">
        <v>110</v>
      </c>
      <c r="F24" s="154">
        <v>1112</v>
      </c>
      <c r="G24" s="155" t="s">
        <v>614</v>
      </c>
      <c r="H24" s="6" t="s">
        <v>639</v>
      </c>
      <c r="I24" s="9">
        <v>35490</v>
      </c>
      <c r="J24" s="7"/>
      <c r="K24" s="7"/>
      <c r="L24" s="7" t="e">
        <f ca="1">IF(_xlfn.MAXIFS(Заключение!R$3:R$15023,Заключение!D$3:D$15023,E24,Заключение!F$3:F$15023,G24)=0,EDATE(I24,INDEX(Срок!$A$1:$F$3137,MATCH(E24,Срок!$A$1:$A$3137,),MATCH("Срок",Срок!$A$1:$F$1,))),_xlfn.MAXIFS(Заключение!R$3:R$15023,Заключение!D$3:D$15023,E24,Заключение!F$3:F$15023,G24))</f>
        <v>#NAME?</v>
      </c>
      <c r="M24" s="10" t="e">
        <f ca="1">IF(L24&lt;база!T$1,"требует ЭО","")</f>
        <v>#NAME?</v>
      </c>
      <c r="N24" s="13" t="str">
        <f>INDEX(Срок!$A$1:$F$315,MATCH(E24,Срок!$A$1:$A$315,),MATCH("Назначен",Срок!$A$1:$F$1,))</f>
        <v>гпм</v>
      </c>
      <c r="O24" s="115"/>
      <c r="P24" s="111">
        <v>41659</v>
      </c>
    </row>
    <row r="25" spans="1:17" x14ac:dyDescent="0.2">
      <c r="A25" s="1">
        <v>23</v>
      </c>
      <c r="B25" s="77" t="str">
        <f>INDEX(Запол!$A$1:$F$14,MATCH(C25,Запол!$D$1:$D$14,),MATCH("отчет",Запол!$A$1:$F$1,))</f>
        <v>ОАО</v>
      </c>
      <c r="C25" s="5" t="s">
        <v>610</v>
      </c>
      <c r="D25" s="77" t="str">
        <f>INDEX(Запол!$D$1:$F$14,MATCH(C25,Запол!$D$1:$D$14,),MATCH("Место",Запол!$D$1:$F$1,))</f>
        <v>г. Казань</v>
      </c>
      <c r="E25" s="11" t="s">
        <v>487</v>
      </c>
      <c r="F25" s="154">
        <v>2121</v>
      </c>
      <c r="G25" s="155" t="s">
        <v>694</v>
      </c>
      <c r="H25" s="6" t="s">
        <v>695</v>
      </c>
      <c r="I25" s="9">
        <v>42430</v>
      </c>
      <c r="J25" s="7"/>
      <c r="K25" s="7"/>
      <c r="L25" s="7" t="e">
        <f ca="1">IF(_xlfn.MAXIFS(Заключение!R$3:R$15023,Заключение!D$3:D$15023,E25,Заключение!F$3:F$15023,G25)=0,EDATE(I25,INDEX(Срок!$A$1:$F$3137,MATCH(E25,Срок!$A$1:$A$3137,),MATCH("Срок",Срок!$A$1:$F$1,))),_xlfn.MAXIFS(Заключение!R$3:R$15023,Заключение!D$3:D$15023,E25,Заключение!F$3:F$15023,G25))</f>
        <v>#NAME?</v>
      </c>
      <c r="M25" s="10" t="e">
        <f ca="1">IF(L25&lt;база!T$1,"требует ЭО","")</f>
        <v>#NAME?</v>
      </c>
      <c r="N25" s="13" t="str">
        <f>INDEX(Срок!$A$1:$F$315,MATCH(E25,Срок!$A$1:$A$315,),MATCH("Назначен",Срок!$A$1:$F$1,))</f>
        <v>гпм</v>
      </c>
      <c r="O25" s="115"/>
      <c r="P25" s="111">
        <v>42480</v>
      </c>
    </row>
    <row r="26" spans="1:17" x14ac:dyDescent="0.2">
      <c r="A26" s="1">
        <v>24</v>
      </c>
      <c r="B26" s="77" t="str">
        <f>INDEX(Запол!$A$1:$F$14,MATCH(C26,Запол!$D$1:$D$14,),MATCH("отчет",Запол!$A$1:$F$1,))</f>
        <v>ООО</v>
      </c>
      <c r="C26" s="5" t="s">
        <v>537</v>
      </c>
      <c r="D26" s="77" t="str">
        <f>INDEX(Запол!$D$1:$F$14,MATCH(C26,Запол!$D$1:$D$14,),MATCH("Место",Запол!$D$1:$F$1,))</f>
        <v>г. Самара</v>
      </c>
      <c r="E26" s="11" t="s">
        <v>365</v>
      </c>
      <c r="F26" s="125">
        <v>935</v>
      </c>
      <c r="G26" s="6" t="s">
        <v>286</v>
      </c>
      <c r="H26" s="6" t="s">
        <v>393</v>
      </c>
      <c r="I26" s="9">
        <v>32069</v>
      </c>
      <c r="J26" s="7"/>
      <c r="K26" s="7"/>
      <c r="L26" s="7" t="e">
        <f ca="1">IF(_xlfn.MAXIFS(Заключение!R$3:R$15023,Заключение!D$3:D$15023,E26,Заключение!F$3:F$15023,G26)=0,EDATE(I26,INDEX(Срок!$A$1:$F$3137,MATCH(E26,Срок!$A$1:$A$3137,),MATCH("Срок",Срок!$A$1:$F$1,))),_xlfn.MAXIFS(Заключение!R$3:R$15023,Заключение!D$3:D$15023,E26,Заключение!F$3:F$15023,G26))</f>
        <v>#NAME?</v>
      </c>
      <c r="M26" s="10" t="e">
        <f ca="1">IF(L26&lt;база!T$1,"требует ЭО","")</f>
        <v>#NAME?</v>
      </c>
      <c r="N26" s="13" t="str">
        <f>INDEX(Срок!$A$1:$F$315,MATCH(E26,Срок!$A$1:$A$315,),MATCH("Назначен",Срок!$A$1:$F$1,))</f>
        <v>гпм</v>
      </c>
      <c r="O26" s="115"/>
      <c r="P26" s="111">
        <v>41659</v>
      </c>
    </row>
    <row r="27" spans="1:17" x14ac:dyDescent="0.2">
      <c r="A27" s="1">
        <v>25</v>
      </c>
      <c r="B27" s="77" t="str">
        <f>INDEX(Запол!$A$1:$F$14,MATCH(C27,Запол!$D$1:$D$14,),MATCH("отчет",Запол!$A$1:$F$1,))</f>
        <v>ООО</v>
      </c>
      <c r="C27" s="5" t="s">
        <v>537</v>
      </c>
      <c r="D27" s="77" t="str">
        <f>INDEX(Запол!$D$1:$F$14,MATCH(C27,Запол!$D$1:$D$14,),MATCH("Место",Запол!$D$1:$F$1,))</f>
        <v>г. Самара</v>
      </c>
      <c r="E27" s="11" t="s">
        <v>484</v>
      </c>
      <c r="F27" s="125">
        <v>20</v>
      </c>
      <c r="G27" s="6" t="s">
        <v>226</v>
      </c>
      <c r="H27" s="6">
        <v>1991</v>
      </c>
      <c r="I27" s="9">
        <v>35966</v>
      </c>
      <c r="J27" s="7"/>
      <c r="K27" s="7"/>
      <c r="L27" s="7" t="e">
        <f ca="1">IF(_xlfn.MAXIFS(Заключение!R$3:R$15023,Заключение!D$3:D$15023,E27,Заключение!F$3:F$15023,G27)=0,EDATE(I27,INDEX(Срок!$A$1:$F$3137,MATCH(E27,Срок!$A$1:$A$3137,),MATCH("Срок",Срок!$A$1:$F$1,))),_xlfn.MAXIFS(Заключение!R$3:R$15023,Заключение!D$3:D$15023,E27,Заключение!F$3:F$15023,G27))</f>
        <v>#NAME?</v>
      </c>
      <c r="M27" s="10" t="e">
        <f ca="1">IF(L27&lt;база!T$1,"требует ЭО","")</f>
        <v>#NAME?</v>
      </c>
      <c r="N27" s="13" t="str">
        <f>INDEX(Срок!$A$1:$F$315,MATCH(E27,Срок!$A$1:$A$315,),MATCH("Назначен",Срок!$A$1:$F$1,))</f>
        <v>гпм</v>
      </c>
      <c r="O27" s="115"/>
      <c r="P27" s="111">
        <v>41659</v>
      </c>
    </row>
    <row r="28" spans="1:17" x14ac:dyDescent="0.2">
      <c r="A28" s="1">
        <v>26</v>
      </c>
      <c r="B28" s="77" t="str">
        <f>INDEX(Запол!$A$1:$F$14,MATCH(C28,Запол!$D$1:$D$14,),MATCH("отчет",Запол!$A$1:$F$1,))</f>
        <v>ООО</v>
      </c>
      <c r="C28" s="5" t="s">
        <v>537</v>
      </c>
      <c r="D28" s="77" t="str">
        <f>INDEX(Запол!$D$1:$F$14,MATCH(C28,Запол!$D$1:$D$14,),MATCH("Место",Запол!$D$1:$F$1,))</f>
        <v>г. Самара</v>
      </c>
      <c r="E28" s="11" t="s">
        <v>411</v>
      </c>
      <c r="F28" s="125">
        <v>23</v>
      </c>
      <c r="G28" s="6" t="s">
        <v>227</v>
      </c>
      <c r="H28" s="6">
        <v>1984</v>
      </c>
      <c r="I28" s="9">
        <v>35966</v>
      </c>
      <c r="J28" s="7"/>
      <c r="K28" s="7"/>
      <c r="L28" s="7" t="e">
        <f ca="1">IF(_xlfn.MAXIFS(Заключение!R$3:R$15023,Заключение!D$3:D$15023,E28,Заключение!F$3:F$15023,G28)=0,EDATE(I28,INDEX(Срок!$A$1:$F$3137,MATCH(E28,Срок!$A$1:$A$3137,),MATCH("Срок",Срок!$A$1:$F$1,))),_xlfn.MAXIFS(Заключение!R$3:R$15023,Заключение!D$3:D$15023,E28,Заключение!F$3:F$15023,G28))</f>
        <v>#NAME?</v>
      </c>
      <c r="M28" s="10" t="e">
        <f ca="1">IF(L28&lt;база!T$1,"требует ЭО","")</f>
        <v>#NAME?</v>
      </c>
      <c r="N28" s="13" t="str">
        <f>INDEX(Срок!$A$1:$F$315,MATCH(E28,Срок!$A$1:$A$315,),MATCH("Назначен",Срок!$A$1:$F$1,))</f>
        <v>баллон</v>
      </c>
      <c r="O28" s="115"/>
      <c r="P28" s="111">
        <v>41659</v>
      </c>
    </row>
    <row r="29" spans="1:17" x14ac:dyDescent="0.2">
      <c r="A29" s="1">
        <v>27</v>
      </c>
      <c r="B29" s="77" t="str">
        <f>INDEX(Запол!$A$1:$F$14,MATCH(C29,Запол!$D$1:$D$14,),MATCH("отчет",Запол!$A$1:$F$1,))</f>
        <v>ООО</v>
      </c>
      <c r="C29" s="5" t="s">
        <v>537</v>
      </c>
      <c r="D29" s="77" t="str">
        <f>INDEX(Запол!$D$1:$F$14,MATCH(C29,Запол!$D$1:$D$14,),MATCH("Место",Запол!$D$1:$F$1,))</f>
        <v>г. Самара</v>
      </c>
      <c r="E29" s="11" t="s">
        <v>411</v>
      </c>
      <c r="F29" s="125">
        <v>24</v>
      </c>
      <c r="G29" s="6" t="s">
        <v>228</v>
      </c>
      <c r="H29" s="6">
        <v>1991</v>
      </c>
      <c r="I29" s="9">
        <v>35966</v>
      </c>
      <c r="J29" s="7"/>
      <c r="K29" s="7"/>
      <c r="L29" s="7" t="e">
        <f ca="1">IF(_xlfn.MAXIFS(Заключение!R$3:R$15023,Заключение!D$3:D$15023,E29,Заключение!F$3:F$15023,G29)=0,EDATE(I29,INDEX(Срок!$A$1:$F$3137,MATCH(E29,Срок!$A$1:$A$3137,),MATCH("Срок",Срок!$A$1:$F$1,))),_xlfn.MAXIFS(Заключение!R$3:R$15023,Заключение!D$3:D$15023,E29,Заключение!F$3:F$15023,G29))</f>
        <v>#NAME?</v>
      </c>
      <c r="M29" s="10" t="e">
        <f ca="1">IF(L29&lt;база!T$1,"требует ЭО","")</f>
        <v>#NAME?</v>
      </c>
      <c r="N29" s="13" t="str">
        <f>INDEX(Срок!$A$1:$F$315,MATCH(E29,Срок!$A$1:$A$315,),MATCH("Назначен",Срок!$A$1:$F$1,))</f>
        <v>баллон</v>
      </c>
      <c r="O29" s="115"/>
      <c r="P29" s="111">
        <v>41659</v>
      </c>
    </row>
    <row r="30" spans="1:17" x14ac:dyDescent="0.2">
      <c r="A30" s="1">
        <v>28</v>
      </c>
      <c r="B30" s="77" t="str">
        <f>INDEX(Запол!$A$1:$F$14,MATCH(C30,Запол!$D$1:$D$14,),MATCH("отчет",Запол!$A$1:$F$1,))</f>
        <v>ООО</v>
      </c>
      <c r="C30" s="5" t="s">
        <v>537</v>
      </c>
      <c r="D30" s="77" t="str">
        <f>INDEX(Запол!$D$1:$F$14,MATCH(C30,Запол!$D$1:$D$14,),MATCH("Место",Запол!$D$1:$F$1,))</f>
        <v>г. Самара</v>
      </c>
      <c r="E30" s="11" t="s">
        <v>411</v>
      </c>
      <c r="F30" s="125">
        <v>25</v>
      </c>
      <c r="G30" s="6" t="s">
        <v>229</v>
      </c>
      <c r="H30" s="6">
        <v>1991</v>
      </c>
      <c r="I30" s="9">
        <v>35966</v>
      </c>
      <c r="J30" s="7"/>
      <c r="K30" s="7"/>
      <c r="L30" s="7" t="e">
        <f ca="1">IF(_xlfn.MAXIFS(Заключение!R$3:R$15023,Заключение!D$3:D$15023,E30,Заключение!F$3:F$15023,G30)=0,EDATE(I30,INDEX(Срок!$A$1:$F$3137,MATCH(E30,Срок!$A$1:$A$3137,),MATCH("Срок",Срок!$A$1:$F$1,))),_xlfn.MAXIFS(Заключение!R$3:R$15023,Заключение!D$3:D$15023,E30,Заключение!F$3:F$15023,G30))</f>
        <v>#NAME?</v>
      </c>
      <c r="M30" s="10" t="e">
        <f ca="1">IF(L30&lt;база!T$1,"требует ЭО","")</f>
        <v>#NAME?</v>
      </c>
      <c r="N30" s="13" t="str">
        <f>INDEX(Срок!$A$1:$F$315,MATCH(E30,Срок!$A$1:$A$315,),MATCH("Назначен",Срок!$A$1:$F$1,))</f>
        <v>баллон</v>
      </c>
      <c r="O30" s="115"/>
      <c r="P30" s="111">
        <v>41659</v>
      </c>
    </row>
    <row r="31" spans="1:17" x14ac:dyDescent="0.2">
      <c r="A31" s="1">
        <v>29</v>
      </c>
      <c r="B31" s="77" t="str">
        <f>INDEX(Запол!$A$1:$F$14,MATCH(C31,Запол!$D$1:$D$14,),MATCH("отчет",Запол!$A$1:$F$1,))</f>
        <v>ООО</v>
      </c>
      <c r="C31" s="5" t="s">
        <v>537</v>
      </c>
      <c r="D31" s="77" t="str">
        <f>INDEX(Запол!$D$1:$F$14,MATCH(C31,Запол!$D$1:$D$14,),MATCH("Место",Запол!$D$1:$F$1,))</f>
        <v>г. Самара</v>
      </c>
      <c r="E31" s="11" t="s">
        <v>31</v>
      </c>
      <c r="F31" s="125">
        <v>556</v>
      </c>
      <c r="G31" s="6" t="s">
        <v>9</v>
      </c>
      <c r="H31" s="6">
        <v>1972</v>
      </c>
      <c r="I31" s="9">
        <v>26444</v>
      </c>
      <c r="J31" s="7"/>
      <c r="K31" s="7"/>
      <c r="L31" s="7" t="e">
        <f ca="1">IF(_xlfn.MAXIFS(Заключение!R$3:R$15023,Заключение!D$3:D$15023,E31,Заключение!F$3:F$15023,G31)=0,EDATE(I31,INDEX(Срок!$A$1:$F$3137,MATCH(E31,Срок!$A$1:$A$3137,),MATCH("Срок",Срок!$A$1:$F$1,))),_xlfn.MAXIFS(Заключение!R$3:R$15023,Заключение!D$3:D$15023,E31,Заключение!F$3:F$15023,G31))</f>
        <v>#NAME?</v>
      </c>
      <c r="M31" s="10" t="e">
        <f ca="1">IF(L31&lt;база!T$1,"требует ЭО","")</f>
        <v>#NAME?</v>
      </c>
      <c r="N31" s="13" t="str">
        <f>INDEX(Срок!$A$1:$F$315,MATCH(E31,Срок!$A$1:$A$315,),MATCH("Назначен",Срок!$A$1:$F$1,))</f>
        <v>сосуд</v>
      </c>
      <c r="O31" s="115"/>
      <c r="P31" s="111">
        <v>41659</v>
      </c>
    </row>
    <row r="32" spans="1:17" x14ac:dyDescent="0.2">
      <c r="A32" s="1">
        <v>30</v>
      </c>
      <c r="B32" s="77" t="str">
        <f>INDEX(Запол!$A$1:$F$14,MATCH(C32,Запол!$D$1:$D$14,),MATCH("отчет",Запол!$A$1:$F$1,))</f>
        <v>ООО</v>
      </c>
      <c r="C32" s="5" t="s">
        <v>537</v>
      </c>
      <c r="D32" s="77" t="str">
        <f>INDEX(Запол!$D$1:$F$14,MATCH(C32,Запол!$D$1:$D$14,),MATCH("Место",Запол!$D$1:$F$1,))</f>
        <v>г. Самара</v>
      </c>
      <c r="E32" s="11" t="s">
        <v>79</v>
      </c>
      <c r="F32" s="125">
        <v>561</v>
      </c>
      <c r="G32" s="6" t="s">
        <v>139</v>
      </c>
      <c r="H32" s="6">
        <v>1963</v>
      </c>
      <c r="I32" s="9">
        <v>23151</v>
      </c>
      <c r="J32" s="7"/>
      <c r="K32" s="7"/>
      <c r="L32" s="7" t="e">
        <f ca="1">IF(_xlfn.MAXIFS(Заключение!R$3:R$15023,Заключение!D$3:D$15023,E32,Заключение!F$3:F$15023,G32)=0,EDATE(I32,INDEX(Срок!$A$1:$F$3137,MATCH(E32,Срок!$A$1:$A$3137,),MATCH("Срок",Срок!$A$1:$F$1,))),_xlfn.MAXIFS(Заключение!R$3:R$15023,Заключение!D$3:D$15023,E32,Заключение!F$3:F$15023,G32))</f>
        <v>#NAME?</v>
      </c>
      <c r="M32" s="10" t="e">
        <f ca="1">IF(L32&lt;база!T$1,"требует ЭО","")</f>
        <v>#NAME?</v>
      </c>
      <c r="N32" s="13" t="str">
        <f>INDEX(Срок!$A$1:$F$315,MATCH(E32,Срок!$A$1:$A$315,),MATCH("Назначен",Срок!$A$1:$F$1,))</f>
        <v>сосуд</v>
      </c>
      <c r="O32" s="115"/>
      <c r="P32" s="111">
        <v>41659</v>
      </c>
    </row>
    <row r="33" spans="1:16" x14ac:dyDescent="0.2">
      <c r="A33" s="1">
        <v>31</v>
      </c>
      <c r="B33" s="77" t="str">
        <f>INDEX(Запол!$A$1:$F$14,MATCH(C33,Запол!$D$1:$D$14,),MATCH("отчет",Запол!$A$1:$F$1,))</f>
        <v>ООО</v>
      </c>
      <c r="C33" s="5" t="s">
        <v>537</v>
      </c>
      <c r="D33" s="77" t="str">
        <f>INDEX(Запол!$D$1:$F$14,MATCH(C33,Запол!$D$1:$D$14,),MATCH("Место",Запол!$D$1:$F$1,))</f>
        <v>г. Самара</v>
      </c>
      <c r="E33" s="11" t="s">
        <v>79</v>
      </c>
      <c r="F33" s="125">
        <v>570</v>
      </c>
      <c r="G33" s="6" t="s">
        <v>476</v>
      </c>
      <c r="H33" s="6">
        <v>1963</v>
      </c>
      <c r="I33" s="9">
        <v>23157</v>
      </c>
      <c r="J33" s="7"/>
      <c r="K33" s="7"/>
      <c r="L33" s="7" t="e">
        <f ca="1">IF(_xlfn.MAXIFS(Заключение!R$3:R$15023,Заключение!D$3:D$15023,E33,Заключение!F$3:F$15023,G33)=0,EDATE(I33,INDEX(Срок!$A$1:$F$3137,MATCH(E33,Срок!$A$1:$A$3137,),MATCH("Срок",Срок!$A$1:$F$1,))),_xlfn.MAXIFS(Заключение!R$3:R$15023,Заключение!D$3:D$15023,E33,Заключение!F$3:F$15023,G33))</f>
        <v>#NAME?</v>
      </c>
      <c r="M33" s="10" t="e">
        <f ca="1">IF(L33&lt;база!T$1,"требует ЭО","")</f>
        <v>#NAME?</v>
      </c>
      <c r="N33" s="13" t="str">
        <f>INDEX(Срок!$A$1:$F$315,MATCH(E33,Срок!$A$1:$A$315,),MATCH("Назначен",Срок!$A$1:$F$1,))</f>
        <v>сосуд</v>
      </c>
      <c r="O33" s="115"/>
      <c r="P33" s="111">
        <v>41659</v>
      </c>
    </row>
    <row r="34" spans="1:16" x14ac:dyDescent="0.2">
      <c r="A34" s="1">
        <v>32</v>
      </c>
      <c r="B34" s="77" t="str">
        <f>INDEX(Запол!$A$1:$F$14,MATCH(C34,Запол!$D$1:$D$14,),MATCH("отчет",Запол!$A$1:$F$1,))</f>
        <v>ООО</v>
      </c>
      <c r="C34" s="5" t="s">
        <v>537</v>
      </c>
      <c r="D34" s="77" t="str">
        <f>INDEX(Запол!$D$1:$F$14,MATCH(C34,Запол!$D$1:$D$14,),MATCH("Место",Запол!$D$1:$F$1,))</f>
        <v>г. Самара</v>
      </c>
      <c r="E34" s="11" t="s">
        <v>131</v>
      </c>
      <c r="F34" s="125">
        <v>71</v>
      </c>
      <c r="G34" s="6" t="s">
        <v>391</v>
      </c>
      <c r="H34" s="6" t="s">
        <v>112</v>
      </c>
      <c r="I34" s="9">
        <v>21763</v>
      </c>
      <c r="J34" s="7">
        <v>38565</v>
      </c>
      <c r="K34" s="7">
        <v>38565</v>
      </c>
      <c r="L34" s="7" t="e">
        <f ca="1">IF(_xlfn.MAXIFS(Заключение!R$3:R$15023,Заключение!D$3:D$15023,E34,Заключение!F$3:F$15023,G34)=0,EDATE(I34,INDEX(Срок!$A$1:$F$3137,MATCH(E34,Срок!$A$1:$A$3137,),MATCH("Срок",Срок!$A$1:$F$1,))),_xlfn.MAXIFS(Заключение!R$3:R$15023,Заключение!D$3:D$15023,E34,Заключение!F$3:F$15023,G34))</f>
        <v>#NAME?</v>
      </c>
      <c r="M34" s="10" t="e">
        <f ca="1">IF(L34&lt;база!T$1,"требует ЭО","")</f>
        <v>#NAME?</v>
      </c>
      <c r="N34" s="13" t="str">
        <f>INDEX(Срок!$A$1:$F$315,MATCH(E34,Срок!$A$1:$A$315,),MATCH("Назначен",Срок!$A$1:$F$1,))</f>
        <v>гпм</v>
      </c>
      <c r="O34" s="115"/>
      <c r="P34" s="111">
        <v>41659</v>
      </c>
    </row>
    <row r="35" spans="1:16" x14ac:dyDescent="0.2">
      <c r="A35" s="1">
        <v>33</v>
      </c>
      <c r="B35" s="77" t="str">
        <f>INDEX(Запол!$A$1:$F$14,MATCH(C35,Запол!$D$1:$D$14,),MATCH("отчет",Запол!$A$1:$F$1,))</f>
        <v>ООО</v>
      </c>
      <c r="C35" s="5" t="s">
        <v>537</v>
      </c>
      <c r="D35" s="77" t="str">
        <f>INDEX(Запол!$D$1:$F$14,MATCH(C35,Запол!$D$1:$D$14,),MATCH("Место",Запол!$D$1:$F$1,))</f>
        <v>г. Самара</v>
      </c>
      <c r="E35" s="11" t="s">
        <v>283</v>
      </c>
      <c r="F35" s="125">
        <v>764</v>
      </c>
      <c r="G35" s="6" t="s">
        <v>132</v>
      </c>
      <c r="H35" s="6" t="s">
        <v>93</v>
      </c>
      <c r="I35" s="9">
        <v>34274</v>
      </c>
      <c r="J35" s="7">
        <v>38565</v>
      </c>
      <c r="K35" s="7">
        <v>38565</v>
      </c>
      <c r="L35" s="7" t="e">
        <f ca="1">IF(_xlfn.MAXIFS(Заключение!R$3:R$15023,Заключение!D$3:D$15023,E35,Заключение!F$3:F$15023,G35)=0,EDATE(I35,INDEX(Срок!$A$1:$F$3137,MATCH(E35,Срок!$A$1:$A$3137,),MATCH("Срок",Срок!$A$1:$F$1,))),_xlfn.MAXIFS(Заключение!R$3:R$15023,Заключение!D$3:D$15023,E35,Заключение!F$3:F$15023,G35))</f>
        <v>#NAME?</v>
      </c>
      <c r="M35" s="10" t="e">
        <f ca="1">IF(L35&lt;база!T$1,"требует ЭО","")</f>
        <v>#NAME?</v>
      </c>
      <c r="N35" s="13" t="str">
        <f>INDEX(Срок!$A$1:$F$315,MATCH(E35,Срок!$A$1:$A$315,),MATCH("Назначен",Срок!$A$1:$F$1,))</f>
        <v>гпм</v>
      </c>
      <c r="O35" s="115"/>
      <c r="P35" s="111">
        <v>41659</v>
      </c>
    </row>
    <row r="36" spans="1:16" x14ac:dyDescent="0.2">
      <c r="A36" s="1">
        <v>34</v>
      </c>
      <c r="B36" s="77" t="str">
        <f>INDEX(Запол!$A$1:$F$14,MATCH(C36,Запол!$D$1:$D$14,),MATCH("отчет",Запол!$A$1:$F$1,))</f>
        <v>ООО</v>
      </c>
      <c r="C36" s="5" t="s">
        <v>537</v>
      </c>
      <c r="D36" s="77" t="str">
        <f>INDEX(Запол!$D$1:$F$14,MATCH(C36,Запол!$D$1:$D$14,),MATCH("Место",Запол!$D$1:$F$1,))</f>
        <v>г. Самара</v>
      </c>
      <c r="E36" s="11" t="s">
        <v>148</v>
      </c>
      <c r="F36" s="125">
        <v>134</v>
      </c>
      <c r="G36" s="6" t="s">
        <v>116</v>
      </c>
      <c r="H36" s="6">
        <v>1984</v>
      </c>
      <c r="I36" s="9">
        <v>33878</v>
      </c>
      <c r="J36" s="7"/>
      <c r="K36" s="7"/>
      <c r="L36" s="7" t="e">
        <f ca="1">IF(_xlfn.MAXIFS(Заключение!R$3:R$15023,Заключение!D$3:D$15023,E36,Заключение!F$3:F$15023,G36)=0,EDATE(I36,INDEX(Срок!$A$1:$F$3137,MATCH(E36,Срок!$A$1:$A$3137,),MATCH("Срок",Срок!$A$1:$F$1,))),_xlfn.MAXIFS(Заключение!R$3:R$15023,Заключение!D$3:D$15023,E36,Заключение!F$3:F$15023,G36))</f>
        <v>#NAME?</v>
      </c>
      <c r="M36" s="10" t="e">
        <f ca="1">IF(L36&lt;база!T$1,"требует ЭО","")</f>
        <v>#NAME?</v>
      </c>
      <c r="N36" s="13" t="str">
        <f>INDEX(Срок!$A$1:$F$315,MATCH(E36,Срок!$A$1:$A$315,),MATCH("Назначен",Срок!$A$1:$F$1,))</f>
        <v>гпм</v>
      </c>
      <c r="O36" s="115"/>
      <c r="P36" s="111">
        <v>41659</v>
      </c>
    </row>
    <row r="37" spans="1:16" x14ac:dyDescent="0.2">
      <c r="A37" s="1">
        <v>35</v>
      </c>
      <c r="B37" s="77" t="str">
        <f>INDEX(Запол!$A$1:$F$14,MATCH(C37,Запол!$D$1:$D$14,),MATCH("отчет",Запол!$A$1:$F$1,))</f>
        <v>ООО</v>
      </c>
      <c r="C37" s="5" t="s">
        <v>561</v>
      </c>
      <c r="D37" s="77" t="str">
        <f>INDEX(Запол!$D$1:$F$14,MATCH(C37,Запол!$D$1:$D$14,),MATCH("Место",Запол!$D$1:$F$1,))</f>
        <v>с. Троицкое</v>
      </c>
      <c r="E37" s="11" t="s">
        <v>131</v>
      </c>
      <c r="F37" s="125">
        <v>1291</v>
      </c>
      <c r="G37" s="6" t="s">
        <v>399</v>
      </c>
      <c r="H37" s="6">
        <v>1962</v>
      </c>
      <c r="I37" s="9">
        <v>22827</v>
      </c>
      <c r="J37" s="7"/>
      <c r="K37" s="7"/>
      <c r="L37" s="7" t="e">
        <f ca="1">IF(_xlfn.MAXIFS(Заключение!R$3:R$15023,Заключение!D$3:D$15023,E37,Заключение!F$3:F$15023,G37)=0,EDATE(I37,INDEX(Срок!$A$1:$F$3137,MATCH(E37,Срок!$A$1:$A$3137,),MATCH("Срок",Срок!$A$1:$F$1,))),_xlfn.MAXIFS(Заключение!R$3:R$15023,Заключение!D$3:D$15023,E37,Заключение!F$3:F$15023,G37))</f>
        <v>#NAME?</v>
      </c>
      <c r="M37" s="10" t="e">
        <f ca="1">IF(L37&lt;база!T$1,"требует ЭО","")</f>
        <v>#NAME?</v>
      </c>
      <c r="N37" s="13" t="str">
        <f>INDEX(Срок!$A$1:$F$315,MATCH(E37,Срок!$A$1:$A$315,),MATCH("Назначен",Срок!$A$1:$F$1,))</f>
        <v>гпм</v>
      </c>
      <c r="O37" s="115"/>
      <c r="P37" s="111">
        <v>41659</v>
      </c>
    </row>
    <row r="38" spans="1:16" x14ac:dyDescent="0.2">
      <c r="A38" s="1">
        <v>36</v>
      </c>
      <c r="B38" s="77" t="str">
        <f>INDEX(Запол!$A$1:$F$14,MATCH(C38,Запол!$D$1:$D$14,),MATCH("отчет",Запол!$A$1:$F$1,))</f>
        <v>ООО</v>
      </c>
      <c r="C38" s="5" t="s">
        <v>561</v>
      </c>
      <c r="D38" s="77" t="str">
        <f>INDEX(Запол!$D$1:$F$14,MATCH(C38,Запол!$D$1:$D$14,),MATCH("Место",Запол!$D$1:$F$1,))</f>
        <v>с. Троицкое</v>
      </c>
      <c r="E38" s="11" t="s">
        <v>374</v>
      </c>
      <c r="F38" s="10"/>
      <c r="G38" s="6" t="s">
        <v>256</v>
      </c>
      <c r="H38" s="6" t="s">
        <v>629</v>
      </c>
      <c r="I38" s="9">
        <v>33482</v>
      </c>
      <c r="J38" s="7"/>
      <c r="K38" s="7"/>
      <c r="L38" s="7" t="e">
        <f ca="1">IF(_xlfn.MAXIFS(Заключение!R$3:R$15023,Заключение!D$3:D$15023,E38,Заключение!F$3:F$15023,G38)=0,EDATE(I38,INDEX(Срок!$A$1:$F$3137,MATCH(E38,Срок!$A$1:$A$3137,),MATCH("Срок",Срок!$A$1:$F$1,))),_xlfn.MAXIFS(Заключение!R$3:R$15023,Заключение!D$3:D$15023,E38,Заключение!F$3:F$15023,G38))</f>
        <v>#NAME?</v>
      </c>
      <c r="M38" s="10" t="e">
        <f ca="1">IF(L38&lt;база!T$1,"требует ЭО","")</f>
        <v>#NAME?</v>
      </c>
      <c r="N38" s="13" t="str">
        <f>INDEX(Срок!$A$1:$F$315,MATCH(E38,Срок!$A$1:$A$315,),MATCH("Назначен",Срок!$A$1:$F$1,))</f>
        <v>гпм</v>
      </c>
      <c r="O38" s="115"/>
      <c r="P38" s="111">
        <v>41659</v>
      </c>
    </row>
    <row r="39" spans="1:16" x14ac:dyDescent="0.2">
      <c r="A39" s="1">
        <v>37</v>
      </c>
      <c r="B39" s="77" t="str">
        <f>INDEX(Запол!$A$1:$F$14,MATCH(C39,Запол!$D$1:$D$14,),MATCH("отчет",Запол!$A$1:$F$1,))</f>
        <v>ЗАО</v>
      </c>
      <c r="C39" s="5" t="s">
        <v>565</v>
      </c>
      <c r="D39" s="77" t="str">
        <f>INDEX(Запол!$D$1:$F$14,MATCH(C39,Запол!$D$1:$D$14,),MATCH("Место",Запол!$D$1:$F$1,))</f>
        <v>г. Сызрань</v>
      </c>
      <c r="E39" s="11" t="s">
        <v>6</v>
      </c>
      <c r="F39" s="125">
        <v>276</v>
      </c>
      <c r="G39" s="6" t="s">
        <v>50</v>
      </c>
      <c r="H39" s="6">
        <v>1988</v>
      </c>
      <c r="I39" s="9">
        <v>32305</v>
      </c>
      <c r="J39" s="7"/>
      <c r="K39" s="7">
        <v>39630</v>
      </c>
      <c r="L39" s="7" t="e">
        <f ca="1">IF(_xlfn.MAXIFS(Заключение!R$3:R$15023,Заключение!D$3:D$15023,E39,Заключение!F$3:F$15023,G39)=0,EDATE(I39,INDEX(Срок!$A$1:$F$3137,MATCH(E39,Срок!$A$1:$A$3137,),MATCH("Срок",Срок!$A$1:$F$1,))),_xlfn.MAXIFS(Заключение!R$3:R$15023,Заключение!D$3:D$15023,E39,Заключение!F$3:F$15023,G39))</f>
        <v>#NAME?</v>
      </c>
      <c r="M39" s="10" t="e">
        <f ca="1">IF(L39&lt;база!T$1,"требует ЭО","")</f>
        <v>#NAME?</v>
      </c>
      <c r="N39" s="13" t="str">
        <f>INDEX(Срок!$A$1:$F$315,MATCH(E39,Срок!$A$1:$A$315,),MATCH("Назначен",Срок!$A$1:$F$1,))</f>
        <v>сосуд</v>
      </c>
      <c r="O39" s="115"/>
      <c r="P39" s="111">
        <v>41659</v>
      </c>
    </row>
    <row r="40" spans="1:16" x14ac:dyDescent="0.2">
      <c r="A40" s="1">
        <v>38</v>
      </c>
      <c r="B40" s="77" t="str">
        <f>INDEX(Запол!$A$1:$F$14,MATCH(C40,Запол!$D$1:$D$14,),MATCH("отчет",Запол!$A$1:$F$1,))</f>
        <v>ЗАО</v>
      </c>
      <c r="C40" s="5" t="s">
        <v>565</v>
      </c>
      <c r="D40" s="77" t="str">
        <f>INDEX(Запол!$D$1:$F$14,MATCH(C40,Запол!$D$1:$D$14,),MATCH("Место",Запол!$D$1:$F$1,))</f>
        <v>г. Сызрань</v>
      </c>
      <c r="E40" s="11" t="s">
        <v>6</v>
      </c>
      <c r="F40" s="125">
        <v>322</v>
      </c>
      <c r="G40" s="6" t="s">
        <v>98</v>
      </c>
      <c r="H40" s="6">
        <v>1988</v>
      </c>
      <c r="I40" s="9">
        <v>32305</v>
      </c>
      <c r="J40" s="7"/>
      <c r="K40" s="7">
        <v>39631</v>
      </c>
      <c r="L40" s="7" t="e">
        <f ca="1">IF(_xlfn.MAXIFS(Заключение!R$3:R$15023,Заключение!D$3:D$15023,E40,Заключение!F$3:F$15023,G40)=0,EDATE(I40,INDEX(Срок!$A$1:$F$3137,MATCH(E40,Срок!$A$1:$A$3137,),MATCH("Срок",Срок!$A$1:$F$1,))),_xlfn.MAXIFS(Заключение!R$3:R$15023,Заключение!D$3:D$15023,E40,Заключение!F$3:F$15023,G40))</f>
        <v>#NAME?</v>
      </c>
      <c r="M40" s="10" t="e">
        <f ca="1">IF(L40&lt;база!T$1,"требует ЭО","")</f>
        <v>#NAME?</v>
      </c>
      <c r="N40" s="13" t="str">
        <f>INDEX(Срок!$A$1:$F$315,MATCH(E40,Срок!$A$1:$A$315,),MATCH("Назначен",Срок!$A$1:$F$1,))</f>
        <v>сосуд</v>
      </c>
      <c r="O40" s="115"/>
      <c r="P40" s="111">
        <v>41659</v>
      </c>
    </row>
    <row r="41" spans="1:16" x14ac:dyDescent="0.2">
      <c r="A41" s="1">
        <v>39</v>
      </c>
      <c r="B41" s="77" t="str">
        <f>INDEX(Запол!$A$1:$F$14,MATCH(C41,Запол!$D$1:$D$14,),MATCH("отчет",Запол!$A$1:$F$1,))</f>
        <v>ЗАО</v>
      </c>
      <c r="C41" s="5" t="s">
        <v>565</v>
      </c>
      <c r="D41" s="77" t="str">
        <f>INDEX(Запол!$D$1:$F$14,MATCH(C41,Запол!$D$1:$D$14,),MATCH("Место",Запол!$D$1:$F$1,))</f>
        <v>г. Сызрань</v>
      </c>
      <c r="E41" s="11" t="s">
        <v>31</v>
      </c>
      <c r="F41" s="125">
        <v>349</v>
      </c>
      <c r="G41" s="6" t="s">
        <v>387</v>
      </c>
      <c r="H41" s="6">
        <v>1963</v>
      </c>
      <c r="I41" s="9">
        <v>23149</v>
      </c>
      <c r="J41" s="7"/>
      <c r="K41" s="7"/>
      <c r="L41" s="7" t="e">
        <f ca="1">IF(_xlfn.MAXIFS(Заключение!R$3:R$15023,Заключение!D$3:D$15023,E41,Заключение!F$3:F$15023,G41)=0,EDATE(I41,INDEX(Срок!$A$1:$F$3137,MATCH(E41,Срок!$A$1:$A$3137,),MATCH("Срок",Срок!$A$1:$F$1,))),_xlfn.MAXIFS(Заключение!R$3:R$15023,Заключение!D$3:D$15023,E41,Заключение!F$3:F$15023,G41))</f>
        <v>#NAME?</v>
      </c>
      <c r="M41" s="10" t="e">
        <f ca="1">IF(L41&lt;база!T$1,"требует ЭО","")</f>
        <v>#NAME?</v>
      </c>
      <c r="N41" s="13" t="str">
        <f>INDEX(Срок!$A$1:$F$315,MATCH(E41,Срок!$A$1:$A$315,),MATCH("Назначен",Срок!$A$1:$F$1,))</f>
        <v>сосуд</v>
      </c>
      <c r="O41" s="115"/>
      <c r="P41" s="111">
        <v>41659</v>
      </c>
    </row>
    <row r="42" spans="1:16" x14ac:dyDescent="0.2">
      <c r="A42" s="1">
        <v>40</v>
      </c>
      <c r="B42" s="77" t="str">
        <f>INDEX(Запол!$A$1:$F$14,MATCH(C42,Запол!$D$1:$D$14,),MATCH("отчет",Запол!$A$1:$F$1,))</f>
        <v>ЗАО</v>
      </c>
      <c r="C42" s="5" t="s">
        <v>565</v>
      </c>
      <c r="D42" s="77" t="str">
        <f>INDEX(Запол!$D$1:$F$14,MATCH(C42,Запол!$D$1:$D$14,),MATCH("Место",Запол!$D$1:$F$1,))</f>
        <v>г. Сызрань</v>
      </c>
      <c r="E42" s="11" t="s">
        <v>31</v>
      </c>
      <c r="F42" s="125">
        <v>350</v>
      </c>
      <c r="G42" s="6" t="s">
        <v>212</v>
      </c>
      <c r="H42" s="6">
        <v>1963</v>
      </c>
      <c r="I42" s="9">
        <v>23149</v>
      </c>
      <c r="J42" s="7"/>
      <c r="K42" s="7"/>
      <c r="L42" s="7" t="e">
        <f ca="1">IF(_xlfn.MAXIFS(Заключение!R$3:R$15023,Заключение!D$3:D$15023,E42,Заключение!F$3:F$15023,G42)=0,EDATE(I42,INDEX(Срок!$A$1:$F$3137,MATCH(E42,Срок!$A$1:$A$3137,),MATCH("Срок",Срок!$A$1:$F$1,))),_xlfn.MAXIFS(Заключение!R$3:R$15023,Заключение!D$3:D$15023,E42,Заключение!F$3:F$15023,G42))</f>
        <v>#NAME?</v>
      </c>
      <c r="M42" s="10" t="e">
        <f ca="1">IF(L42&lt;база!T$1,"требует ЭО","")</f>
        <v>#NAME?</v>
      </c>
      <c r="N42" s="13" t="str">
        <f>INDEX(Срок!$A$1:$F$315,MATCH(E42,Срок!$A$1:$A$315,),MATCH("Назначен",Срок!$A$1:$F$1,))</f>
        <v>сосуд</v>
      </c>
      <c r="O42" s="115"/>
      <c r="P42" s="111">
        <v>41659</v>
      </c>
    </row>
    <row r="43" spans="1:16" x14ac:dyDescent="0.2">
      <c r="A43" s="1">
        <v>41</v>
      </c>
      <c r="B43" s="77" t="str">
        <f>INDEX(Запол!$A$1:$F$14,MATCH(C43,Запол!$D$1:$D$14,),MATCH("отчет",Запол!$A$1:$F$1,))</f>
        <v>ЗАО</v>
      </c>
      <c r="C43" s="5" t="s">
        <v>565</v>
      </c>
      <c r="D43" s="77" t="str">
        <f>INDEX(Запол!$D$1:$F$14,MATCH(C43,Запол!$D$1:$D$14,),MATCH("Место",Запол!$D$1:$F$1,))</f>
        <v>г. Сызрань</v>
      </c>
      <c r="E43" s="11" t="s">
        <v>85</v>
      </c>
      <c r="F43" s="125">
        <v>1318</v>
      </c>
      <c r="G43" s="6" t="s">
        <v>216</v>
      </c>
      <c r="H43" s="6">
        <v>2005</v>
      </c>
      <c r="I43" s="9">
        <v>38715</v>
      </c>
      <c r="J43" s="7"/>
      <c r="K43" s="7">
        <v>41609</v>
      </c>
      <c r="L43" s="7" t="e">
        <f ca="1">IF(_xlfn.MAXIFS(Заключение!R$3:R$15023,Заключение!D$3:D$15023,E43,Заключение!F$3:F$15023,G43)=0,EDATE(I43,INDEX(Срок!$A$1:$F$3137,MATCH(E43,Срок!$A$1:$A$3137,),MATCH("Срок",Срок!$A$1:$F$1,))),_xlfn.MAXIFS(Заключение!R$3:R$15023,Заключение!D$3:D$15023,E43,Заключение!F$3:F$15023,G43))</f>
        <v>#NAME?</v>
      </c>
      <c r="M43" s="10" t="e">
        <f ca="1">IF(L43&lt;база!T$1,"требует ЭО","")</f>
        <v>#NAME?</v>
      </c>
      <c r="N43" s="13" t="str">
        <f>INDEX(Срок!$A$1:$F$315,MATCH(E43,Срок!$A$1:$A$315,),MATCH("Назначен",Срок!$A$1:$F$1,))</f>
        <v>вышка</v>
      </c>
      <c r="O43" s="115"/>
      <c r="P43" s="111">
        <v>41659</v>
      </c>
    </row>
  </sheetData>
  <autoFilter ref="B1:P11"/>
  <phoneticPr fontId="2" type="noConversion"/>
  <conditionalFormatting sqref="L1">
    <cfRule type="cellIs" dxfId="9" priority="9" stopIfTrue="1" operator="lessThan">
      <formula>#REF!</formula>
    </cfRule>
  </conditionalFormatting>
  <conditionalFormatting sqref="J2:L2 J3:K3 L3:L43">
    <cfRule type="cellIs" dxfId="8" priority="8" stopIfTrue="1" operator="lessThan">
      <formula>#REF!</formula>
    </cfRule>
  </conditionalFormatting>
  <conditionalFormatting sqref="J8:K21">
    <cfRule type="cellIs" dxfId="7" priority="6" stopIfTrue="1" operator="lessThan">
      <formula>#REF!</formula>
    </cfRule>
  </conditionalFormatting>
  <conditionalFormatting sqref="J4:K7">
    <cfRule type="cellIs" dxfId="6" priority="7" stopIfTrue="1" operator="lessThan">
      <formula>#REF!</formula>
    </cfRule>
  </conditionalFormatting>
  <conditionalFormatting sqref="J22:K23 J25:K25">
    <cfRule type="cellIs" dxfId="5" priority="5" stopIfTrue="1" operator="lessThan">
      <formula>#REF!</formula>
    </cfRule>
  </conditionalFormatting>
  <conditionalFormatting sqref="J26:K38">
    <cfRule type="cellIs" dxfId="4" priority="3" stopIfTrue="1" operator="lessThan">
      <formula>#REF!</formula>
    </cfRule>
  </conditionalFormatting>
  <conditionalFormatting sqref="J39:K43">
    <cfRule type="cellIs" dxfId="3" priority="2" stopIfTrue="1" operator="lessThan">
      <formula>#REF!</formula>
    </cfRule>
  </conditionalFormatting>
  <conditionalFormatting sqref="J24:K24">
    <cfRule type="cellIs" dxfId="2" priority="1" stopIfTrue="1" operator="lessThan">
      <formula>#REF!</formula>
    </cfRule>
  </conditionalFormatting>
  <dataValidations count="1">
    <dataValidation type="list" showInputMessage="1" showErrorMessage="1" error="НЕТ ТАКОЙ КОНТОРЫ !_x000a_посмотри в листе Запол" sqref="C2:C42">
      <formula1>Владелец</formula1>
    </dataValidation>
  </dataValidations>
  <pageMargins left="0.75" right="0.75" top="1" bottom="1" header="0.5" footer="0.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Не правильные данные ОГТН" error="Смотри в листе Срок">
          <x14:formula1>
            <xm:f>Срок!$A:$A</xm:f>
          </x14:formula1>
          <xm:sqref>E2:E43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T56"/>
  <sheetViews>
    <sheetView workbookViewId="0">
      <selection activeCell="B8" sqref="B8:F8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6.140625" style="58" customWidth="1"/>
    <col min="6" max="6" width="4.28515625" style="58" customWidth="1"/>
    <col min="7" max="7" width="6.85546875" style="58" customWidth="1"/>
    <col min="8" max="8" width="5.140625" style="58" customWidth="1"/>
    <col min="9" max="9" width="6.85546875" style="58" customWidth="1"/>
    <col min="10" max="10" width="9.42578125" style="58" customWidth="1"/>
    <col min="11" max="11" width="8.140625" style="58" customWidth="1"/>
    <col min="12" max="12" width="8.5703125" style="58" customWidth="1"/>
    <col min="13" max="13" width="7.85546875" style="58" customWidth="1"/>
    <col min="14" max="14" width="8.28515625" style="58" customWidth="1"/>
    <col min="15" max="15" width="2" style="58" customWidth="1"/>
    <col min="16" max="16" width="5.28515625" style="58" customWidth="1"/>
    <col min="17" max="16384" width="9.140625" style="58"/>
  </cols>
  <sheetData>
    <row r="1" spans="1:20" x14ac:dyDescent="0.2">
      <c r="A1" s="52" t="s">
        <v>341</v>
      </c>
      <c r="C1" s="61"/>
      <c r="D1" s="62"/>
      <c r="H1" s="284" t="str">
        <f>INDEX(Запол!A:F,MATCH(P2,Запол!E:E,),MATCH("Шеф",Запол!$A$1:$F$1,))&amp;"у "&amp;INDEX('На учет'!C:C,A2)</f>
        <v>Директору СПМУ №6</v>
      </c>
      <c r="I1" s="284"/>
      <c r="J1" s="284"/>
      <c r="K1" s="284"/>
      <c r="L1" s="284"/>
      <c r="M1" s="284"/>
      <c r="N1" s="284"/>
      <c r="O1" s="162"/>
      <c r="P1" s="86"/>
    </row>
    <row r="2" spans="1:20" ht="23.25" customHeight="1" x14ac:dyDescent="0.2">
      <c r="A2" s="59">
        <v>39</v>
      </c>
      <c r="G2" s="162"/>
      <c r="H2" s="284"/>
      <c r="I2" s="284"/>
      <c r="J2" s="284"/>
      <c r="K2" s="284"/>
      <c r="L2" s="284"/>
      <c r="M2" s="284"/>
      <c r="N2" s="284"/>
      <c r="O2" s="162"/>
      <c r="P2" s="63" t="str">
        <f>INDEX('На учет'!C:C,A2)</f>
        <v>СПМУ №6</v>
      </c>
    </row>
    <row r="3" spans="1:20" ht="12.75" customHeight="1" x14ac:dyDescent="0.2">
      <c r="A3" s="59">
        <f>A2+1</f>
        <v>40</v>
      </c>
      <c r="B3" s="277" t="s">
        <v>548</v>
      </c>
      <c r="C3" s="277"/>
      <c r="D3" s="277"/>
      <c r="E3" s="277"/>
      <c r="F3" s="277"/>
      <c r="G3" s="61"/>
      <c r="H3" s="280" t="str">
        <f>INDEX('На учет'!D:D,A2)</f>
        <v>г. Сызрань</v>
      </c>
      <c r="I3" s="280"/>
      <c r="J3" s="280"/>
      <c r="K3" s="280"/>
      <c r="L3" s="280"/>
      <c r="M3" s="280"/>
      <c r="N3" s="280"/>
    </row>
    <row r="4" spans="1:20" ht="12.75" customHeight="1" x14ac:dyDescent="0.2">
      <c r="A4" s="59">
        <f t="shared" ref="A4:A43" si="0">A3+1</f>
        <v>41</v>
      </c>
      <c r="B4" s="277" t="s">
        <v>646</v>
      </c>
      <c r="C4" s="277"/>
      <c r="D4" s="277"/>
      <c r="E4" s="277"/>
      <c r="F4" s="277"/>
      <c r="G4" s="61"/>
      <c r="H4" s="61"/>
      <c r="I4" s="163"/>
      <c r="J4" s="163"/>
      <c r="K4" s="163"/>
      <c r="L4" s="163"/>
      <c r="M4" s="163"/>
      <c r="N4" s="163"/>
      <c r="O4" s="163"/>
    </row>
    <row r="5" spans="1:20" ht="12.75" customHeight="1" x14ac:dyDescent="0.2">
      <c r="A5" s="59">
        <f t="shared" si="0"/>
        <v>42</v>
      </c>
      <c r="G5" s="163"/>
      <c r="H5" s="284"/>
      <c r="I5" s="284"/>
      <c r="J5" s="284"/>
      <c r="K5" s="284"/>
      <c r="L5" s="284"/>
      <c r="M5" s="284"/>
      <c r="N5" s="284"/>
      <c r="O5" s="163"/>
    </row>
    <row r="6" spans="1:20" ht="12.75" customHeight="1" x14ac:dyDescent="0.2">
      <c r="A6" s="59">
        <f t="shared" si="0"/>
        <v>43</v>
      </c>
      <c r="B6" s="278" t="s">
        <v>596</v>
      </c>
      <c r="C6" s="278"/>
      <c r="D6" s="278"/>
      <c r="E6" s="278"/>
      <c r="F6" s="278"/>
      <c r="G6" s="163"/>
      <c r="H6" s="284"/>
      <c r="I6" s="284"/>
      <c r="J6" s="284"/>
      <c r="K6" s="284"/>
      <c r="L6" s="284"/>
      <c r="M6" s="284"/>
      <c r="N6" s="284"/>
      <c r="O6" s="163"/>
    </row>
    <row r="7" spans="1:20" ht="15.75" customHeight="1" x14ac:dyDescent="0.2">
      <c r="A7" s="59">
        <f t="shared" si="0"/>
        <v>44</v>
      </c>
      <c r="B7" s="275" t="s">
        <v>654</v>
      </c>
      <c r="C7" s="275"/>
      <c r="D7" s="275"/>
      <c r="E7" s="275"/>
      <c r="F7" s="275"/>
      <c r="I7" s="281"/>
      <c r="J7" s="281"/>
      <c r="K7" s="281"/>
      <c r="L7" s="281"/>
      <c r="M7" s="281"/>
    </row>
    <row r="8" spans="1:20" ht="12.75" customHeight="1" x14ac:dyDescent="0.2">
      <c r="A8" s="59">
        <f t="shared" si="0"/>
        <v>45</v>
      </c>
      <c r="B8" s="277"/>
      <c r="C8" s="277"/>
      <c r="D8" s="277"/>
      <c r="E8" s="277"/>
      <c r="F8" s="277"/>
      <c r="I8" s="281"/>
      <c r="J8" s="281"/>
      <c r="K8" s="281"/>
      <c r="L8" s="281"/>
      <c r="M8" s="281"/>
      <c r="S8" s="174"/>
      <c r="T8" s="174"/>
    </row>
    <row r="9" spans="1:20" ht="12.75" customHeight="1" x14ac:dyDescent="0.2">
      <c r="A9" s="59">
        <f t="shared" si="0"/>
        <v>46</v>
      </c>
      <c r="B9" s="65" t="s">
        <v>475</v>
      </c>
      <c r="C9" s="279"/>
      <c r="D9" s="279"/>
      <c r="E9" s="279"/>
      <c r="F9" s="279"/>
    </row>
    <row r="10" spans="1:20" ht="12.75" customHeight="1" x14ac:dyDescent="0.2">
      <c r="A10" s="59">
        <f t="shared" si="0"/>
        <v>47</v>
      </c>
    </row>
    <row r="11" spans="1:20" ht="12.75" customHeight="1" x14ac:dyDescent="0.2">
      <c r="A11" s="59">
        <f t="shared" si="0"/>
        <v>48</v>
      </c>
    </row>
    <row r="12" spans="1:20" ht="12.75" customHeight="1" x14ac:dyDescent="0.2">
      <c r="A12" s="59">
        <f t="shared" si="0"/>
        <v>49</v>
      </c>
    </row>
    <row r="13" spans="1:20" ht="7.5" customHeight="1" x14ac:dyDescent="0.2">
      <c r="A13" s="59">
        <f t="shared" si="0"/>
        <v>50</v>
      </c>
      <c r="C13" s="61"/>
      <c r="D13" s="62"/>
    </row>
    <row r="14" spans="1:20" ht="12.75" customHeight="1" x14ac:dyDescent="0.25">
      <c r="A14" s="59">
        <f t="shared" si="0"/>
        <v>51</v>
      </c>
      <c r="C14" s="61"/>
      <c r="O14" s="66"/>
    </row>
    <row r="15" spans="1:20" ht="33" customHeight="1" x14ac:dyDescent="0.2">
      <c r="A15" s="59">
        <f t="shared" si="0"/>
        <v>52</v>
      </c>
      <c r="B15" s="283" t="s">
        <v>647</v>
      </c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</row>
    <row r="16" spans="1:20" ht="15" customHeight="1" x14ac:dyDescent="0.25">
      <c r="A16" s="59">
        <f t="shared" si="0"/>
        <v>53</v>
      </c>
      <c r="B16" s="130"/>
      <c r="C16" s="137" t="str">
        <f>IF(INDEX('На учет'!E:E,A2)=0,"","1."&amp;INDEX('На учет'!E:E,A2)&amp;", Рег. № "&amp;INDEX('На учет'!F:F,A2)&amp;", Зав. № "&amp;INDEX('На учет'!G:G,A2)&amp;", "&amp;INDEX('На учет'!H:H,A2)&amp;" года выпуска")</f>
        <v>1.Цистерна, Рег. № 276, Зав. № 370191132, 1988 года выпуска</v>
      </c>
      <c r="D16" s="136"/>
      <c r="E16" s="136"/>
      <c r="F16" s="131"/>
      <c r="G16" s="129"/>
      <c r="H16" s="129"/>
      <c r="I16" s="129"/>
      <c r="J16" s="128"/>
      <c r="K16" s="128"/>
      <c r="L16" s="128"/>
      <c r="M16" s="129"/>
      <c r="N16" s="129"/>
      <c r="O16" s="129"/>
    </row>
    <row r="17" spans="1:17" ht="17.25" customHeight="1" x14ac:dyDescent="0.25">
      <c r="A17" s="59">
        <f t="shared" si="0"/>
        <v>54</v>
      </c>
      <c r="B17" s="129"/>
      <c r="C17" s="137" t="str">
        <f>IF(INDEX('На учет'!E:E,A3)=0,"","2."&amp;INDEX('На учет'!E:E,A3)&amp;", Рег. № "&amp;INDEX('На учет'!F:F,A3)&amp;", Зав. № "&amp;INDEX('На учет'!G:G,A3)&amp;", "&amp;INDEX('На учет'!H:H,A3)&amp;" года выпуска")</f>
        <v>2.Цистерна, Рег. № 322, Зав. № 370191133, 1988 года выпуска</v>
      </c>
      <c r="D17" s="132"/>
      <c r="E17" s="132"/>
      <c r="F17" s="132"/>
      <c r="G17" s="133"/>
      <c r="H17" s="134"/>
      <c r="I17" s="133"/>
      <c r="J17" s="134"/>
      <c r="K17" s="133"/>
      <c r="L17" s="129"/>
      <c r="M17" s="134"/>
      <c r="N17" s="135"/>
      <c r="O17" s="134"/>
    </row>
    <row r="18" spans="1:17" ht="15.75" x14ac:dyDescent="0.25">
      <c r="A18" s="59">
        <f t="shared" si="0"/>
        <v>55</v>
      </c>
      <c r="B18" s="129"/>
      <c r="C18" s="137" t="str">
        <f>IF(INDEX('На учет'!E:E,A4)=0,"","3."&amp;INDEX('На учет'!E:E,A4)&amp;", Рег. № "&amp;INDEX('На учет'!F:F,A4)&amp;", Зав. № "&amp;INDEX('На учет'!G:G,A4)&amp;", "&amp;INDEX('На учет'!H:H,A4)&amp;" года выпуска")</f>
        <v>3.ресивер, Рег. № 349, Зав. № 640, 1963 года выпуска</v>
      </c>
      <c r="D18" s="132"/>
      <c r="E18" s="132"/>
      <c r="F18" s="132"/>
      <c r="G18" s="133"/>
      <c r="H18" s="134"/>
      <c r="I18" s="133"/>
      <c r="J18" s="134"/>
      <c r="K18" s="133"/>
      <c r="L18" s="129"/>
      <c r="M18" s="134"/>
      <c r="N18" s="135"/>
      <c r="O18" s="134"/>
    </row>
    <row r="19" spans="1:17" ht="15.75" x14ac:dyDescent="0.25">
      <c r="A19" s="59">
        <f t="shared" si="0"/>
        <v>56</v>
      </c>
      <c r="B19" s="129"/>
      <c r="C19" s="137" t="str">
        <f>IF(INDEX('На учет'!E:E,A5)=0,"","4."&amp;INDEX('На учет'!E:E,A5)&amp;", Рег. № "&amp;INDEX('На учет'!F:F,A5)&amp;", Зав. № "&amp;INDEX('На учет'!G:G,A5)&amp;", "&amp;INDEX('На учет'!H:H,A5)&amp;" года выпуска")</f>
        <v>4.ресивер, Рег. № 350, Зав. № 641, 1963 года выпуска</v>
      </c>
      <c r="D19" s="132"/>
      <c r="E19" s="132"/>
      <c r="F19" s="132"/>
      <c r="G19" s="133"/>
      <c r="H19" s="134"/>
      <c r="I19" s="133"/>
      <c r="J19" s="134"/>
      <c r="K19" s="133"/>
      <c r="L19" s="129"/>
      <c r="M19" s="134"/>
      <c r="N19" s="135"/>
      <c r="O19" s="134"/>
    </row>
    <row r="20" spans="1:17" ht="15.75" x14ac:dyDescent="0.25">
      <c r="A20" s="59">
        <f t="shared" si="0"/>
        <v>57</v>
      </c>
      <c r="B20" s="129"/>
      <c r="C20" s="137" t="str">
        <f>IF(INDEX('На учет'!E:E,A6)=0,"","5."&amp;INDEX('На учет'!E:E,A6)&amp;", Рег. № "&amp;INDEX('На учет'!F:F,A6)&amp;", Зав. № "&amp;INDEX('На учет'!G:G,A6)&amp;", "&amp;INDEX('На учет'!H:H,A6)&amp;" года выпуска")</f>
        <v>5.ВС-22.04, Рег. № 1318, Зав. № 1172, 2005 года выпуска</v>
      </c>
      <c r="D20" s="132"/>
      <c r="E20" s="132"/>
      <c r="F20" s="132"/>
      <c r="G20" s="133"/>
      <c r="H20" s="134"/>
      <c r="I20" s="133"/>
      <c r="J20" s="134"/>
      <c r="K20" s="133"/>
      <c r="L20" s="129"/>
      <c r="M20" s="134"/>
      <c r="N20" s="135"/>
      <c r="O20" s="134"/>
    </row>
    <row r="21" spans="1:17" ht="15.75" x14ac:dyDescent="0.25">
      <c r="A21" s="59">
        <f t="shared" si="0"/>
        <v>58</v>
      </c>
      <c r="B21" s="129"/>
      <c r="C21" s="137" t="str">
        <f>IF(INDEX('На учет'!E:E,A7)=0,"","6."&amp;INDEX('На учет'!E:E,A7)&amp;", Рег. № "&amp;INDEX('На учет'!F:F,A7)&amp;", Зав. № "&amp;INDEX('На учет'!G:G,A7)&amp;", "&amp;INDEX('На учет'!H:H,A7)&amp;" года выпуска")</f>
        <v/>
      </c>
      <c r="D21" s="132"/>
      <c r="E21" s="132"/>
      <c r="F21" s="132"/>
      <c r="G21" s="133"/>
      <c r="H21" s="134"/>
      <c r="I21" s="133"/>
      <c r="J21" s="134"/>
      <c r="K21" s="133"/>
      <c r="L21" s="129"/>
      <c r="M21" s="134"/>
      <c r="N21" s="135"/>
      <c r="O21" s="134"/>
    </row>
    <row r="22" spans="1:17" ht="15.75" x14ac:dyDescent="0.25">
      <c r="A22" s="59">
        <f t="shared" si="0"/>
        <v>59</v>
      </c>
      <c r="B22" s="129"/>
      <c r="C22" s="137" t="str">
        <f>IF(INDEX('На учет'!E:E,A8)=0,"","7."&amp;INDEX('На учет'!E:E,A8)&amp;", Рег. № "&amp;INDEX('На учет'!F:F,A8)&amp;", Зав. № "&amp;INDEX('На учет'!G:G,A8)&amp;", "&amp;INDEX('На учет'!H:H,A8)&amp;" года выпуска")</f>
        <v/>
      </c>
      <c r="D22" s="132"/>
      <c r="E22" s="132"/>
      <c r="F22" s="132"/>
      <c r="G22" s="133"/>
      <c r="H22" s="134"/>
      <c r="I22" s="133"/>
      <c r="J22" s="134"/>
      <c r="K22" s="133"/>
      <c r="L22" s="129"/>
      <c r="M22" s="134"/>
      <c r="N22" s="135"/>
      <c r="O22" s="134"/>
    </row>
    <row r="23" spans="1:17" ht="15.75" hidden="1" x14ac:dyDescent="0.25">
      <c r="A23" s="59">
        <f t="shared" si="0"/>
        <v>60</v>
      </c>
      <c r="B23" s="129"/>
      <c r="C23" s="137" t="str">
        <f>IF(INDEX('На учет'!E:E,A9)=0,"","8."&amp;INDEX('На учет'!E:E,A9)&amp;", Рег. № "&amp;INDEX('На учет'!F:F,A9)&amp;", Зав. № "&amp;INDEX('На учет'!G:G,A9)&amp;", "&amp;INDEX('На учет'!H:H,A9)&amp;" года выпуска")</f>
        <v/>
      </c>
      <c r="D23" s="132"/>
      <c r="E23" s="132"/>
      <c r="F23" s="132"/>
      <c r="G23" s="133"/>
      <c r="H23" s="134"/>
      <c r="I23" s="133"/>
      <c r="J23" s="134"/>
      <c r="K23" s="133"/>
      <c r="L23" s="129"/>
      <c r="M23" s="134"/>
      <c r="N23" s="135"/>
      <c r="O23" s="134"/>
    </row>
    <row r="24" spans="1:17" ht="15.75" hidden="1" x14ac:dyDescent="0.25">
      <c r="A24" s="59">
        <f t="shared" si="0"/>
        <v>61</v>
      </c>
      <c r="B24" s="129"/>
      <c r="C24" s="137" t="str">
        <f>IF(INDEX('На учет'!E:E,A10)=0,"","9."&amp;INDEX('На учет'!E:E,A10)&amp;", Рег. № "&amp;INDEX('На учет'!F:F,A10)&amp;", Зав. № "&amp;INDEX('На учет'!G:G,A10)&amp;", "&amp;INDEX('На учет'!H:H,A10)&amp;" года выпуска")</f>
        <v/>
      </c>
      <c r="D24" s="132"/>
      <c r="E24" s="132"/>
      <c r="F24" s="132"/>
      <c r="G24" s="133"/>
      <c r="H24" s="134"/>
      <c r="I24" s="133"/>
      <c r="J24" s="134"/>
      <c r="K24" s="133"/>
      <c r="L24" s="129"/>
      <c r="M24" s="134"/>
      <c r="N24" s="135"/>
      <c r="O24" s="134"/>
    </row>
    <row r="25" spans="1:17" ht="15.75" hidden="1" x14ac:dyDescent="0.25">
      <c r="A25" s="59">
        <f t="shared" si="0"/>
        <v>62</v>
      </c>
      <c r="B25" s="129"/>
      <c r="C25" s="137" t="str">
        <f>IF(INDEX('На учет'!E:E,A11)=0,"","10."&amp;INDEX('На учет'!E:E,A11)&amp;", Рег. № "&amp;INDEX('На учет'!F:F,A11)&amp;", Зав. № "&amp;INDEX('На учет'!G:G,A11)&amp;", "&amp;INDEX('На учет'!H:H,A11)&amp;" года выпуска")</f>
        <v/>
      </c>
      <c r="D25" s="132"/>
      <c r="E25" s="132"/>
      <c r="F25" s="132"/>
      <c r="G25" s="133"/>
      <c r="H25" s="134"/>
      <c r="I25" s="133"/>
      <c r="J25" s="134"/>
      <c r="K25" s="133"/>
      <c r="L25" s="129"/>
      <c r="M25" s="134"/>
      <c r="N25" s="135"/>
      <c r="O25" s="134"/>
      <c r="Q25" s="86"/>
    </row>
    <row r="26" spans="1:17" ht="15.75" hidden="1" x14ac:dyDescent="0.25">
      <c r="A26" s="59">
        <f t="shared" si="0"/>
        <v>63</v>
      </c>
      <c r="B26" s="129"/>
      <c r="C26" s="137" t="str">
        <f>IF(INDEX('На учет'!E:E,A12)=0,"","11."&amp;INDEX('На учет'!E:E,A12)&amp;", Рег. № "&amp;INDEX('На учет'!F:F,A12)&amp;", Зав. № "&amp;INDEX('На учет'!G:G,A12)&amp;", "&amp;INDEX('На учет'!H:H,A12)&amp;" года выпуска")</f>
        <v/>
      </c>
      <c r="D26" s="132"/>
      <c r="E26" s="132"/>
      <c r="F26" s="132"/>
      <c r="G26" s="133"/>
      <c r="H26" s="134"/>
      <c r="I26" s="133"/>
      <c r="J26" s="134"/>
      <c r="K26" s="133"/>
      <c r="L26" s="129"/>
      <c r="M26" s="134"/>
      <c r="N26" s="135"/>
      <c r="O26" s="134"/>
      <c r="P26" s="53"/>
      <c r="Q26" s="175"/>
    </row>
    <row r="27" spans="1:17" ht="15.75" hidden="1" x14ac:dyDescent="0.25">
      <c r="A27" s="59">
        <f t="shared" si="0"/>
        <v>64</v>
      </c>
      <c r="B27" s="129"/>
      <c r="C27" s="137" t="str">
        <f>IF(INDEX('На учет'!E:E,A13)=0,"","12."&amp;INDEX('На учет'!E:E,A13)&amp;", Рег. № "&amp;INDEX('На учет'!F:F,A13)&amp;", Зав. № "&amp;INDEX('На учет'!G:G,A13)&amp;", "&amp;INDEX('На учет'!H:H,A13)&amp;" года выпуска")</f>
        <v/>
      </c>
      <c r="D27" s="132"/>
      <c r="E27" s="132"/>
      <c r="F27" s="132"/>
      <c r="G27" s="133"/>
      <c r="H27" s="134"/>
      <c r="I27" s="133"/>
      <c r="J27" s="134"/>
      <c r="K27" s="133"/>
      <c r="L27" s="129"/>
      <c r="M27" s="134"/>
      <c r="N27" s="135"/>
      <c r="O27" s="134"/>
      <c r="P27" s="53"/>
      <c r="Q27" s="175"/>
    </row>
    <row r="28" spans="1:17" ht="15.75" hidden="1" x14ac:dyDescent="0.25">
      <c r="A28" s="59">
        <f t="shared" si="0"/>
        <v>65</v>
      </c>
      <c r="B28" s="129"/>
      <c r="C28" s="137" t="str">
        <f>IF(INDEX('На учет'!E:E,A14)=0,"","13."&amp;INDEX('На учет'!E:E,A14)&amp;", Рег. № "&amp;INDEX('На учет'!F:F,A14)&amp;", Зав. № "&amp;INDEX('На учет'!G:G,A14)&amp;", "&amp;INDEX('На учет'!H:H,A14)&amp;" года выпуска")</f>
        <v/>
      </c>
      <c r="D28" s="132"/>
      <c r="E28" s="132"/>
      <c r="F28" s="132"/>
      <c r="G28" s="133"/>
      <c r="H28" s="134"/>
      <c r="I28" s="133"/>
      <c r="J28" s="134"/>
      <c r="K28" s="133"/>
      <c r="L28" s="129"/>
      <c r="M28" s="134"/>
      <c r="N28" s="135"/>
      <c r="O28" s="134"/>
      <c r="P28" s="53"/>
      <c r="Q28" s="175"/>
    </row>
    <row r="29" spans="1:17" ht="15.75" hidden="1" x14ac:dyDescent="0.25">
      <c r="A29" s="59">
        <f t="shared" si="0"/>
        <v>66</v>
      </c>
      <c r="B29" s="129"/>
      <c r="C29" s="137" t="str">
        <f>IF(INDEX('На учет'!E:E,A15)=0,"","14."&amp;INDEX('На учет'!E:E,A15)&amp;", Рег. № "&amp;INDEX('На учет'!F:F,A15)&amp;", Зав. № "&amp;INDEX('На учет'!G:G,A15)&amp;", "&amp;INDEX('На учет'!H:H,A15)&amp;" года выпуска")</f>
        <v/>
      </c>
      <c r="D29" s="132"/>
      <c r="E29" s="132"/>
      <c r="F29" s="132"/>
      <c r="G29" s="133"/>
      <c r="H29" s="134"/>
      <c r="I29" s="133"/>
      <c r="J29" s="134"/>
      <c r="K29" s="133"/>
      <c r="L29" s="129"/>
      <c r="M29" s="134"/>
      <c r="N29" s="135"/>
      <c r="O29" s="134"/>
      <c r="P29" s="53"/>
      <c r="Q29" s="175"/>
    </row>
    <row r="30" spans="1:17" ht="15.75" hidden="1" x14ac:dyDescent="0.25">
      <c r="A30" s="59">
        <f t="shared" si="0"/>
        <v>67</v>
      </c>
      <c r="B30" s="129"/>
      <c r="C30" s="137" t="str">
        <f>IF(INDEX('На учет'!E:E,A16)=0,"","15."&amp;INDEX('На учет'!E:E,A16)&amp;", Рег. № "&amp;INDEX('На учет'!F:F,A16)&amp;", Зав. № "&amp;INDEX('На учет'!G:G,A16)&amp;", "&amp;INDEX('На учет'!H:H,A16)&amp;" года выпуска")</f>
        <v/>
      </c>
      <c r="D30" s="132"/>
      <c r="E30" s="132"/>
      <c r="F30" s="132"/>
      <c r="G30" s="133"/>
      <c r="H30" s="134"/>
      <c r="I30" s="133"/>
      <c r="J30" s="134"/>
      <c r="K30" s="133"/>
      <c r="L30" s="129"/>
      <c r="M30" s="134"/>
      <c r="N30" s="135"/>
      <c r="O30" s="134"/>
      <c r="P30" s="53"/>
      <c r="Q30" s="175"/>
    </row>
    <row r="31" spans="1:17" ht="15.75" hidden="1" x14ac:dyDescent="0.25">
      <c r="A31" s="59">
        <f t="shared" si="0"/>
        <v>68</v>
      </c>
      <c r="B31" s="129"/>
      <c r="C31" s="137" t="str">
        <f>IF(INDEX('На учет'!E:E,A17)=0,"","16."&amp;INDEX('На учет'!E:E,A17)&amp;", Рег. № "&amp;INDEX('На учет'!F:F,A17)&amp;", Зав. № "&amp;INDEX('На учет'!G:G,A17)&amp;", "&amp;INDEX('На учет'!H:H,A17)&amp;" года выпуска")</f>
        <v/>
      </c>
      <c r="D31" s="132"/>
      <c r="E31" s="132"/>
      <c r="F31" s="132"/>
      <c r="G31" s="133"/>
      <c r="H31" s="134"/>
      <c r="I31" s="133"/>
      <c r="J31" s="134"/>
      <c r="K31" s="133"/>
      <c r="L31" s="129"/>
      <c r="M31" s="134"/>
      <c r="N31" s="135"/>
      <c r="O31" s="134"/>
      <c r="P31" s="53"/>
      <c r="Q31" s="175"/>
    </row>
    <row r="32" spans="1:17" ht="15.75" hidden="1" x14ac:dyDescent="0.25">
      <c r="A32" s="59">
        <f t="shared" si="0"/>
        <v>69</v>
      </c>
      <c r="B32" s="129"/>
      <c r="C32" s="137" t="str">
        <f>IF(INDEX('На учет'!E:E,A18)=0,"","17."&amp;INDEX('На учет'!E:E,A18)&amp;", Рег. № "&amp;INDEX('На учет'!F:F,A18)&amp;", Зав. № "&amp;INDEX('На учет'!G:G,A18)&amp;", "&amp;INDEX('На учет'!H:H,A18)&amp;" года выпуска")</f>
        <v/>
      </c>
      <c r="D32" s="132"/>
      <c r="E32" s="132"/>
      <c r="F32" s="132"/>
      <c r="G32" s="133"/>
      <c r="H32" s="134"/>
      <c r="I32" s="133"/>
      <c r="J32" s="134"/>
      <c r="K32" s="133"/>
      <c r="L32" s="129"/>
      <c r="M32" s="134"/>
      <c r="N32" s="135"/>
      <c r="O32" s="134"/>
      <c r="P32" s="53"/>
      <c r="Q32" s="175"/>
    </row>
    <row r="33" spans="1:17" ht="15.75" hidden="1" x14ac:dyDescent="0.25">
      <c r="A33" s="59">
        <f t="shared" si="0"/>
        <v>70</v>
      </c>
      <c r="B33" s="129"/>
      <c r="C33" s="137" t="str">
        <f>IF(INDEX('На учет'!E:E,A19)=0,"","18."&amp;INDEX('На учет'!E:E,A19)&amp;", Рег. № "&amp;INDEX('На учет'!F:F,A19)&amp;", Зав. № "&amp;INDEX('На учет'!G:G,A19)&amp;", "&amp;INDEX('На учет'!H:H,A19)&amp;" года выпуска")</f>
        <v/>
      </c>
      <c r="D33" s="132"/>
      <c r="E33" s="132"/>
      <c r="F33" s="132"/>
      <c r="G33" s="133"/>
      <c r="H33" s="134"/>
      <c r="I33" s="133"/>
      <c r="J33" s="134"/>
      <c r="K33" s="133"/>
      <c r="L33" s="129"/>
      <c r="M33" s="134"/>
      <c r="N33" s="135"/>
      <c r="O33" s="134"/>
      <c r="P33" s="53"/>
      <c r="Q33" s="175"/>
    </row>
    <row r="34" spans="1:17" ht="15.75" hidden="1" x14ac:dyDescent="0.25">
      <c r="A34" s="59">
        <f t="shared" si="0"/>
        <v>71</v>
      </c>
      <c r="B34" s="129"/>
      <c r="C34" s="137" t="str">
        <f>IF(INDEX('На учет'!E:E,A20)=0,"","19."&amp;INDEX('На учет'!E:E,A20)&amp;", Рег. № "&amp;INDEX('На учет'!F:F,A20)&amp;", Зав. № "&amp;INDEX('На учет'!G:G,A20)&amp;", "&amp;INDEX('На учет'!H:H,A20)&amp;" года выпуска")</f>
        <v/>
      </c>
      <c r="D34" s="132"/>
      <c r="E34" s="132"/>
      <c r="F34" s="132"/>
      <c r="G34" s="133"/>
      <c r="H34" s="134"/>
      <c r="I34" s="133"/>
      <c r="J34" s="134"/>
      <c r="K34" s="133"/>
      <c r="L34" s="129"/>
      <c r="M34" s="134"/>
      <c r="N34" s="135"/>
      <c r="O34" s="134"/>
      <c r="P34" s="53"/>
      <c r="Q34" s="175"/>
    </row>
    <row r="35" spans="1:17" ht="15.75" hidden="1" x14ac:dyDescent="0.25">
      <c r="A35" s="59">
        <f t="shared" si="0"/>
        <v>72</v>
      </c>
      <c r="B35" s="129"/>
      <c r="C35" s="137" t="str">
        <f>IF(INDEX('На учет'!E:E,A21)=0,"","20."&amp;INDEX('На учет'!E:E,A21)&amp;", Рег. № "&amp;INDEX('На учет'!F:F,A21)&amp;", Зав. № "&amp;INDEX('На учет'!G:G,A21)&amp;", "&amp;INDEX('На учет'!H:H,A21)&amp;" года выпуска")</f>
        <v/>
      </c>
      <c r="D35" s="132"/>
      <c r="E35" s="132"/>
      <c r="F35" s="132"/>
      <c r="G35" s="133"/>
      <c r="H35" s="134"/>
      <c r="I35" s="133"/>
      <c r="J35" s="134"/>
      <c r="K35" s="133"/>
      <c r="L35" s="129"/>
      <c r="M35" s="134"/>
      <c r="N35" s="135"/>
      <c r="O35" s="134"/>
      <c r="P35" s="53"/>
      <c r="Q35" s="175"/>
    </row>
    <row r="36" spans="1:17" ht="15.75" hidden="1" x14ac:dyDescent="0.25">
      <c r="A36" s="59">
        <f t="shared" si="0"/>
        <v>73</v>
      </c>
      <c r="B36" s="129"/>
      <c r="C36" s="137" t="str">
        <f>IF(INDEX('На учет'!E:E,A22)=0,"","21."&amp;INDEX('На учет'!E:E,A22)&amp;", Рег. № "&amp;INDEX('На учет'!F:F,A22)&amp;", Зав. № "&amp;INDEX('На учет'!G:G,A22)&amp;", "&amp;INDEX('На учет'!H:H,A22)&amp;" года выпуска")</f>
        <v/>
      </c>
      <c r="D36" s="132"/>
      <c r="E36" s="132"/>
      <c r="F36" s="132"/>
      <c r="G36" s="133"/>
      <c r="H36" s="134"/>
      <c r="I36" s="133"/>
      <c r="J36" s="134"/>
      <c r="K36" s="133"/>
      <c r="L36" s="129"/>
      <c r="M36" s="134"/>
      <c r="N36" s="135"/>
      <c r="O36" s="134"/>
      <c r="P36" s="53"/>
      <c r="Q36" s="175"/>
    </row>
    <row r="37" spans="1:17" ht="15.75" hidden="1" x14ac:dyDescent="0.25">
      <c r="A37" s="59">
        <f t="shared" si="0"/>
        <v>74</v>
      </c>
      <c r="B37" s="129"/>
      <c r="C37" s="137" t="str">
        <f>IF(INDEX('На учет'!E:E,A23)=0,"","22."&amp;INDEX('На учет'!E:E,A23)&amp;", Рег. № "&amp;INDEX('На учет'!F:F,A23)&amp;", Зав. № "&amp;INDEX('На учет'!G:G,A23)&amp;", "&amp;INDEX('На учет'!H:H,A23)&amp;" года выпуска")</f>
        <v/>
      </c>
      <c r="D37" s="132"/>
      <c r="E37" s="132"/>
      <c r="F37" s="132"/>
      <c r="G37" s="133"/>
      <c r="H37" s="134"/>
      <c r="I37" s="133"/>
      <c r="J37" s="134"/>
      <c r="K37" s="133"/>
      <c r="L37" s="129"/>
      <c r="M37" s="134"/>
      <c r="N37" s="135"/>
      <c r="O37" s="134"/>
      <c r="P37" s="53"/>
      <c r="Q37" s="175"/>
    </row>
    <row r="38" spans="1:17" ht="15.75" hidden="1" x14ac:dyDescent="0.25">
      <c r="A38" s="59">
        <f t="shared" si="0"/>
        <v>75</v>
      </c>
      <c r="B38" s="129"/>
      <c r="C38" s="137" t="str">
        <f>IF(INDEX('На учет'!E:E,A24)=0,"","23."&amp;INDEX('На учет'!E:E,A24)&amp;", Рег. № "&amp;INDEX('На учет'!F:F,A24)&amp;", Зав. № "&amp;INDEX('На учет'!G:G,A24)&amp;", "&amp;INDEX('На учет'!H:H,A24)&amp;" года выпуска")</f>
        <v/>
      </c>
      <c r="D38" s="132"/>
      <c r="E38" s="132"/>
      <c r="F38" s="132"/>
      <c r="G38" s="133"/>
      <c r="H38" s="134"/>
      <c r="I38" s="133"/>
      <c r="J38" s="134"/>
      <c r="K38" s="133"/>
      <c r="L38" s="129"/>
      <c r="M38" s="134"/>
      <c r="N38" s="135"/>
      <c r="O38" s="134"/>
      <c r="P38" s="53"/>
      <c r="Q38" s="175"/>
    </row>
    <row r="39" spans="1:17" ht="15.75" hidden="1" x14ac:dyDescent="0.25">
      <c r="A39" s="59">
        <f t="shared" si="0"/>
        <v>76</v>
      </c>
      <c r="B39" s="129"/>
      <c r="C39" s="137" t="str">
        <f>IF(INDEX('На учет'!E:E,A25)=0,"","24."&amp;INDEX('На учет'!E:E,A25)&amp;", Рег. № "&amp;INDEX('На учет'!F:F,A25)&amp;", Зав. № "&amp;INDEX('На учет'!G:G,A25)&amp;", "&amp;INDEX('На учет'!H:H,A25)&amp;" года выпуска")</f>
        <v/>
      </c>
      <c r="D39" s="132"/>
      <c r="E39" s="132"/>
      <c r="F39" s="132"/>
      <c r="G39" s="133"/>
      <c r="H39" s="134"/>
      <c r="I39" s="133"/>
      <c r="J39" s="134"/>
      <c r="K39" s="133"/>
      <c r="L39" s="129"/>
      <c r="M39" s="134"/>
      <c r="N39" s="135"/>
      <c r="O39" s="134"/>
      <c r="P39" s="53"/>
      <c r="Q39" s="175"/>
    </row>
    <row r="40" spans="1:17" ht="15.75" hidden="1" x14ac:dyDescent="0.25">
      <c r="A40" s="59">
        <f t="shared" si="0"/>
        <v>77</v>
      </c>
      <c r="B40" s="129"/>
      <c r="C40" s="137" t="str">
        <f>IF(INDEX('На учет'!E:E,A26)=0,"","25."&amp;INDEX('На учет'!E:E,A26)&amp;", Рег. № "&amp;INDEX('На учет'!F:F,A26)&amp;", Зав. № "&amp;INDEX('На учет'!G:G,A26)&amp;", "&amp;INDEX('На учет'!H:H,A26)&amp;" года выпуска")</f>
        <v/>
      </c>
      <c r="D40" s="132"/>
      <c r="E40" s="132"/>
      <c r="F40" s="132"/>
      <c r="G40" s="133"/>
      <c r="H40" s="134"/>
      <c r="I40" s="133"/>
      <c r="J40" s="134"/>
      <c r="K40" s="133"/>
      <c r="L40" s="129"/>
      <c r="M40" s="134"/>
      <c r="N40" s="135"/>
      <c r="O40" s="134"/>
      <c r="P40" s="53"/>
      <c r="Q40" s="175"/>
    </row>
    <row r="41" spans="1:17" ht="15.75" hidden="1" x14ac:dyDescent="0.25">
      <c r="A41" s="59">
        <f t="shared" si="0"/>
        <v>78</v>
      </c>
      <c r="B41" s="129"/>
      <c r="C41" s="137" t="str">
        <f>IF(INDEX('На учет'!E:E,A27)=0,"","26."&amp;INDEX('На учет'!E:E,A27)&amp;", Рег. № "&amp;INDEX('На учет'!F:F,A27)&amp;", Зав. № "&amp;INDEX('На учет'!G:G,A27)&amp;", "&amp;INDEX('На учет'!H:H,A27)&amp;" года выпуска")</f>
        <v/>
      </c>
      <c r="D41" s="132"/>
      <c r="E41" s="132"/>
      <c r="F41" s="132"/>
      <c r="G41" s="133"/>
      <c r="H41" s="134"/>
      <c r="I41" s="133"/>
      <c r="J41" s="134"/>
      <c r="K41" s="133"/>
      <c r="L41" s="129"/>
      <c r="M41" s="134"/>
      <c r="N41" s="135"/>
      <c r="O41" s="134"/>
      <c r="P41" s="53"/>
      <c r="Q41" s="175"/>
    </row>
    <row r="42" spans="1:17" ht="15.75" hidden="1" x14ac:dyDescent="0.25">
      <c r="A42" s="59">
        <f t="shared" si="0"/>
        <v>79</v>
      </c>
      <c r="B42" s="128"/>
      <c r="C42" s="176" t="str">
        <f>IF(INDEX(Q48:Q49,A44)=0," ",INDEX(Q48:Q49,A44)&amp;" "&amp;COUNTA(C16:C41)-COUNTBLANK(C16:C41)&amp;" ед.")</f>
        <v>Приложение: Паспорт технического устройства - 5 ед.</v>
      </c>
      <c r="D42" s="132"/>
      <c r="E42" s="132"/>
      <c r="F42" s="132"/>
      <c r="G42" s="133"/>
      <c r="H42" s="134"/>
      <c r="I42" s="133"/>
      <c r="J42" s="134"/>
      <c r="K42" s="133"/>
      <c r="L42" s="129"/>
      <c r="M42" s="134"/>
      <c r="N42" s="135"/>
      <c r="O42" s="134"/>
      <c r="P42" s="53"/>
      <c r="Q42" s="175"/>
    </row>
    <row r="43" spans="1:17" ht="15.75" x14ac:dyDescent="0.25">
      <c r="A43" s="59">
        <f t="shared" si="0"/>
        <v>80</v>
      </c>
      <c r="C43" s="68"/>
      <c r="O43" s="134"/>
      <c r="P43" s="53"/>
      <c r="Q43" s="175"/>
    </row>
    <row r="44" spans="1:17" ht="15.75" x14ac:dyDescent="0.25">
      <c r="A44" s="239">
        <v>1</v>
      </c>
      <c r="B44" s="282" t="str">
        <f>INDEX(Q44:Q45,A46)</f>
        <v>ДИРЕКТОР ООО «РОГА &amp; КОПЫТА»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34"/>
      <c r="P44" s="88">
        <v>1</v>
      </c>
      <c r="Q44" s="173" t="s">
        <v>582</v>
      </c>
    </row>
    <row r="45" spans="1:17" ht="15.75" x14ac:dyDescent="0.25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34"/>
      <c r="P45" s="88">
        <v>2</v>
      </c>
      <c r="Q45" s="173" t="s">
        <v>583</v>
      </c>
    </row>
    <row r="46" spans="1:17" ht="15.75" x14ac:dyDescent="0.25">
      <c r="A46" s="88">
        <v>1</v>
      </c>
      <c r="M46" s="127" t="str">
        <f>INDEX(Q50:Q58,A47)</f>
        <v>И.Иванов</v>
      </c>
      <c r="O46" s="134"/>
      <c r="P46" s="53"/>
      <c r="Q46" s="86"/>
    </row>
    <row r="47" spans="1:17" x14ac:dyDescent="0.2">
      <c r="A47" s="89">
        <v>1</v>
      </c>
      <c r="O47" s="134"/>
      <c r="P47" s="53"/>
      <c r="Q47" s="86"/>
    </row>
    <row r="48" spans="1:17" x14ac:dyDescent="0.2">
      <c r="O48" s="134"/>
      <c r="P48" s="239">
        <v>1</v>
      </c>
      <c r="Q48" s="86" t="s">
        <v>288</v>
      </c>
    </row>
    <row r="49" spans="15:17" x14ac:dyDescent="0.2">
      <c r="O49" s="134"/>
      <c r="P49" s="239">
        <v>2</v>
      </c>
      <c r="Q49" s="86"/>
    </row>
    <row r="50" spans="15:17" x14ac:dyDescent="0.2">
      <c r="O50" s="129"/>
      <c r="P50" s="89">
        <v>1</v>
      </c>
      <c r="Q50" s="173" t="s">
        <v>584</v>
      </c>
    </row>
    <row r="51" spans="15:17" x14ac:dyDescent="0.2">
      <c r="P51" s="89">
        <v>2</v>
      </c>
      <c r="Q51" s="173" t="s">
        <v>585</v>
      </c>
    </row>
    <row r="52" spans="15:17" ht="15.75" x14ac:dyDescent="0.25">
      <c r="O52" s="127"/>
      <c r="P52" s="89">
        <v>3</v>
      </c>
      <c r="Q52" s="173" t="s">
        <v>586</v>
      </c>
    </row>
    <row r="53" spans="15:17" x14ac:dyDescent="0.2">
      <c r="P53" s="89">
        <v>4</v>
      </c>
      <c r="Q53" s="86"/>
    </row>
    <row r="54" spans="15:17" x14ac:dyDescent="0.2">
      <c r="P54" s="89">
        <v>5</v>
      </c>
      <c r="Q54" s="86"/>
    </row>
    <row r="55" spans="15:17" ht="12.75" customHeight="1" x14ac:dyDescent="0.2">
      <c r="P55" s="89">
        <v>6</v>
      </c>
      <c r="Q55" s="86"/>
    </row>
    <row r="56" spans="15:17" x14ac:dyDescent="0.2">
      <c r="P56" s="89">
        <v>7</v>
      </c>
      <c r="Q56" s="86"/>
    </row>
  </sheetData>
  <mergeCells count="12">
    <mergeCell ref="H1:N2"/>
    <mergeCell ref="H3:N3"/>
    <mergeCell ref="H5:N6"/>
    <mergeCell ref="I7:M8"/>
    <mergeCell ref="C9:F9"/>
    <mergeCell ref="B44:N44"/>
    <mergeCell ref="B3:F3"/>
    <mergeCell ref="B4:F4"/>
    <mergeCell ref="B6:F6"/>
    <mergeCell ref="B7:F7"/>
    <mergeCell ref="B15:N15"/>
    <mergeCell ref="B8:F8"/>
  </mergeCells>
  <phoneticPr fontId="2" type="noConversion"/>
  <pageMargins left="1.18" right="0.34" top="0.24" bottom="0.76" header="0.2" footer="0.26"/>
  <pageSetup paperSize="9" scale="59" orientation="portrait" verticalDpi="0" r:id="rId1"/>
  <headerFooter alignWithMargins="0">
    <oddFooter>&amp;L&amp;"Times New Roman,обычный"&amp;8исп. Главный инспектор А. Александров
тел. (846) 339-98-98
email: ogtn967@yandex.ru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R11"/>
  <sheetViews>
    <sheetView workbookViewId="0">
      <pane ySplit="2" topLeftCell="A3" activePane="bottomLeft" state="frozen"/>
      <selection activeCell="E3836" sqref="E3836"/>
      <selection pane="bottomLeft" activeCell="L6" sqref="L6"/>
    </sheetView>
  </sheetViews>
  <sheetFormatPr defaultRowHeight="12" x14ac:dyDescent="0.2"/>
  <cols>
    <col min="1" max="1" width="4.7109375" style="4" customWidth="1"/>
    <col min="2" max="2" width="7" style="4" customWidth="1"/>
    <col min="3" max="3" width="11.42578125" style="45" customWidth="1"/>
    <col min="4" max="4" width="8.5703125" style="4" customWidth="1"/>
    <col min="5" max="5" width="10.7109375" style="4" customWidth="1"/>
    <col min="6" max="6" width="6.42578125" style="4" customWidth="1"/>
    <col min="7" max="7" width="9.85546875" style="4" customWidth="1"/>
    <col min="8" max="8" width="6" style="4" customWidth="1"/>
    <col min="9" max="9" width="7" style="4" customWidth="1"/>
    <col min="10" max="11" width="7.140625" style="4" customWidth="1"/>
    <col min="12" max="12" width="6.5703125" style="4" customWidth="1"/>
    <col min="13" max="13" width="15.85546875" style="45" customWidth="1"/>
    <col min="14" max="14" width="5.85546875" style="4" customWidth="1"/>
    <col min="15" max="15" width="5.5703125" style="4" customWidth="1"/>
    <col min="16" max="16" width="10.85546875" style="4" customWidth="1"/>
    <col min="17" max="17" width="8.7109375" style="4" customWidth="1"/>
    <col min="18" max="18" width="8.42578125" style="4" customWidth="1"/>
    <col min="19" max="16384" width="9.140625" style="4"/>
  </cols>
  <sheetData>
    <row r="1" spans="1:18" ht="12.75" x14ac:dyDescent="0.2">
      <c r="M1" s="142">
        <f>N1-O1</f>
        <v>6</v>
      </c>
      <c r="N1" s="144">
        <f>SUBTOTAL(3,N3:N8)</f>
        <v>6</v>
      </c>
      <c r="O1" s="143">
        <f>SUBTOTAL(3,O3:O8)</f>
        <v>0</v>
      </c>
      <c r="P1" s="141" t="s">
        <v>317</v>
      </c>
      <c r="Q1" s="140"/>
    </row>
    <row r="2" spans="1:18" ht="28.5" customHeight="1" x14ac:dyDescent="0.2">
      <c r="A2" s="13" t="s">
        <v>318</v>
      </c>
      <c r="B2" s="80" t="s">
        <v>619</v>
      </c>
      <c r="C2" s="80" t="s">
        <v>127</v>
      </c>
      <c r="D2" s="46" t="s">
        <v>620</v>
      </c>
      <c r="E2" s="46" t="s">
        <v>230</v>
      </c>
      <c r="F2" s="46" t="s">
        <v>231</v>
      </c>
      <c r="G2" s="46" t="s">
        <v>232</v>
      </c>
      <c r="H2" s="46" t="s">
        <v>233</v>
      </c>
      <c r="I2" s="3" t="s">
        <v>234</v>
      </c>
      <c r="J2" s="3" t="s">
        <v>276</v>
      </c>
      <c r="K2" s="3" t="s">
        <v>235</v>
      </c>
      <c r="L2" s="3" t="s">
        <v>277</v>
      </c>
      <c r="M2" s="81" t="s">
        <v>236</v>
      </c>
      <c r="N2" s="81"/>
      <c r="O2" s="81" t="s">
        <v>181</v>
      </c>
      <c r="P2" s="123" t="s">
        <v>120</v>
      </c>
      <c r="Q2" s="123" t="s">
        <v>446</v>
      </c>
      <c r="R2" s="81"/>
    </row>
    <row r="3" spans="1:18" x14ac:dyDescent="0.2">
      <c r="A3" s="82" t="s">
        <v>7</v>
      </c>
      <c r="B3" s="14" t="str">
        <f>INDEX(Запол!$A$1:$F$14,MATCH(C3,Запол!$D$1:$D$14,),MATCH("отчет",Запол!$A$1:$F$1,))</f>
        <v>ИП</v>
      </c>
      <c r="C3" s="78" t="s">
        <v>550</v>
      </c>
      <c r="D3" s="13" t="str">
        <f>INDEX(Запол!$D$1:$F$14,MATCH(C3,Запол!$D$1:$D$14,),MATCH("Место",Запол!$D$1:$F$1,))</f>
        <v>г. Балхаш</v>
      </c>
      <c r="E3" s="14" t="s">
        <v>105</v>
      </c>
      <c r="F3" s="13">
        <v>942</v>
      </c>
      <c r="G3" s="13">
        <v>2335</v>
      </c>
      <c r="H3" s="13">
        <v>1978</v>
      </c>
      <c r="I3" s="7">
        <v>28646</v>
      </c>
      <c r="J3" s="7"/>
      <c r="K3" s="7"/>
      <c r="L3" s="7"/>
      <c r="M3" s="12" t="s">
        <v>149</v>
      </c>
      <c r="N3" s="4" t="str">
        <f>INDEX(Срок!$A$1:$F$315,MATCH(E3,Срок!$A$1:$A$315,),MATCH("Назначен",Срок!$A$1:$F$1,))</f>
        <v>баллон</v>
      </c>
      <c r="P3" s="114" t="s">
        <v>257</v>
      </c>
      <c r="Q3" s="83">
        <v>36404</v>
      </c>
      <c r="R3" s="45"/>
    </row>
    <row r="4" spans="1:18" x14ac:dyDescent="0.2">
      <c r="A4" s="82" t="s">
        <v>225</v>
      </c>
      <c r="B4" s="14" t="str">
        <f>INDEX(Запол!$A$1:$F$14,MATCH(C4,Запол!$D$1:$D$14,),MATCH("отчет",Запол!$A$1:$F$1,))</f>
        <v>ОАО</v>
      </c>
      <c r="C4" s="78" t="s">
        <v>570</v>
      </c>
      <c r="D4" s="13" t="str">
        <f>INDEX(Запол!$D$1:$F$14,MATCH(C4,Запол!$D$1:$D$14,),MATCH("Место",Запол!$D$1:$F$1,))</f>
        <v>г. Энск</v>
      </c>
      <c r="E4" s="14" t="s">
        <v>5</v>
      </c>
      <c r="F4" s="13">
        <v>329</v>
      </c>
      <c r="G4" s="13" t="s">
        <v>8</v>
      </c>
      <c r="H4" s="13"/>
      <c r="I4" s="7"/>
      <c r="J4" s="7"/>
      <c r="K4" s="7"/>
      <c r="L4" s="7"/>
      <c r="M4" s="12" t="s">
        <v>149</v>
      </c>
      <c r="N4" s="4" t="str">
        <f>INDEX(Срок!$A$1:$F$315,MATCH(E4,Срок!$A$1:$A$315,),MATCH("Назначен",Срок!$A$1:$F$1,))</f>
        <v>сосуд</v>
      </c>
      <c r="P4" s="114" t="s">
        <v>51</v>
      </c>
      <c r="Q4" s="83">
        <v>38026</v>
      </c>
      <c r="R4" s="45"/>
    </row>
    <row r="5" spans="1:18" x14ac:dyDescent="0.2">
      <c r="A5" s="82" t="s">
        <v>129</v>
      </c>
      <c r="B5" s="14" t="str">
        <f>INDEX(Запол!$A$1:$F$14,MATCH(C5,Запол!$D$1:$D$14,),MATCH("отчет",Запол!$A$1:$F$1,))</f>
        <v>ЗАО</v>
      </c>
      <c r="C5" s="78" t="s">
        <v>566</v>
      </c>
      <c r="D5" s="13" t="str">
        <f>INDEX(Запол!$D$1:$F$14,MATCH(C5,Запол!$D$1:$D$14,),MATCH("Место",Запол!$D$1:$F$1,))</f>
        <v>г. Сызрань</v>
      </c>
      <c r="E5" s="14" t="s">
        <v>167</v>
      </c>
      <c r="F5" s="13">
        <v>1298</v>
      </c>
      <c r="G5" s="13">
        <v>502221</v>
      </c>
      <c r="H5" s="13">
        <v>1992</v>
      </c>
      <c r="I5" s="7">
        <v>33769</v>
      </c>
      <c r="J5" s="7">
        <v>38200</v>
      </c>
      <c r="K5" s="7">
        <v>38200</v>
      </c>
      <c r="L5" s="7"/>
      <c r="M5" s="12"/>
      <c r="N5" s="4" t="str">
        <f>INDEX(Срок!$A$1:$F$315,MATCH(E5,Срок!$A$1:$A$315,),MATCH("Назначен",Срок!$A$1:$F$1,))</f>
        <v>гпм</v>
      </c>
      <c r="P5" s="114" t="s">
        <v>52</v>
      </c>
      <c r="Q5" s="83">
        <v>38099</v>
      </c>
      <c r="R5" s="45"/>
    </row>
    <row r="6" spans="1:18" x14ac:dyDescent="0.2">
      <c r="A6" s="82" t="s">
        <v>156</v>
      </c>
      <c r="B6" s="14" t="str">
        <f>INDEX(Запол!$A$1:$F$14,MATCH(C6,Запол!$D$1:$D$14,),MATCH("отчет",Запол!$A$1:$F$1,))</f>
        <v>МУ</v>
      </c>
      <c r="C6" s="78" t="s">
        <v>559</v>
      </c>
      <c r="D6" s="13" t="str">
        <f>INDEX(Запол!$D$1:$F$14,MATCH(C6,Запол!$D$1:$D$14,),MATCH("Место",Запол!$D$1:$F$1,))</f>
        <v>г. Саратов</v>
      </c>
      <c r="E6" s="14" t="s">
        <v>320</v>
      </c>
      <c r="F6" s="13">
        <v>11</v>
      </c>
      <c r="G6" s="13" t="s">
        <v>415</v>
      </c>
      <c r="H6" s="13"/>
      <c r="I6" s="7"/>
      <c r="J6" s="7"/>
      <c r="K6" s="7"/>
      <c r="L6" s="7">
        <v>38261</v>
      </c>
      <c r="M6" s="12" t="s">
        <v>149</v>
      </c>
      <c r="N6" s="4" t="str">
        <f>INDEX(Срок!$A$1:$F$315,MATCH(E6,Срок!$A$1:$A$315,),MATCH("Назначен",Срок!$A$1:$F$1,))</f>
        <v>котел</v>
      </c>
      <c r="P6" s="114" t="s">
        <v>53</v>
      </c>
      <c r="Q6" s="83">
        <v>38188</v>
      </c>
      <c r="R6" s="45"/>
    </row>
    <row r="7" spans="1:18" x14ac:dyDescent="0.2">
      <c r="A7" s="82" t="s">
        <v>70</v>
      </c>
      <c r="B7" s="14" t="str">
        <f>INDEX(Запол!$A$1:$F$14,MATCH(C7,Запол!$D$1:$D$14,),MATCH("отчет",Запол!$A$1:$F$1,))</f>
        <v>ОАО</v>
      </c>
      <c r="C7" s="78" t="s">
        <v>570</v>
      </c>
      <c r="D7" s="13" t="str">
        <f>INDEX(Запол!$D$1:$F$14,MATCH(C7,Запол!$D$1:$D$14,),MATCH("Место",Запол!$D$1:$F$1,))</f>
        <v>г. Энск</v>
      </c>
      <c r="E7" s="14" t="s">
        <v>200</v>
      </c>
      <c r="F7" s="13">
        <v>1</v>
      </c>
      <c r="G7" s="13"/>
      <c r="H7" s="13" t="s">
        <v>54</v>
      </c>
      <c r="I7" s="7" t="s">
        <v>54</v>
      </c>
      <c r="J7" s="7">
        <v>38930</v>
      </c>
      <c r="K7" s="7">
        <v>38931</v>
      </c>
      <c r="L7" s="7"/>
      <c r="M7" s="12"/>
      <c r="N7" s="4" t="str">
        <f>INDEX(Срок!$A$1:$F$315,MATCH(E7,Срок!$A$1:$A$315,),MATCH("Назначен",Срок!$A$1:$F$1,))</f>
        <v>Трубопровод</v>
      </c>
      <c r="P7" s="114" t="s">
        <v>115</v>
      </c>
      <c r="Q7" s="83">
        <v>38455</v>
      </c>
      <c r="R7" s="45"/>
    </row>
    <row r="8" spans="1:18" x14ac:dyDescent="0.2">
      <c r="A8" s="82" t="s">
        <v>496</v>
      </c>
      <c r="B8" s="14" t="str">
        <f>INDEX(Запол!$A$1:$F$14,MATCH(C8,Запол!$D$1:$D$14,),MATCH("отчет",Запол!$A$1:$F$1,))</f>
        <v>ЗАО</v>
      </c>
      <c r="C8" s="78" t="s">
        <v>565</v>
      </c>
      <c r="D8" s="13" t="str">
        <f>INDEX(Запол!$D$1:$F$14,MATCH(C8,Запол!$D$1:$D$14,),MATCH("Место",Запол!$D$1:$F$1,))</f>
        <v>г. Сызрань</v>
      </c>
      <c r="E8" s="14" t="s">
        <v>200</v>
      </c>
      <c r="F8" s="13">
        <v>2</v>
      </c>
      <c r="G8" s="13"/>
      <c r="H8" s="13" t="s">
        <v>54</v>
      </c>
      <c r="I8" s="7" t="s">
        <v>54</v>
      </c>
      <c r="J8" s="7"/>
      <c r="K8" s="7"/>
      <c r="L8" s="7"/>
      <c r="M8" s="12"/>
      <c r="N8" s="4" t="str">
        <f>INDEX(Срок!$A$1:$F$315,MATCH(E8,Срок!$A$1:$A$315,),MATCH("Назначен",Срок!$A$1:$F$1,))</f>
        <v>Трубопровод</v>
      </c>
      <c r="P8" s="114" t="s">
        <v>115</v>
      </c>
      <c r="Q8" s="83">
        <v>38455</v>
      </c>
      <c r="R8" s="45"/>
    </row>
    <row r="11" spans="1:18" x14ac:dyDescent="0.2">
      <c r="A11" s="4" t="s">
        <v>616</v>
      </c>
    </row>
  </sheetData>
  <autoFilter ref="B2:Q8"/>
  <phoneticPr fontId="2" type="noConversion"/>
  <conditionalFormatting sqref="L2">
    <cfRule type="expression" dxfId="1" priority="15" stopIfTrue="1">
      <formula>"&lt;$F$3"</formula>
    </cfRule>
  </conditionalFormatting>
  <conditionalFormatting sqref="J3:L8">
    <cfRule type="cellIs" dxfId="0" priority="17" stopIfTrue="1" operator="lessThan">
      <formula>$C$3</formula>
    </cfRule>
  </conditionalFormatting>
  <dataValidations count="1">
    <dataValidation type="list" showInputMessage="1" showErrorMessage="1" error="НЕТ ТАКОЙ КОНТОРЫ !_x000a_посмотри в листе Запол" sqref="C3:C8">
      <formula1>Владелец</formula1>
    </dataValidation>
  </dataValidations>
  <pageMargins left="0.35433070866141736" right="0.35433070866141736" top="0.39370078740157483" bottom="0.39370078740157483" header="0" footer="0.51181102362204722"/>
  <pageSetup paperSize="9" scale="66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4.xml>��< ? x m l   v e r s i o n = " 1 . 0 "   e n c o d i n g = " u t f - 1 6 " ? > < D a t a M a s h u p   s q m i d = " 9 f d e 2 f 5 1 - 9 e 5 6 - 4 f 6 c - a 3 0 c - 2 6 6 c 4 2 3 b a 7 c b "   x m l n s = " h t t p : / / s c h e m a s . m i c r o s o f t . c o m / D a t a M a s h u p " > A A A A A M 8 E A A B Q S w M E F A A C A A g A r 2 W 1 U C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K 9 l t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Z b V Q T P B s d 8 U B A A C A A w A A E w A c A E Z v c m 1 1 b G F z L 1 N l Y 3 R p b 2 4 x L m 0 g o h g A K K A U A A A A A A A A A A A A A A A A A A A A A A A A A A A A j V J N S + N Q F N 0 X + h 8 u z 0 0 L I a K I C 6 W r d g R x a c W F F Y n t k y m m L 5 K 8 Q q U U W h F d i C g K 2 s V g B z e u H D K Z y t T W N n / h v r / g L / G m j Y p N F g Y e g X v O P f f c D 4 c X Z d k S s D 7 5 z y 0 n E 8 m E 8 9 O w e Q l m G N 6 j i 3 9 x g D 1 1 g u 4 c p O b T D D J g c p l M A H 3 Y V i 1 1 h C N 1 i k P s Y Z + w H 7 U i N / V N y 9 7 f t a z 9 1 E r Z 5 H r W E p I L 6 a R Y d q m w 4 X D b K e A l X h Z y V r F a C Y A C + q p J A i / 4 p J p 6 z X R q L K 2 B q J q m B t K u 8 r Q W 1 v v q Z y d v 7 J q c i k 7 7 q G + t S l 7 J T P t n 2 l p Z l D J s n M a 2 G 1 s 5 Q x r b o T Z 1 2 8 b / g Q X S C N 5 Q n e E z k G w P / a D r c Z a e t w 3 h 7 F l 2 J W u Z 1 Y r I H x 5 w J x X r S 6 v X 2 e v x D d N g V c j F B T 2 g N j S o B 6 7 a 2 K G 4 p A h I X p O T 8 B U J u N i l 4 g O a w 0 m U 8 I v C 4 z 4 h D n N p h H 1 0 o 9 B v U v y n Q 7 y X W y r p v Y N T i d c 4 w i 6 g R 4 P w 9 Z j c K / R C B q h z 7 K s W + j j Q 3 3 V K h g x 5 D 9 T x X T T c i Q 8 / z s a S P w 7 k l B z T l t V F 1 P C Q o F 6 4 Q m 9 C w 6 c o z V e t W T q W J n a j 2 B / V h H C R o y h 6 R 9 P 3 y M P R e A / e 5 5 1 8 o T b S y U R Z f O e s l t 8 A U E s B A i 0 A F A A C A A g A r 2 W 1 U C 2 n d / S o A A A A + A A A A B I A A A A A A A A A A A A A A A A A A A A A A E N v b m Z p Z y 9 Q Y W N r Y W d l L n h t b F B L A Q I t A B Q A A g A I A K 9 l t V A P y u m r p A A A A O k A A A A T A A A A A A A A A A A A A A A A A P Q A A A B b Q 2 9 u d G V u d F 9 U e X B l c 1 0 u e G 1 s U E s B A i 0 A F A A C A A g A r 2 W 1 U E z w b H f F A Q A A g A M A A B M A A A A A A A A A A A A A A A A A 5 Q E A A E Z v c m 1 1 b G F z L 1 N l Y 3 R p b 2 4 x L m 1 Q S w U G A A A A A A M A A w D C A A A A 9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x g A A A A A A A B R G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9 C i 0 L D Q s d C 7 0 L j R h t C w M V 9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N v d W 5 0 I i B W Y W x 1 Z T 0 i b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I x V D A 4 O j Q 1 O j M w L j k 2 M j k x O T F a I i A v P j x F b n R y e S B U e X B l P S J G a W x s Q 2 9 s d W 1 u V H l w Z X M i I F Z h b H V l P S J z Q X d Z R 0 J n W U R C Z 0 1 K Q 1 F r S k J n W U F C Z 1 l H I i A v P j x F b n R y e S B U e X B l P S J G a W x s Q 2 9 s d W 1 u T m F t Z X M i I F Z h b H V l P S J z W y Z x d W 9 0 O + K E l i Z x d W 9 0 O y w m c X V v d D v Q o t C Y 0 J 8 m c X V v d D s s J n F 1 b 3 Q 7 0 J L Q u 9 C w 0 L T Q t d C 7 0 L X R h i Z x d W 9 0 O y w m c X V v d D v Q n N C 1 0 Y H R g t C + I C Z x d W 9 0 O y w m c X V v d D v Q n N C w 0 Y D Q u t C w J n F 1 b 3 Q 7 L C Z x d W 9 0 O 9 C g 0 L X Q s y 4 g 4 o S W J n F 1 b 3 Q 7 L C Z x d W 9 0 O 9 C X 0 L D Q s i 4 g 4 o S W J n F 1 b 3 Q 7 L C Z x d W 9 0 O 9 C T 0 L 7 Q t C D Q s t G L 0 L 8 u J n F 1 b 3 Q 7 L C Z x d W 9 0 O 9 C S 0 L L Q v t C 0 I N C y I N G N 0 L r R g d C / 0 L s u J n F 1 b 3 Q 7 L C Z x d W 9 0 O 9 C n 0 K L Q n i Z x d W 9 0 O y w m c X V v d D v Q n 9 C i 0 J 4 m c X V v d D s s J n F 1 b 3 Q 7 0 K 0 v 0 J 4 m c X V v d D s s J n F 1 b 3 Q 7 0 J / R g N C 4 0 L z Q t d G H 0 L D Q v d C 4 0 Y 8 m c X V v d D s s J n F 1 b 3 Q 7 0 L 3 Q s N C 4 0 L z Q t d C 9 0 L L Q s N C 9 0 L j Q t S Z x d W 9 0 O y w m c X V v d D v Q m i 3 Q s t C + I N C 9 0 L U g 0 Y D Q t d C z J n F 1 b 3 Q 7 L C Z x d W 9 0 O 9 C / 0 Y E v 0 L 7 R g N C 0 J n F 1 b 3 Q 7 L C Z x d W 9 0 O 9 C u 0 Y A g 0 L v Q u N G G 0 L 4 m c X V v d D s s J n F 1 b 3 Q 7 0 J 7 R g t C y 0 L X R g t G B 0 Y L Q s t C 1 0 L 3 Q v d G L 0 L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/ Q m N C 3 0 L z Q t d C 9 0 L X Q v d C 9 0 Y v Q u S D R g t C 4 0 L 8 u e + K E l i w w f S Z x d W 9 0 O y w m c X V v d D t T Z W N 0 a W 9 u M S / Q o t C w 0 L H Q u 9 C 4 0 Y b Q s D E g K D I p L 9 C Y 0 L f Q v N C 1 0 L 3 Q t d C 9 0 L 3 R i 9 C 5 I N G C 0 L j Q v y 5 7 0 K L Q m N C f L D F 9 J n F 1 b 3 Q 7 L C Z x d W 9 0 O 1 N l Y 3 R p b 2 4 x L 9 C i 0 L D Q s d C 7 0 L j R h t C w M S A o M i k v 0 J j Q t 9 C 8 0 L X Q v d C 1 0 L 3 Q v d G L 0 L k g 0 Y L Q u N C / L n v Q k t C 7 0 L D Q t N C 1 0 L v Q t d G G L D J 9 J n F 1 b 3 Q 7 L C Z x d W 9 0 O 1 N l Y 3 R p b 2 4 x L 9 C i 0 L D Q s d C 7 0 L j R h t C w M S A o M i k v 0 J j Q t 9 C 8 0 L X Q v d C 1 0 L 3 Q v d G L 0 L k g 0 Y L Q u N C / L n v Q n N C 1 0 Y H R g t C + I C w z f S Z x d W 9 0 O y w m c X V v d D t T Z W N 0 a W 9 u M S / Q o t C w 0 L H Q u 9 C 4 0 Y b Q s D E g K D I p L 9 C Y 0 L f Q v N C 1 0 L 3 Q t d C 9 0 L 3 R i 9 C 5 I N G C 0 L j Q v y 5 7 0 J z Q s N G A 0 L r Q s C w 0 f S Z x d W 9 0 O y w m c X V v d D t T Z W N 0 a W 9 u M S / Q o t C w 0 L H Q u 9 C 4 0 Y b Q s D E g K D I p L 9 C Y 0 L f Q v N C 1 0 L 3 Q t d C 9 0 L 3 R i 9 C 5 I N G C 0 L j Q v y 5 7 0 K D Q t d C z L i D i h J Y s N X 0 m c X V v d D s s J n F 1 b 3 Q 7 U 2 V j d G l v b j E v 0 K L Q s N C x 0 L v Q u N G G 0 L A x I C g y K S / Q m N C 3 0 L z Q t d C 9 0 L X Q v d C 9 0 Y v Q u S D R g t C 4 0 L 8 u e 9 C X 0 L D Q s i 4 g 4 o S W L D Z 9 J n F 1 b 3 Q 7 L C Z x d W 9 0 O 1 N l Y 3 R p b 2 4 x L 9 C i 0 L D Q s d C 7 0 L j R h t C w M S A o M i k v 0 J j Q t 9 C 8 0 L X Q v d C 1 0 L 3 Q v d G L 0 L k g 0 Y L Q u N C / L n v Q k 9 C + 0 L Q g 0 L L R i 9 C / L i w 3 f S Z x d W 9 0 O y w m c X V v d D t T Z W N 0 a W 9 u M S / Q o t C w 0 L H Q u 9 C 4 0 Y b Q s D E g K D I p L 9 C Y 0 L f Q v N C 1 0 L 3 Q t d C 9 0 L 3 R i 9 C 5 I N G C 0 L j Q v y 5 7 0 J L Q s t C + 0 L Q g 0 L I g 0 Y 3 Q u t G B 0 L / Q u y 4 s O H 0 m c X V v d D s s J n F 1 b 3 Q 7 U 2 V j d G l v b j E v 0 K L Q s N C x 0 L v Q u N G G 0 L A x I C g y K S / Q m N C 3 0 L z Q t d C 9 0 L X Q v d C 9 0 Y v Q u S D R g t C 4 0 L 8 u e 9 C n 0 K L Q n i w 5 f S Z x d W 9 0 O y w m c X V v d D t T Z W N 0 a W 9 u M S / Q o t C w 0 L H Q u 9 C 4 0 Y b Q s D E g K D I p L 9 C Y 0 L f Q v N C 1 0 L 3 Q t d C 9 0 L 3 R i 9 C 5 I N G C 0 L j Q v y 5 7 0 J / Q o t C e L D E w f S Z x d W 9 0 O y w m c X V v d D t T Z W N 0 a W 9 u M S / Q o t C w 0 L H Q u 9 C 4 0 Y b Q s D E g K D I p L 9 C Y 0 L f Q v N C 1 0 L 3 Q t d C 9 0 L 3 R i 9 C 5 I N G C 0 L j Q v y 5 7 0 K 0 v 0 J 4 s M T F 9 J n F 1 b 3 Q 7 L C Z x d W 9 0 O 1 N l Y 3 R p b 2 4 x L 9 C i 0 L D Q s d C 7 0 L j R h t C w M S A o M i k v 0 J j Q t 9 C 8 0 L X Q v d C 1 0 L 3 Q v d G L 0 L k g 0 Y L Q u N C / L n v Q n 9 G A 0 L j Q v N C 1 0 Y f Q s N C 9 0 L j R j y w x M n 0 m c X V v d D s s J n F 1 b 3 Q 7 U 2 V j d G l v b j E v 0 K L Q s N C x 0 L v Q u N G G 0 L A x I C g y K S / Q m N C 3 0 L z Q t d C 9 0 L X Q v d C 9 0 Y v Q u S D R g t C 4 0 L 8 u e 9 C 9 0 L D Q u N C 8 0 L X Q v d C y 0 L D Q v d C 4 0 L U s M T N 9 J n F 1 b 3 Q 7 L C Z x d W 9 0 O 1 N l Y 3 R p b 2 4 x L 9 C i 0 L D Q s d C 7 0 L j R h t C w M S A o M i k v 0 K L Q s N C x 0 L v Q u N G G 0 L A x X 1 R h Y m x l L n v Q m i 3 Q s t C + I N C 9 0 L U g 0 Y D Q t d C z L D E 0 f S Z x d W 9 0 O y w m c X V v d D t T Z W N 0 a W 9 u M S / Q o t C w 0 L H Q u 9 C 4 0 Y b Q s D E g K D I p L 9 C Y 0 L f Q v N C 1 0 L 3 Q t d C 9 0 L 3 R i 9 C 5 I N G C 0 L j Q v y 5 7 0 L / R g S / Q v t G A 0 L Q s M T V 9 J n F 1 b 3 Q 7 L C Z x d W 9 0 O 1 N l Y 3 R p b 2 4 x L 9 C i 0 L D Q s d C 7 0 L j R h t C w M S A o M i k v 0 J j Q t 9 C 8 0 L X Q v d C 1 0 L 3 Q v d G L 0 L k g 0 Y L Q u N C / L n v Q r t G A I N C 7 0 L j R h t C + L D E 2 f S Z x d W 9 0 O y w m c X V v d D t T Z W N 0 a W 9 u M S / Q o t C w 0 L H Q u 9 C 4 0 Y b Q s D E g K D I p L 9 C Y 0 L f Q v N C 1 0 L 3 Q t d C 9 0 L 3 R i 9 C 5 I N G C 0 L j Q v y 5 7 0 J 7 R g t C y 0 L X R g t G B 0 Y L Q s t C 1 0 L 3 Q v d G L 0 L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/ Q o t C w 0 L H Q u 9 C 4 0 Y b Q s D E g K D I p L 9 C Y 0 L f Q v N C 1 0 L 3 Q t d C 9 0 L 3 R i 9 C 5 I N G C 0 L j Q v y 5 7 4 o S W L D B 9 J n F 1 b 3 Q 7 L C Z x d W 9 0 O 1 N l Y 3 R p b 2 4 x L 9 C i 0 L D Q s d C 7 0 L j R h t C w M S A o M i k v 0 J j Q t 9 C 8 0 L X Q v d C 1 0 L 3 Q v d G L 0 L k g 0 Y L Q u N C / L n v Q o t C Y 0 J 8 s M X 0 m c X V v d D s s J n F 1 b 3 Q 7 U 2 V j d G l v b j E v 0 K L Q s N C x 0 L v Q u N G G 0 L A x I C g y K S / Q m N C 3 0 L z Q t d C 9 0 L X Q v d C 9 0 Y v Q u S D R g t C 4 0 L 8 u e 9 C S 0 L v Q s N C 0 0 L X Q u 9 C 1 0 Y Y s M n 0 m c X V v d D s s J n F 1 b 3 Q 7 U 2 V j d G l v b j E v 0 K L Q s N C x 0 L v Q u N G G 0 L A x I C g y K S / Q m N C 3 0 L z Q t d C 9 0 L X Q v d C 9 0 Y v Q u S D R g t C 4 0 L 8 u e 9 C c 0 L X R g d G C 0 L 4 g L D N 9 J n F 1 b 3 Q 7 L C Z x d W 9 0 O 1 N l Y 3 R p b 2 4 x L 9 C i 0 L D Q s d C 7 0 L j R h t C w M S A o M i k v 0 J j Q t 9 C 8 0 L X Q v d C 1 0 L 3 Q v d G L 0 L k g 0 Y L Q u N C / L n v Q n N C w 0 Y D Q u t C w L D R 9 J n F 1 b 3 Q 7 L C Z x d W 9 0 O 1 N l Y 3 R p b 2 4 x L 9 C i 0 L D Q s d C 7 0 L j R h t C w M S A o M i k v 0 J j Q t 9 C 8 0 L X Q v d C 1 0 L 3 Q v d G L 0 L k g 0 Y L Q u N C / L n v Q o N C 1 0 L M u I O K E l i w 1 f S Z x d W 9 0 O y w m c X V v d D t T Z W N 0 a W 9 u M S / Q o t C w 0 L H Q u 9 C 4 0 Y b Q s D E g K D I p L 9 C Y 0 L f Q v N C 1 0 L 3 Q t d C 9 0 L 3 R i 9 C 5 I N G C 0 L j Q v y 5 7 0 J f Q s N C y L i D i h J Y s N n 0 m c X V v d D s s J n F 1 b 3 Q 7 U 2 V j d G l v b j E v 0 K L Q s N C x 0 L v Q u N G G 0 L A x I C g y K S / Q m N C 3 0 L z Q t d C 9 0 L X Q v d C 9 0 Y v Q u S D R g t C 4 0 L 8 u e 9 C T 0 L 7 Q t C D Q s t G L 0 L 8 u L D d 9 J n F 1 b 3 Q 7 L C Z x d W 9 0 O 1 N l Y 3 R p b 2 4 x L 9 C i 0 L D Q s d C 7 0 L j R h t C w M S A o M i k v 0 J j Q t 9 C 8 0 L X Q v d C 1 0 L 3 Q v d G L 0 L k g 0 Y L Q u N C / L n v Q k t C y 0 L 7 Q t C D Q s i D R j d C 6 0 Y H Q v 9 C 7 L i w 4 f S Z x d W 9 0 O y w m c X V v d D t T Z W N 0 a W 9 u M S / Q o t C w 0 L H Q u 9 C 4 0 Y b Q s D E g K D I p L 9 C Y 0 L f Q v N C 1 0 L 3 Q t d C 9 0 L 3 R i 9 C 5 I N G C 0 L j Q v y 5 7 0 K f Q o t C e L D l 9 J n F 1 b 3 Q 7 L C Z x d W 9 0 O 1 N l Y 3 R p b 2 4 x L 9 C i 0 L D Q s d C 7 0 L j R h t C w M S A o M i k v 0 J j Q t 9 C 8 0 L X Q v d C 1 0 L 3 Q v d G L 0 L k g 0 Y L Q u N C / L n v Q n 9 C i 0 J 4 s M T B 9 J n F 1 b 3 Q 7 L C Z x d W 9 0 O 1 N l Y 3 R p b 2 4 x L 9 C i 0 L D Q s d C 7 0 L j R h t C w M S A o M i k v 0 J j Q t 9 C 8 0 L X Q v d C 1 0 L 3 Q v d G L 0 L k g 0 Y L Q u N C / L n v Q r S / Q n i w x M X 0 m c X V v d D s s J n F 1 b 3 Q 7 U 2 V j d G l v b j E v 0 K L Q s N C x 0 L v Q u N G G 0 L A x I C g y K S / Q m N C 3 0 L z Q t d C 9 0 L X Q v d C 9 0 Y v Q u S D R g t C 4 0 L 8 u e 9 C f 0 Y D Q u N C 8 0 L X R h 9 C w 0 L 3 Q u N G P L D E y f S Z x d W 9 0 O y w m c X V v d D t T Z W N 0 a W 9 u M S / Q o t C w 0 L H Q u 9 C 4 0 Y b Q s D E g K D I p L 9 C Y 0 L f Q v N C 1 0 L 3 Q t d C 9 0 L 3 R i 9 C 5 I N G C 0 L j Q v y 5 7 0 L 3 Q s N C 4 0 L z Q t d C 9 0 L L Q s N C 9 0 L j Q t S w x M 3 0 m c X V v d D s s J n F 1 b 3 Q 7 U 2 V j d G l v b j E v 0 K L Q s N C x 0 L v Q u N G G 0 L A x I C g y K S / Q o t C w 0 L H Q u 9 C 4 0 Y b Q s D F f V G F i b G U u e 9 C a L d C y 0 L 4 g 0 L 3 Q t S D R g N C 1 0 L M s M T R 9 J n F 1 b 3 Q 7 L C Z x d W 9 0 O 1 N l Y 3 R p b 2 4 x L 9 C i 0 L D Q s d C 7 0 L j R h t C w M S A o M i k v 0 J j Q t 9 C 8 0 L X Q v d C 1 0 L 3 Q v d G L 0 L k g 0 Y L Q u N C / L n v Q v 9 G B L 9 C + 0 Y D Q t C w x N X 0 m c X V v d D s s J n F 1 b 3 Q 7 U 2 V j d G l v b j E v 0 K L Q s N C x 0 L v Q u N G G 0 L A x I C g y K S / Q m N C 3 0 L z Q t d C 9 0 L X Q v d C 9 0 Y v Q u S D R g t C 4 0 L 8 u e 9 C u 0 Y A g 0 L v Q u N G G 0 L 4 s M T Z 9 J n F 1 b 3 Q 7 L C Z x d W 9 0 O 1 N l Y 3 R p b 2 4 x L 9 C i 0 L D Q s d C 7 0 L j R h t C w M S A o M i k v 0 J j Q t 9 C 8 0 L X Q v d C 1 0 L 3 Q v d G L 0 L k g 0 Y L Q u N C / L n v Q n t G C 0 L L Q t d G C 0 Y H R g t C y 0 L X Q v d C 9 0 Y v Q u S w x N 3 0 m c X V v d D t d L C Z x d W 9 0 O 1 J l b G F 0 a W 9 u c 2 h p c E l u Z m 8 m c X V v d D s 6 W 1 1 9 I i A v P j x F b n R y e S B U e X B l P S J R d W V y e U l E I i B W Y W x 1 Z T 0 i c z k y Z T I w M W Q 1 L T I 4 N D Q t N D A x O S 1 i N z E 2 L T Y 5 Z D V l N m M 4 Z G F k M C I g L z 4 8 R W 5 0 c n k g V H l w Z T 0 i T m F 2 a W d h d G l v b l N 0 Z X B O Y W 1 l I i B W Y W x 1 Z T 0 i c 9 C d 0 L D Q s t C 4 0 L P Q s N G G 0 L j R j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Q T I l R D A l Q j A l R D A l Q j E l R D A l Q k I l R D A l Q j g l R D E l O D Y l R D A l Q j A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6 i r z B P T f M U 2 i B I l p H D g D c w A A A A A C A A A A A A A Q Z g A A A A E A A C A A A A A U i w S C o x X h O M k p / g T l G l P 8 P l e O F R u M g P 4 t p 3 r c D h 0 z F Q A A A A A O g A A A A A I A A C A A A A B y t D J 9 C j / / w 7 Y q q h y X 3 4 F c P k g b v T 0 W y P a b q 2 F i s H H b B 1 A A A A D Y U 7 P x U T L y D + i k 5 3 l q / c D c g 7 w H m H 5 O 3 P b 2 P S s + p n H Z q z w P X K H M y V K l X O o X c G r D S z R k R x L B o a G T y g V f V P C 0 Q I k j v O 8 A w u x V B / B k f S / Q M Y k 8 c k A A A A B f K 5 b Q P T 6 I V 1 u Y y P 5 v 2 M p W o o v W D Z y S e R / p O N e m j N l t t H X C 2 T r n X b t D C 4 R 2 v I P K v U s x Y + E F 0 / n 1 g Q Y m a 1 B q V Q u U < / D a t a M a s h u p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"01;8F0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7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 "01;8F01 < / E x c e l T a b l e N a m e > < G e m i n i T a b l e I d > "01;8F01 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!& l t ; / K e y & g t ; & l t ; / D i a g r a m O b j e c t K e y & g t ; & l t ; D i a g r a m O b j e c t K e y & g t ; & l t ; K e y & g t ; C o l u m n s \ "& l t ; / K e y & g t ; & l t ; / D i a g r a m O b j e c t K e y & g t ; & l t ; D i a g r a m O b j e c t K e y & g t ; & l t ; K e y & g t ; C o l u m n s \ ;045;5F& l t ; / K e y & g t ; & l t ; / D i a g r a m O b j e c t K e y & g t ; & l t ; D i a g r a m O b j e c t K e y & g t ; & l t ; K e y & g t ; C o l u m n s \ 5AB>& l t ; / K e y & g t ; & l t ; / D i a g r a m O b j e c t K e y & g t ; & l t ; D i a g r a m O b j e c t K e y & g t ; & l t ; K e y & g t ; C o l u m n s \ 0@:0& l t ; / K e y & g t ; & l t ; / D i a g r a m O b j e c t K e y & g t ; & l t ; D i a g r a m O b j e c t K e y & g t ; & l t ; K e y & g t ; C o l u m n s \  53.   !& l t ; / K e y & g t ; & l t ; / D i a g r a m O b j e c t K e y & g t ; & l t ; D i a g r a m O b j e c t K e y & g t ; & l t ; K e y & g t ; C o l u m n s \ 02.   !& l t ; / K e y & g t ; & l t ; / D i a g r a m O b j e c t K e y & g t ; & l t ; D i a g r a m O b j e c t K e y & g t ; & l t ; K e y & g t ; C o l u m n s \ >4  2K?. & l t ; / K e y & g t ; & l t ; / D i a g r a m O b j e c t K e y & g t ; & l t ; D i a g r a m O b j e c t K e y & g t ; & l t ; K e y & g t ; C o l u m n s \ 2>4  2  M:A?;. & l t ; / K e y & g t ; & l t ; / D i a g r a m O b j e c t K e y & g t ; & l t ; D i a g r a m O b j e c t K e y & g t ; & l t ; K e y & g t ; C o l u m n s \ '"& l t ; / K e y & g t ; & l t ; / D i a g r a m O b j e c t K e y & g t ; & l t ; D i a g r a m O b j e c t K e y & g t ; & l t ; K e y & g t ; C o l u m n s \ "& l t ; / K e y & g t ; & l t ; / D i a g r a m O b j e c t K e y & g t ; & l t ; D i a g r a m O b j e c t K e y & g t ; & l t ; K e y & g t ; C o l u m n s \ -/ & l t ; / K e y & g t ; & l t ; / D i a g r a m O b j e c t K e y & g t ; & l t ; D i a g r a m O b j e c t K e y & g t ; & l t ; K e y & g t ; C o l u m n s \ @8<5G0=8O& l t ; / K e y & g t ; & l t ; / D i a g r a m O b j e c t K e y & g t ; & l t ; D i a g r a m O b j e c t K e y & g t ; & l t ; K e y & g t ; C o l u m n s \ =08<5=20=85& l t ; / K e y & g t ; & l t ; / D i a g r a m O b j e c t K e y & g t ; & l t ; D i a g r a m O b j e c t K e y & g t ; & l t ; K e y & g t ; C o l u m n s \ - 2>  =5  @53& l t ; / K e y & g t ; & l t ; / D i a g r a m O b j e c t K e y & g t ; & l t ; D i a g r a m O b j e c t K e y & g t ; & l t ; K e y & g t ; C o l u m n s \ ?A/ >@4& l t ; / K e y & g t ; & l t ; / D i a g r a m O b j e c t K e y & g t ; & l t ; D i a g r a m O b j e c t K e y & g t ; & l t ; K e y & g t ; C o l u m n s \ .@  ;8F>& l t ; / K e y & g t ; & l t ; / D i a g r a m O b j e c t K e y & g t ; & l t ; D i a g r a m O b j e c t K e y & g t ; & l t ; K e y & g t ; C o l u m n s \ B25BAB25==K9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!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"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;045;5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B>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0@:0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53.   !& l t ; / K e y & g t ; & l t ; / a : K e y & g t ; & l t ; a : V a l u e 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02.   !& l t ; / K e y & g t ; & l t ; / a : K e y & g t ; & l t ; a : V a l u e 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>4  2K?. & l t ; / K e y & g t ; & l t ; / a : K e y & g t ; & l t ; a : V a l u e 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2>4  2  M:A?;. & l t ; / K e y & g t ; & l t ; / a : K e y & g t ; & l t ; a : V a l u e 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'"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"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-/ 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8<5G0=8O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=08<5=20=85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- 2>  =5  @53& l t ; / K e y & g t ; & l t ; / a : K e y & g t ; & l t ; a : V a l u e 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?A/ >@4& l t ; / K e y & g t ; & l t ; / a : K e y & g t ; & l t ; a : V a l u e 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.@  ;8F>& l t ; / K e y & g t ; & l t ; / a : K e y & g t ; & l t ; a : V a l u e 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B25BAB25==K9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"01;8F0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 i : t y p e = " S a n d b o x E d i t o r T a b l e W i d g e t V i e w M o d e l K e y " & g t ; & l t ; T a b l e N a m e & g t ; "01;8F01 & l t ; / T a b l e N a m e & g t ; & l t ; / K e y & g t ; & l t ; M a i n t a i n e r 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"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;045;5F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B>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0@:0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53.  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02.  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>4  2K?. & l t ; / K e y & g t ; & l t ; / a : K e y & g t ; & l t ; a : V a l u e 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2>4  2  M:A?;. & l t ; / K e y & g t ; & l t ; / a : K e y & g t ; & l t ; a : V a l u e 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'"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"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-/ 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8<5G0=8O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=08<5=20=85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- 2>  =5  @53& l t ; / K e y & g t ; & l t ; / a : K e y & g t ; & l t ; a : V a l u e 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?A/ >@4& l t ; / K e y & g t ; & l t ; / a : K e y & g t ; & l t ; a : V a l u e 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.@  ;8F>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B25BAB25==K9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9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"01;8F0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!& l t ; / s t r i n g & g t ; & l t ; / k e y & g t ; & l t ; v a l u e & g t ; & l t ; i n t & g t ; 5 1 & l t ; / i n t & g t ; & l t ; / v a l u e & g t ; & l t ; / i t e m & g t ; & l t ; i t e m & g t ; & l t ; k e y & g t ; & l t ; s t r i n g & g t ; "& l t ; / s t r i n g & g t ; & l t ; / k e y & g t ; & l t ; v a l u e & g t ; & l t ; i n t & g t ; 6 2 & l t ; / i n t & g t ; & l t ; / v a l u e & g t ; & l t ; / i t e m & g t ; & l t ; i t e m & g t ; & l t ; k e y & g t ; & l t ; s t r i n g & g t ; ;045;5F& l t ; / s t r i n g & g t ; & l t ; / k e y & g t ; & l t ; v a l u e & g t ; & l t ; i n t & g t ; 9 9 & l t ; / i n t & g t ; & l t ; / v a l u e & g t ; & l t ; / i t e m & g t ; & l t ; i t e m & g t ; & l t ; k e y & g t ; & l t ; s t r i n g & g t ; 5AB>& l t ; / s t r i n g & g t ; & l t ; / k e y & g t ; & l t ; v a l u e & g t ; & l t ; i n t & g t ; 7 6 & l t ; / i n t & g t ; & l t ; / v a l u e & g t ; & l t ; / i t e m & g t ; & l t ; i t e m & g t ; & l t ; k e y & g t ; & l t ; s t r i n g & g t ; 0@:0& l t ; / s t r i n g & g t ; & l t ; / k e y & g t ; & l t ; v a l u e & g t ; & l t ; i n t & g t ; 7 7 & l t ; / i n t & g t ; & l t ; / v a l u e & g t ; & l t ; / i t e m & g t ; & l t ; i t e m & g t ; & l t ; k e y & g t ; & l t ; s t r i n g & g t ;  53.   !& l t ; / s t r i n g & g t ; & l t ; / k e y & g t ; & l t ; v a l u e & g t ; & l t ; i n t & g t ; 7 8 & l t ; / i n t & g t ; & l t ; / v a l u e & g t ; & l t ; / i t e m & g t ; & l t ; i t e m & g t ; & l t ; k e y & g t ; & l t ; s t r i n g & g t ; 02.   !& l t ; / s t r i n g & g t ; & l t ; / k e y & g t ; & l t ; v a l u e & g t ; & l t ; i n t & g t ; 7 9 & l t ; / i n t & g t ; & l t ; / v a l u e & g t ; & l t ; / i t e m & g t ; & l t ; i t e m & g t ; & l t ; k e y & g t ; & l t ; s t r i n g & g t ; >4  2K?. & l t ; / s t r i n g & g t ; & l t ; / k e y & g t ; & l t ; v a l u e & g t ; & l t ; i n t & g t ; 8 8 & l t ; / i n t & g t ; & l t ; / v a l u e & g t ; & l t ; / i t e m & g t ; & l t ; i t e m & g t ; & l t ; k e y & g t ; & l t ; s t r i n g & g t ; 2>4  2  M:A?;. & l t ; / s t r i n g & g t ; & l t ; / k e y & g t ; & l t ; v a l u e & g t ; & l t ; i n t & g t ; 1 2 0 & l t ; / i n t & g t ; & l t ; / v a l u e & g t ; & l t ; / i t e m & g t ; & l t ; i t e m & g t ; & l t ; k e y & g t ; & l t ; s t r i n g & g t ; '"& l t ; / s t r i n g & g t ; & l t ; / k e y & g t ; & l t ; v a l u e & g t ; & l t ; i n t & g t ; 6 1 & l t ; / i n t & g t ; & l t ; / v a l u e & g t ; & l t ; / i t e m & g t ; & l t ; i t e m & g t ; & l t ; k e y & g t ; & l t ; s t r i n g & g t ; "& l t ; / s t r i n g & g t ; & l t ; / k e y & g t ; & l t ; v a l u e & g t ; & l t ; i n t & g t ; 6 2 & l t ; / i n t & g t ; & l t ; / v a l u e & g t ; & l t ; / i t e m & g t ; & l t ; i t e m & g t ; & l t ; k e y & g t ; & l t ; s t r i n g & g t ; -/ & l t ; / s t r i n g & g t ; & l t ; / k e y & g t ; & l t ; v a l u e & g t ; & l t ; i n t & g t ; 6 0 & l t ; / i n t & g t ; & l t ; / v a l u e & g t ; & l t ; / i t e m & g t ; & l t ; i t e m & g t ; & l t ; k e y & g t ; & l t ; s t r i n g & g t ; @8<5G0=8O& l t ; / s t r i n g & g t ; & l t ; / k e y & g t ; & l t ; v a l u e & g t ; & l t ; i n t & g t ; 1 1 6 & l t ; / i n t & g t ; & l t ; / v a l u e & g t ; & l t ; / i t e m & g t ; & l t ; i t e m & g t ; & l t ; k e y & g t ; & l t ; s t r i n g & g t ; =08<5=20=85& l t ; / s t r i n g & g t ; & l t ; / k e y & g t ; & l t ; v a l u e & g t ; & l t ; i n t & g t ; 1 2 3 & l t ; / i n t & g t ; & l t ; / v a l u e & g t ; & l t ; / i t e m & g t ; & l t ; i t e m & g t ; & l t ; k e y & g t ; & l t ; s t r i n g & g t ; ?A/ >@4& l t ; / s t r i n g & g t ; & l t ; / k e y & g t ; & l t ; v a l u e & g t ; & l t ; i n t & g t ; 8 0 & l t ; / i n t & g t ; & l t ; / v a l u e & g t ; & l t ; / i t e m & g t ; & l t ; i t e m & g t ; & l t ; k e y & g t ; & l t ; s t r i n g & g t ; .@  ;8F>& l t ; / s t r i n g & g t ; & l t ; / k e y & g t ; & l t ; v a l u e & g t ; & l t ; i n t & g t ; 9 2 & l t ; / i n t & g t ; & l t ; / v a l u e & g t ; & l t ; / i t e m & g t ; & l t ; i t e m & g t ; & l t ; k e y & g t ; & l t ; s t r i n g & g t ; B25BAB25==K9& l t ; / s t r i n g & g t ; & l t ; / k e y & g t ; & l t ; v a l u e & g t ; & l t ; i n t & g t ; 1 3 4 & l t ; / i n t & g t ; & l t ; / v a l u e & g t ; & l t ; / i t e m & g t ; & l t ; i t e m & g t ; & l t ; k e y & g t ; & l t ; s t r i n g & g t ; - 2>  =5  @53& l t ; / s t r i n g & g t ; & l t ; / k e y & g t ; & l t ; v a l u e & g t ; & l t ; i n t & g t ; 1 0 7 & l t ; / i n t & g t ; & l t ; / v a l u e & g t ; & l t ; / i t e m & g t ; & l t ; / C o l u m n W i d t h s & g t ; & l t ; C o l u m n D i s p l a y I n d e x & g t ; & l t ; i t e m & g t ; & l t ; k e y & g t ; & l t ; s t r i n g & g t ; !& l t ; / s t r i n g & g t ; & l t ; / k e y & g t ; & l t ; v a l u e & g t ; & l t ; i n t & g t ; 0 & l t ; / i n t & g t ; & l t ; / v a l u e & g t ; & l t ; / i t e m & g t ; & l t ; i t e m & g t ; & l t ; k e y & g t ; & l t ; s t r i n g & g t ; "& l t ; / s t r i n g & g t ; & l t ; / k e y & g t ; & l t ; v a l u e & g t ; & l t ; i n t & g t ; 1 & l t ; / i n t & g t ; & l t ; / v a l u e & g t ; & l t ; / i t e m & g t ; & l t ; i t e m & g t ; & l t ; k e y & g t ; & l t ; s t r i n g & g t ; ;045;5F& l t ; / s t r i n g & g t ; & l t ; / k e y & g t ; & l t ; v a l u e & g t ; & l t ; i n t & g t ; 2 & l t ; / i n t & g t ; & l t ; / v a l u e & g t ; & l t ; / i t e m & g t ; & l t ; i t e m & g t ; & l t ; k e y & g t ; & l t ; s t r i n g & g t ; 5AB>& l t ; / s t r i n g & g t ; & l t ; / k e y & g t ; & l t ; v a l u e & g t ; & l t ; i n t & g t ; 3 & l t ; / i n t & g t ; & l t ; / v a l u e & g t ; & l t ; / i t e m & g t ; & l t ; i t e m & g t ; & l t ; k e y & g t ; & l t ; s t r i n g & g t ; 0@:0& l t ; / s t r i n g & g t ; & l t ; / k e y & g t ; & l t ; v a l u e & g t ; & l t ; i n t & g t ; 4 & l t ; / i n t & g t ; & l t ; / v a l u e & g t ; & l t ; / i t e m & g t ; & l t ; i t e m & g t ; & l t ; k e y & g t ; & l t ; s t r i n g & g t ;  53.   !& l t ; / s t r i n g & g t ; & l t ; / k e y & g t ; & l t ; v a l u e & g t ; & l t ; i n t & g t ; 5 & l t ; / i n t & g t ; & l t ; / v a l u e & g t ; & l t ; / i t e m & g t ; & l t ; i t e m & g t ; & l t ; k e y & g t ; & l t ; s t r i n g & g t ; 02.   !& l t ; / s t r i n g & g t ; & l t ; / k e y & g t ; & l t ; v a l u e & g t ; & l t ; i n t & g t ; 6 & l t ; / i n t & g t ; & l t ; / v a l u e & g t ; & l t ; / i t e m & g t ; & l t ; i t e m & g t ; & l t ; k e y & g t ; & l t ; s t r i n g & g t ; >4  2K?. & l t ; / s t r i n g & g t ; & l t ; / k e y & g t ; & l t ; v a l u e & g t ; & l t ; i n t & g t ; 7 & l t ; / i n t & g t ; & l t ; / v a l u e & g t ; & l t ; / i t e m & g t ; & l t ; i t e m & g t ; & l t ; k e y & g t ; & l t ; s t r i n g & g t ; 2>4  2  M:A?;. & l t ; / s t r i n g & g t ; & l t ; / k e y & g t ; & l t ; v a l u e & g t ; & l t ; i n t & g t ; 8 & l t ; / i n t & g t ; & l t ; / v a l u e & g t ; & l t ; / i t e m & g t ; & l t ; i t e m & g t ; & l t ; k e y & g t ; & l t ; s t r i n g & g t ; '"& l t ; / s t r i n g & g t ; & l t ; / k e y & g t ; & l t ; v a l u e & g t ; & l t ; i n t & g t ; 9 & l t ; / i n t & g t ; & l t ; / v a l u e & g t ; & l t ; / i t e m & g t ; & l t ; i t e m & g t ; & l t ; k e y & g t ; & l t ; s t r i n g & g t ; "& l t ; / s t r i n g & g t ; & l t ; / k e y & g t ; & l t ; v a l u e & g t ; & l t ; i n t & g t ; 1 0 & l t ; / i n t & g t ; & l t ; / v a l u e & g t ; & l t ; / i t e m & g t ; & l t ; i t e m & g t ; & l t ; k e y & g t ; & l t ; s t r i n g & g t ; -/ & l t ; / s t r i n g & g t ; & l t ; / k e y & g t ; & l t ; v a l u e & g t ; & l t ; i n t & g t ; 1 1 & l t ; / i n t & g t ; & l t ; / v a l u e & g t ; & l t ; / i t e m & g t ; & l t ; i t e m & g t ; & l t ; k e y & g t ; & l t ; s t r i n g & g t ; @8<5G0=8O& l t ; / s t r i n g & g t ; & l t ; / k e y & g t ; & l t ; v a l u e & g t ; & l t ; i n t & g t ; 1 2 & l t ; / i n t & g t ; & l t ; / v a l u e & g t ; & l t ; / i t e m & g t ; & l t ; i t e m & g t ; & l t ; k e y & g t ; & l t ; s t r i n g & g t ; =08<5=20=85& l t ; / s t r i n g & g t ; & l t ; / k e y & g t ; & l t ; v a l u e & g t ; & l t ; i n t & g t ; 1 3 & l t ; / i n t & g t ; & l t ; / v a l u e & g t ; & l t ; / i t e m & g t ; & l t ; i t e m & g t ; & l t ; k e y & g t ; & l t ; s t r i n g & g t ; ?A/ >@4& l t ; / s t r i n g & g t ; & l t ; / k e y & g t ; & l t ; v a l u e & g t ; & l t ; i n t & g t ; 1 5 & l t ; / i n t & g t ; & l t ; / v a l u e & g t ; & l t ; / i t e m & g t ; & l t ; i t e m & g t ; & l t ; k e y & g t ; & l t ; s t r i n g & g t ; .@  ;8F>& l t ; / s t r i n g & g t ; & l t ; / k e y & g t ; & l t ; v a l u e & g t ; & l t ; i n t & g t ; 1 6 & l t ; / i n t & g t ; & l t ; / v a l u e & g t ; & l t ; / i t e m & g t ; & l t ; i t e m & g t ; & l t ; k e y & g t ; & l t ; s t r i n g & g t ; B25BAB25==K9& l t ; / s t r i n g & g t ; & l t ; / k e y & g t ; & l t ; v a l u e & g t ; & l t ; i n t & g t ; 1 7 & l t ; / i n t & g t ; & l t ; / v a l u e & g t ; & l t ; / i t e m & g t ; & l t ; i t e m & g t ; & l t ; k e y & g t ; & l t ; s t r i n g & g t ; - 2>  =5  @53& l t ; / s t r i n g & g t ; & l t ; / k e y & g t ; & l t ; v a l u e & g t ; & l t ; i n t & g t ; 1 4 & l t ; / i n t & g t ; & l t ; / v a l u e & g t ; & l t ; / i t e m & g t ; & l t ; / C o l u m n D i s p l a y I n d e x & g t ; & l t ; C o l u m n F r o z e n 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 2 0 2 0 - 0 5 - 2 1 T 1 2 : 4 6 : 3 9 . 1 5 6 2 6 4 2 + 0 4 : 0 0 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75104D95-4F84-4D53-B779-35B4C28EB6FB}">
  <ds:schemaRefs/>
</ds:datastoreItem>
</file>

<file path=customXml/itemProps10.xml><?xml version="1.0" encoding="utf-8"?>
<ds:datastoreItem xmlns:ds="http://schemas.openxmlformats.org/officeDocument/2006/customXml" ds:itemID="{B1E116CD-8164-4F59-B05F-4E508BB5AD2E}">
  <ds:schemaRefs/>
</ds:datastoreItem>
</file>

<file path=customXml/itemProps11.xml><?xml version="1.0" encoding="utf-8"?>
<ds:datastoreItem xmlns:ds="http://schemas.openxmlformats.org/officeDocument/2006/customXml" ds:itemID="{3447966A-E910-42ED-A5D9-8E292A1EF15D}">
  <ds:schemaRefs/>
</ds:datastoreItem>
</file>

<file path=customXml/itemProps12.xml><?xml version="1.0" encoding="utf-8"?>
<ds:datastoreItem xmlns:ds="http://schemas.openxmlformats.org/officeDocument/2006/customXml" ds:itemID="{6CCD74FD-62DE-4D74-99A2-639F259A5F1B}">
  <ds:schemaRefs/>
</ds:datastoreItem>
</file>

<file path=customXml/itemProps13.xml><?xml version="1.0" encoding="utf-8"?>
<ds:datastoreItem xmlns:ds="http://schemas.openxmlformats.org/officeDocument/2006/customXml" ds:itemID="{072CD3D2-4301-4B8E-991F-FFB459A2FA3A}">
  <ds:schemaRefs/>
</ds:datastoreItem>
</file>

<file path=customXml/itemProps14.xml><?xml version="1.0" encoding="utf-8"?>
<ds:datastoreItem xmlns:ds="http://schemas.openxmlformats.org/officeDocument/2006/customXml" ds:itemID="{214F5764-04D3-43E2-B27D-13A25FC94F4C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E5D8DE91-CB9D-4895-878D-262A18D4B1C7}">
  <ds:schemaRefs/>
</ds:datastoreItem>
</file>

<file path=customXml/itemProps16.xml><?xml version="1.0" encoding="utf-8"?>
<ds:datastoreItem xmlns:ds="http://schemas.openxmlformats.org/officeDocument/2006/customXml" ds:itemID="{40B1C13E-19B5-4C36-A4E1-E95C1E7C8A71}">
  <ds:schemaRefs/>
</ds:datastoreItem>
</file>

<file path=customXml/itemProps17.xml><?xml version="1.0" encoding="utf-8"?>
<ds:datastoreItem xmlns:ds="http://schemas.openxmlformats.org/officeDocument/2006/customXml" ds:itemID="{E140B355-B643-406D-97A9-1A2475B0AB42}">
  <ds:schemaRefs/>
</ds:datastoreItem>
</file>

<file path=customXml/itemProps18.xml><?xml version="1.0" encoding="utf-8"?>
<ds:datastoreItem xmlns:ds="http://schemas.openxmlformats.org/officeDocument/2006/customXml" ds:itemID="{82F47F14-DB3C-4112-8AF7-0749DB462E61}">
  <ds:schemaRefs/>
</ds:datastoreItem>
</file>

<file path=customXml/itemProps19.xml><?xml version="1.0" encoding="utf-8"?>
<ds:datastoreItem xmlns:ds="http://schemas.openxmlformats.org/officeDocument/2006/customXml" ds:itemID="{6130C0D4-B0CD-4534-9F71-206E2F4D6864}">
  <ds:schemaRefs/>
</ds:datastoreItem>
</file>

<file path=customXml/itemProps2.xml><?xml version="1.0" encoding="utf-8"?>
<ds:datastoreItem xmlns:ds="http://schemas.openxmlformats.org/officeDocument/2006/customXml" ds:itemID="{4510791E-7A86-4258-B3B3-F92EA34F8964}">
  <ds:schemaRefs/>
</ds:datastoreItem>
</file>

<file path=customXml/itemProps3.xml><?xml version="1.0" encoding="utf-8"?>
<ds:datastoreItem xmlns:ds="http://schemas.openxmlformats.org/officeDocument/2006/customXml" ds:itemID="{06772E25-B0BF-4F15-B408-5BDAEED26AC6}">
  <ds:schemaRefs/>
</ds:datastoreItem>
</file>

<file path=customXml/itemProps4.xml><?xml version="1.0" encoding="utf-8"?>
<ds:datastoreItem xmlns:ds="http://schemas.openxmlformats.org/officeDocument/2006/customXml" ds:itemID="{129C2C97-8A8A-423B-8E07-39886241D14A}">
  <ds:schemaRefs/>
</ds:datastoreItem>
</file>

<file path=customXml/itemProps5.xml><?xml version="1.0" encoding="utf-8"?>
<ds:datastoreItem xmlns:ds="http://schemas.openxmlformats.org/officeDocument/2006/customXml" ds:itemID="{9A9856D7-D21F-416C-B92A-0BF60F2976A4}">
  <ds:schemaRefs/>
</ds:datastoreItem>
</file>

<file path=customXml/itemProps6.xml><?xml version="1.0" encoding="utf-8"?>
<ds:datastoreItem xmlns:ds="http://schemas.openxmlformats.org/officeDocument/2006/customXml" ds:itemID="{3D832F0B-6B71-4AE3-A744-A3E08677B19E}">
  <ds:schemaRefs/>
</ds:datastoreItem>
</file>

<file path=customXml/itemProps7.xml><?xml version="1.0" encoding="utf-8"?>
<ds:datastoreItem xmlns:ds="http://schemas.openxmlformats.org/officeDocument/2006/customXml" ds:itemID="{1BBB04A4-C57A-4FCC-AC11-1E5BC098342C}">
  <ds:schemaRefs/>
</ds:datastoreItem>
</file>

<file path=customXml/itemProps8.xml><?xml version="1.0" encoding="utf-8"?>
<ds:datastoreItem xmlns:ds="http://schemas.openxmlformats.org/officeDocument/2006/customXml" ds:itemID="{C0AC6652-C373-45E7-8A33-8CD07806D8CE}">
  <ds:schemaRefs/>
</ds:datastoreItem>
</file>

<file path=customXml/itemProps9.xml><?xml version="1.0" encoding="utf-8"?>
<ds:datastoreItem xmlns:ds="http://schemas.openxmlformats.org/officeDocument/2006/customXml" ds:itemID="{261C4951-6EC9-4FCF-ACD1-B013839FEE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база</vt:lpstr>
      <vt:lpstr>База запрос</vt:lpstr>
      <vt:lpstr>Срок</vt:lpstr>
      <vt:lpstr>Запол</vt:lpstr>
      <vt:lpstr>Заключение</vt:lpstr>
      <vt:lpstr>Бл Зак</vt:lpstr>
      <vt:lpstr>На учет</vt:lpstr>
      <vt:lpstr>Бл уч</vt:lpstr>
      <vt:lpstr>С учета</vt:lpstr>
      <vt:lpstr>Бл с уч</vt:lpstr>
      <vt:lpstr>АКТ-обсл</vt:lpstr>
      <vt:lpstr>'АКТ-обсл'!Область_печати</vt:lpstr>
      <vt:lpstr>Шеф</vt:lpstr>
      <vt:lpstr>шеф1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учет и движение</dc:subject>
  <dc:creator>АА</dc:creator>
  <cp:lastModifiedBy>AA</cp:lastModifiedBy>
  <cp:lastPrinted>2014-01-22T12:46:37Z</cp:lastPrinted>
  <dcterms:created xsi:type="dcterms:W3CDTF">2005-02-20T12:06:32Z</dcterms:created>
  <dcterms:modified xsi:type="dcterms:W3CDTF">2024-08-27T08:00:50Z</dcterms:modified>
</cp:coreProperties>
</file>