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ЕГ\ФУТБОЛ\ЧЕ\ЧЕ-2016\"/>
    </mc:Choice>
  </mc:AlternateContent>
  <bookViews>
    <workbookView xWindow="0" yWindow="15" windowWidth="15195" windowHeight="8445" tabRatio="778"/>
  </bookViews>
  <sheets>
    <sheet name="FR 2016" sheetId="1" r:id="rId1"/>
  </sheets>
  <definedNames>
    <definedName name="Drawpoints">#REF!</definedName>
    <definedName name="Groupstage_Losers">'FR 2016'!$M$7:$M$42</definedName>
    <definedName name="Groupstage_Winners">'FR 2016'!$L$7:$L$42</definedName>
    <definedName name="Winpoints">#REF!</definedName>
    <definedName name="Австрия_Against">'FR 2016'!$G$17,'FR 2016'!$F$30,'FR 2016'!$F$39</definedName>
    <definedName name="Австрия_Played">'FR 2016'!$F$17,'FR 2016'!$G$30,'FR 2016'!$G$39</definedName>
    <definedName name="Албания_Against">'FR 2016'!$G$8,'FR 2016'!$F$21,'FR 2016'!$F$31</definedName>
    <definedName name="Албания_Played">'FR 2016'!$F$8,'FR 2016'!$G$21,'FR 2016'!$G$31</definedName>
    <definedName name="Англия_Against">'FR 2016'!$G$10,'FR 2016'!$G$22,'FR 2016'!$F$34</definedName>
    <definedName name="Англия_Played">'FR 2016'!$F$10,'FR 2016'!$F$22,'FR 2016'!$G$34</definedName>
    <definedName name="Бельгия_Against">'FR 2016'!$G$16,'FR 2016'!$G$28,'FR 2016'!$F$42</definedName>
    <definedName name="Бельгия_Played">'FR 2016'!$F$16,'FR 2016'!$F$28,'FR 2016'!$G$42</definedName>
    <definedName name="Венгрия_Against">'FR 2016'!$F$17,'FR 2016'!$F$29,'FR 2016'!$G$40</definedName>
    <definedName name="Венгрия_Played">'FR 2016'!$G$17,'FR 2016'!$G$29,'FR 2016'!$F$40</definedName>
    <definedName name="Германия_Against">'FR 2016'!$G$13,'FR 2016'!$G$24,'FR 2016'!$F$36</definedName>
    <definedName name="Германия_Played">'FR 2016'!$F$13,'FR 2016'!$F$24,'FR 2016'!$G$36</definedName>
    <definedName name="Ирландия_Against">'FR 2016'!$G$15,'FR 2016'!$F$28,'FR 2016'!$F$41</definedName>
    <definedName name="Ирландия_Played">'FR 2016'!$F$15,'FR 2016'!$G$28,'FR 2016'!$G$41</definedName>
    <definedName name="Исландия_Against">'FR 2016'!$F$18,'FR 2016'!$G$29,'FR 2016'!$G$39</definedName>
    <definedName name="Исландия_Played">'FR 2016'!$G$18,'FR 2016'!$F$29,'FR 2016'!$F$39</definedName>
    <definedName name="Испания_Against">'FR 2016'!$G$14,'FR 2016'!$G$27,'FR 2016'!$F$38</definedName>
    <definedName name="Испания_Played">'FR 2016'!$F$14,'FR 2016'!$F$27,'FR 2016'!$G$38</definedName>
    <definedName name="Италия_Against">'FR 2016'!$F$16,'FR 2016'!$G$25,'FR 2016'!$G$41</definedName>
    <definedName name="Италия_Played">'FR 2016'!$G$16,'FR 2016'!$F$25,'FR 2016'!$F$41</definedName>
    <definedName name="_xlnm.Print_Area" localSheetId="0">'FR 2016'!$A$1:$W$104</definedName>
    <definedName name="Польша_Against">'FR 2016'!$G$12,'FR 2016'!$F$24,'FR 2016'!$F$35</definedName>
    <definedName name="Польша_Played">'FR 2016'!$F$12,'FR 2016'!$G$24,'FR 2016'!$G$35</definedName>
    <definedName name="Португалия_Against">'FR 2016'!$G$18,'FR 2016'!$G$30,'FR 2016'!$F$40</definedName>
    <definedName name="Португалия_Played">'FR 2016'!$F$18,'FR 2016'!$F$30,'FR 2016'!$G$40</definedName>
    <definedName name="Россия_Against">'FR 2016'!$F$10,'FR 2016'!$G$19,'FR 2016'!$G$33</definedName>
    <definedName name="Россия_Played">'FR 2016'!$G$10,'FR 2016'!$F$19,'FR 2016'!$F$33</definedName>
    <definedName name="Румыния_Against">'FR 2016'!$F$7,'FR 2016'!$G$20,'FR 2016'!$G$31</definedName>
    <definedName name="Румыния_Played">'FR 2016'!$G$7,'FR 2016'!$F$20,'FR 2016'!$F$31</definedName>
    <definedName name="Сев.Ирландия_Against">'FR 2016'!$F$12,'FR 2016'!$F$23,'FR 2016'!$G$36</definedName>
    <definedName name="Сев.Ирландия_Played">'FR 2016'!$G$12,'FR 2016'!$G$23,'FR 2016'!$F$36</definedName>
    <definedName name="Словакия_Against">'FR 2016'!$F$9,'FR 2016'!$F$19,'FR 2016'!$G$34</definedName>
    <definedName name="Словакия_Played">'FR 2016'!$G$9,'FR 2016'!$G$19,'FR 2016'!$F$34</definedName>
    <definedName name="Турция_Against">'FR 2016'!$G$11,'FR 2016'!$F$27,'FR 2016'!$F$37</definedName>
    <definedName name="Турция_Played">'FR 2016'!$F$11,'FR 2016'!$G$27,'FR 2016'!$G$37</definedName>
    <definedName name="Украина_Against">'FR 2016'!$F$13,'FR 2016'!$G$23,'FR 2016'!$G$35</definedName>
    <definedName name="Украина_Played">'FR 2016'!$G$13,'FR 2016'!$F$23,'FR 2016'!$F$35</definedName>
    <definedName name="Уэльс_Against">'FR 2016'!$G$9,'FR 2016'!$F$22,'FR 2016'!$F$33</definedName>
    <definedName name="Уэльс_Played">'FR 2016'!$F$9,'FR 2016'!$G$22,'FR 2016'!$G$33</definedName>
    <definedName name="Франция_Against">'FR 2016'!$G$7,'FR 2016'!$G$21,'FR 2016'!$F$32</definedName>
    <definedName name="Франция_Played">'FR 2016'!$F$7,'FR 2016'!$F$21,'FR 2016'!$G$32</definedName>
    <definedName name="Хорватия_Against">'FR 2016'!$F$11,'FR 2016'!$F$26,'FR 2016'!$G$38</definedName>
    <definedName name="Хорватия_Played">'FR 2016'!$G$11,'FR 2016'!$G$26,'FR 2016'!$F$38</definedName>
    <definedName name="Чехия_Against">'FR 2016'!$F$14,'FR 2016'!$G$26,'FR 2016'!$G$37</definedName>
    <definedName name="Чехия_Played">'FR 2016'!$G$14,'FR 2016'!$F$26,'FR 2016'!$F$37</definedName>
    <definedName name="Швейцария_Against">'FR 2016'!$F$8,'FR 2016'!$F$20,'FR 2016'!$G$32</definedName>
    <definedName name="Швейцария_Played">'FR 2016'!$G$8,'FR 2016'!$G$20,'FR 2016'!$F$32</definedName>
    <definedName name="Швеция_Against">'FR 2016'!$F$15,'FR 2016'!$F$25,'FR 2016'!$G$42</definedName>
    <definedName name="Швеция_Played">'FR 2016'!$G$15,'FR 2016'!$G$25,'FR 2016'!$F$42</definedName>
  </definedNames>
  <calcPr calcId="162913"/>
</workbook>
</file>

<file path=xl/calcChain.xml><?xml version="1.0" encoding="utf-8"?>
<calcChain xmlns="http://schemas.openxmlformats.org/spreadsheetml/2006/main">
  <c r="BY8" i="1" l="1"/>
  <c r="BY9" i="1"/>
  <c r="BY10" i="1"/>
  <c r="BY11" i="1"/>
  <c r="BY12" i="1"/>
  <c r="BY13" i="1"/>
  <c r="BY14" i="1"/>
  <c r="BY15" i="1"/>
  <c r="BY16" i="1"/>
  <c r="BY7" i="1"/>
  <c r="BX8" i="1"/>
  <c r="BX9" i="1"/>
  <c r="BX10" i="1"/>
  <c r="BX11" i="1"/>
  <c r="BX12" i="1"/>
  <c r="BX13" i="1"/>
  <c r="I77" i="1" s="1"/>
  <c r="BX14" i="1"/>
  <c r="BX15" i="1"/>
  <c r="BX16" i="1"/>
  <c r="BX7" i="1"/>
  <c r="I62" i="1"/>
  <c r="I49" i="1"/>
  <c r="I53" i="1"/>
  <c r="I18" i="1"/>
  <c r="I22" i="1"/>
  <c r="I26" i="1"/>
  <c r="I30" i="1"/>
  <c r="I34" i="1"/>
  <c r="I38" i="1"/>
  <c r="I42" i="1"/>
  <c r="I12" i="1"/>
  <c r="I16" i="1"/>
  <c r="I15" i="1" l="1"/>
  <c r="I11" i="1"/>
  <c r="I41" i="1"/>
  <c r="I37" i="1"/>
  <c r="I33" i="1"/>
  <c r="I29" i="1"/>
  <c r="I25" i="1"/>
  <c r="I21" i="1"/>
  <c r="I48" i="1"/>
  <c r="I52" i="1"/>
  <c r="I61" i="1"/>
  <c r="I70" i="1"/>
  <c r="I14" i="1"/>
  <c r="I10" i="1"/>
  <c r="I40" i="1"/>
  <c r="I36" i="1"/>
  <c r="I32" i="1"/>
  <c r="I28" i="1"/>
  <c r="I24" i="1"/>
  <c r="I20" i="1"/>
  <c r="I55" i="1"/>
  <c r="I51" i="1"/>
  <c r="I64" i="1"/>
  <c r="I71" i="1"/>
  <c r="I17" i="1"/>
  <c r="I13" i="1"/>
  <c r="I9" i="1"/>
  <c r="I39" i="1"/>
  <c r="I35" i="1"/>
  <c r="I31" i="1"/>
  <c r="I27" i="1"/>
  <c r="I23" i="1"/>
  <c r="I19" i="1"/>
  <c r="I54" i="1"/>
  <c r="I50" i="1"/>
  <c r="I63" i="1"/>
  <c r="I7" i="1"/>
  <c r="I8" i="1"/>
  <c r="M35" i="1" l="1"/>
  <c r="L35" i="1"/>
  <c r="AE9" i="1" l="1"/>
  <c r="L52" i="1"/>
  <c r="E63" i="1" s="1"/>
  <c r="AE46" i="1"/>
  <c r="AD46" i="1"/>
  <c r="AF46" i="1" s="1"/>
  <c r="Z46" i="1"/>
  <c r="AE45" i="1"/>
  <c r="AD45" i="1"/>
  <c r="Z45" i="1"/>
  <c r="AE44" i="1"/>
  <c r="AD44" i="1"/>
  <c r="Z44" i="1"/>
  <c r="AE43" i="1"/>
  <c r="AD43" i="1"/>
  <c r="Z43" i="1"/>
  <c r="AE39" i="1"/>
  <c r="AD39" i="1"/>
  <c r="Z39" i="1"/>
  <c r="AE38" i="1"/>
  <c r="AD38" i="1"/>
  <c r="Z38" i="1"/>
  <c r="AE37" i="1"/>
  <c r="AD37" i="1"/>
  <c r="Z37" i="1"/>
  <c r="AE36" i="1"/>
  <c r="AD36" i="1"/>
  <c r="Z36" i="1"/>
  <c r="AE32" i="1"/>
  <c r="AD32" i="1"/>
  <c r="Z32" i="1"/>
  <c r="AE31" i="1"/>
  <c r="AD31" i="1"/>
  <c r="Z31" i="1"/>
  <c r="AE30" i="1"/>
  <c r="AD30" i="1"/>
  <c r="Z30" i="1"/>
  <c r="AE29" i="1"/>
  <c r="AD29" i="1"/>
  <c r="Z29" i="1"/>
  <c r="AE25" i="1"/>
  <c r="AD25" i="1"/>
  <c r="AF25" i="1" s="1"/>
  <c r="Z25" i="1"/>
  <c r="AE24" i="1"/>
  <c r="AD24" i="1"/>
  <c r="Z24" i="1"/>
  <c r="AE23" i="1"/>
  <c r="AD23" i="1"/>
  <c r="Z23" i="1"/>
  <c r="AE22" i="1"/>
  <c r="AD22" i="1"/>
  <c r="Z22" i="1"/>
  <c r="AE18" i="1"/>
  <c r="AD18" i="1"/>
  <c r="AF18" i="1" s="1"/>
  <c r="Z18" i="1"/>
  <c r="AE17" i="1"/>
  <c r="AD17" i="1"/>
  <c r="Z17" i="1"/>
  <c r="AE16" i="1"/>
  <c r="AD16" i="1"/>
  <c r="Z16" i="1"/>
  <c r="AE15" i="1"/>
  <c r="AD15" i="1"/>
  <c r="Z15" i="1"/>
  <c r="AE11" i="1"/>
  <c r="AD11" i="1"/>
  <c r="Z11" i="1"/>
  <c r="AE10" i="1"/>
  <c r="AD10" i="1"/>
  <c r="Z10" i="1"/>
  <c r="AD9" i="1"/>
  <c r="AF9" i="1" s="1"/>
  <c r="Z9" i="1"/>
  <c r="AE8" i="1"/>
  <c r="AD8" i="1"/>
  <c r="Z8" i="1"/>
  <c r="L71" i="1"/>
  <c r="H77" i="1" s="1"/>
  <c r="L70" i="1"/>
  <c r="E77" i="1" s="1"/>
  <c r="L64" i="1"/>
  <c r="H71" i="1" s="1"/>
  <c r="L63" i="1"/>
  <c r="E71" i="1" s="1"/>
  <c r="L62" i="1"/>
  <c r="H70" i="1" s="1"/>
  <c r="L61" i="1"/>
  <c r="E70" i="1" s="1"/>
  <c r="L55" i="1"/>
  <c r="H64" i="1" s="1"/>
  <c r="L54" i="1"/>
  <c r="H63" i="1" s="1"/>
  <c r="L53" i="1"/>
  <c r="H62" i="1" s="1"/>
  <c r="L51" i="1"/>
  <c r="E64" i="1" s="1"/>
  <c r="L50" i="1"/>
  <c r="H61" i="1" s="1"/>
  <c r="L49" i="1"/>
  <c r="E62" i="1" s="1"/>
  <c r="L48" i="1"/>
  <c r="E61" i="1" s="1"/>
  <c r="L74" i="1"/>
  <c r="E79" i="1" s="1"/>
  <c r="L7" i="1"/>
  <c r="L8" i="1"/>
  <c r="M7" i="1"/>
  <c r="M8" i="1"/>
  <c r="L42" i="1"/>
  <c r="L41" i="1"/>
  <c r="L40" i="1"/>
  <c r="L39" i="1"/>
  <c r="L38" i="1"/>
  <c r="L37" i="1"/>
  <c r="L36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M42" i="1"/>
  <c r="M41" i="1"/>
  <c r="M40" i="1"/>
  <c r="M39" i="1"/>
  <c r="M38" i="1"/>
  <c r="M37" i="1"/>
  <c r="M36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D49" i="1"/>
  <c r="D50" i="1" s="1"/>
  <c r="D51" i="1" s="1"/>
  <c r="D52" i="1" s="1"/>
  <c r="D53" i="1" s="1"/>
  <c r="D54" i="1" s="1"/>
  <c r="D55" i="1" s="1"/>
  <c r="AF39" i="1" l="1"/>
  <c r="AF23" i="1"/>
  <c r="AF37" i="1"/>
  <c r="AF38" i="1"/>
  <c r="AF17" i="1"/>
  <c r="AF24" i="1"/>
  <c r="AF32" i="1"/>
  <c r="AF15" i="1"/>
  <c r="AF16" i="1"/>
  <c r="AF30" i="1"/>
  <c r="AF31" i="1"/>
  <c r="AF44" i="1"/>
  <c r="AF45" i="1"/>
  <c r="AF11" i="1"/>
  <c r="AF10" i="1"/>
  <c r="AF22" i="1"/>
  <c r="AF29" i="1"/>
  <c r="AF36" i="1"/>
  <c r="AF43" i="1"/>
  <c r="AF8" i="1"/>
  <c r="AB46" i="1"/>
  <c r="AA46" i="1"/>
  <c r="AA8" i="1"/>
  <c r="AB8" i="1"/>
  <c r="AA9" i="1"/>
  <c r="AB9" i="1"/>
  <c r="AA10" i="1"/>
  <c r="AB10" i="1"/>
  <c r="AA11" i="1"/>
  <c r="AB11" i="1"/>
  <c r="AA15" i="1"/>
  <c r="AB15" i="1"/>
  <c r="AA16" i="1"/>
  <c r="AB16" i="1"/>
  <c r="AA17" i="1"/>
  <c r="AB17" i="1"/>
  <c r="AA18" i="1"/>
  <c r="AB18" i="1"/>
  <c r="AA22" i="1"/>
  <c r="AB22" i="1"/>
  <c r="AA23" i="1"/>
  <c r="AB23" i="1"/>
  <c r="AA24" i="1"/>
  <c r="AB24" i="1"/>
  <c r="AA25" i="1"/>
  <c r="AB25" i="1"/>
  <c r="AA29" i="1"/>
  <c r="AB29" i="1"/>
  <c r="AA30" i="1"/>
  <c r="AB30" i="1"/>
  <c r="AA31" i="1"/>
  <c r="AB31" i="1"/>
  <c r="AA32" i="1"/>
  <c r="AB32" i="1"/>
  <c r="AA36" i="1"/>
  <c r="AB36" i="1"/>
  <c r="AA37" i="1"/>
  <c r="AB37" i="1"/>
  <c r="AA38" i="1"/>
  <c r="AB38" i="1"/>
  <c r="AA39" i="1"/>
  <c r="AB39" i="1"/>
  <c r="AA43" i="1"/>
  <c r="AB43" i="1"/>
  <c r="AA44" i="1"/>
  <c r="AB44" i="1"/>
  <c r="AA45" i="1"/>
  <c r="AB45" i="1"/>
  <c r="AC46" i="1" l="1"/>
  <c r="AG46" i="1" s="1"/>
  <c r="AC45" i="1"/>
  <c r="AG45" i="1" s="1"/>
  <c r="AC44" i="1"/>
  <c r="AG44" i="1" s="1"/>
  <c r="AC43" i="1"/>
  <c r="AG43" i="1" s="1"/>
  <c r="AC39" i="1"/>
  <c r="AG39" i="1" s="1"/>
  <c r="AC38" i="1"/>
  <c r="AG38" i="1" s="1"/>
  <c r="AC37" i="1"/>
  <c r="AG37" i="1" s="1"/>
  <c r="AC36" i="1"/>
  <c r="AG36" i="1" s="1"/>
  <c r="AC32" i="1"/>
  <c r="AG32" i="1" s="1"/>
  <c r="AC31" i="1"/>
  <c r="AG31" i="1" s="1"/>
  <c r="AC30" i="1"/>
  <c r="AG30" i="1" s="1"/>
  <c r="AC29" i="1"/>
  <c r="AG29" i="1" s="1"/>
  <c r="AC25" i="1"/>
  <c r="AG25" i="1" s="1"/>
  <c r="AC24" i="1"/>
  <c r="AG24" i="1" s="1"/>
  <c r="AC23" i="1"/>
  <c r="AG23" i="1" s="1"/>
  <c r="AC22" i="1"/>
  <c r="AG22" i="1" s="1"/>
  <c r="AC18" i="1"/>
  <c r="AG18" i="1" s="1"/>
  <c r="AC17" i="1"/>
  <c r="AG17" i="1" s="1"/>
  <c r="AC16" i="1"/>
  <c r="AG16" i="1" s="1"/>
  <c r="AC15" i="1"/>
  <c r="AG15" i="1" s="1"/>
  <c r="AC11" i="1"/>
  <c r="AG11" i="1" s="1"/>
  <c r="AC10" i="1"/>
  <c r="AG10" i="1" s="1"/>
  <c r="AC9" i="1"/>
  <c r="AG9" i="1" s="1"/>
  <c r="AC8" i="1"/>
  <c r="AG8" i="1" s="1"/>
  <c r="AH45" i="1" l="1"/>
  <c r="AI45" i="1" s="1"/>
  <c r="AH46" i="1"/>
  <c r="AI46" i="1" s="1"/>
  <c r="AH8" i="1"/>
  <c r="AI8" i="1" s="1"/>
  <c r="AH15" i="1"/>
  <c r="AI15" i="1" s="1"/>
  <c r="AH22" i="1"/>
  <c r="AI22" i="1" s="1"/>
  <c r="AH31" i="1"/>
  <c r="AI31" i="1" s="1"/>
  <c r="AH36" i="1"/>
  <c r="AI36" i="1" s="1"/>
  <c r="AH43" i="1"/>
  <c r="AI43" i="1" s="1"/>
  <c r="AH10" i="1"/>
  <c r="AI10" i="1" s="1"/>
  <c r="AH17" i="1"/>
  <c r="AI17" i="1" s="1"/>
  <c r="AH24" i="1"/>
  <c r="AI24" i="1" s="1"/>
  <c r="AH29" i="1"/>
  <c r="AI29" i="1" s="1"/>
  <c r="AH38" i="1"/>
  <c r="AI38" i="1" s="1"/>
  <c r="AH9" i="1"/>
  <c r="AI9" i="1" s="1"/>
  <c r="AH11" i="1"/>
  <c r="AI11" i="1" s="1"/>
  <c r="AH16" i="1"/>
  <c r="AI16" i="1" s="1"/>
  <c r="AH18" i="1"/>
  <c r="AI18" i="1" s="1"/>
  <c r="AH23" i="1"/>
  <c r="AI23" i="1" s="1"/>
  <c r="AH25" i="1"/>
  <c r="AI25" i="1" s="1"/>
  <c r="AH30" i="1"/>
  <c r="AI30" i="1" s="1"/>
  <c r="AH32" i="1"/>
  <c r="AI32" i="1" s="1"/>
  <c r="AH37" i="1"/>
  <c r="AI37" i="1" s="1"/>
  <c r="AH39" i="1"/>
  <c r="AI39" i="1" s="1"/>
  <c r="AH44" i="1"/>
  <c r="AI44" i="1" s="1"/>
  <c r="AJ45" i="1" l="1"/>
  <c r="AK45" i="1" s="1"/>
  <c r="AJ43" i="1"/>
  <c r="AK43" i="1" s="1"/>
  <c r="AJ10" i="1"/>
  <c r="AK10" i="1" s="1"/>
  <c r="AJ22" i="1"/>
  <c r="AK22" i="1" s="1"/>
  <c r="AJ38" i="1"/>
  <c r="AK38" i="1" s="1"/>
  <c r="AJ44" i="1"/>
  <c r="AK44" i="1" s="1"/>
  <c r="AJ17" i="1"/>
  <c r="AK17" i="1" s="1"/>
  <c r="AJ31" i="1"/>
  <c r="AK31" i="1" s="1"/>
  <c r="AJ25" i="1"/>
  <c r="AK25" i="1" s="1"/>
  <c r="AJ24" i="1"/>
  <c r="AK24" i="1" s="1"/>
  <c r="AJ32" i="1"/>
  <c r="AK32" i="1" s="1"/>
  <c r="AJ29" i="1"/>
  <c r="AK29" i="1" s="1"/>
  <c r="AJ15" i="1"/>
  <c r="AK15" i="1" s="1"/>
  <c r="AJ39" i="1"/>
  <c r="AK39" i="1" s="1"/>
  <c r="AJ11" i="1"/>
  <c r="AK11" i="1" s="1"/>
  <c r="AJ18" i="1"/>
  <c r="AK18" i="1" s="1"/>
  <c r="AJ36" i="1"/>
  <c r="AK36" i="1" s="1"/>
  <c r="AJ8" i="1"/>
  <c r="AK8" i="1" s="1"/>
  <c r="AJ37" i="1"/>
  <c r="AK37" i="1" s="1"/>
  <c r="AJ30" i="1"/>
  <c r="AK30" i="1" s="1"/>
  <c r="AJ23" i="1"/>
  <c r="AK23" i="1" s="1"/>
  <c r="AJ16" i="1"/>
  <c r="AK16" i="1" s="1"/>
  <c r="AJ9" i="1"/>
  <c r="AK9" i="1" s="1"/>
  <c r="AJ46" i="1"/>
  <c r="AK46" i="1" s="1"/>
  <c r="AL44" i="1" l="1"/>
  <c r="AN44" i="1" s="1"/>
  <c r="AL23" i="1"/>
  <c r="AM23" i="1" s="1"/>
  <c r="AL37" i="1"/>
  <c r="AN37" i="1" s="1"/>
  <c r="AL45" i="1"/>
  <c r="AN45" i="1" s="1"/>
  <c r="AL30" i="1"/>
  <c r="AN30" i="1" s="1"/>
  <c r="AL9" i="1"/>
  <c r="AM9" i="1" s="1"/>
  <c r="AL16" i="1"/>
  <c r="AN16" i="1" s="1"/>
  <c r="AL25" i="1"/>
  <c r="AL22" i="1"/>
  <c r="AN22" i="1" s="1"/>
  <c r="AL39" i="1"/>
  <c r="AM39" i="1" s="1"/>
  <c r="AL32" i="1"/>
  <c r="AM32" i="1" s="1"/>
  <c r="AL8" i="1"/>
  <c r="AN8" i="1" s="1"/>
  <c r="AL15" i="1"/>
  <c r="AN15" i="1" s="1"/>
  <c r="AL36" i="1"/>
  <c r="AM36" i="1" s="1"/>
  <c r="AL18" i="1"/>
  <c r="AL29" i="1"/>
  <c r="AN29" i="1" s="1"/>
  <c r="AL11" i="1"/>
  <c r="AL46" i="1"/>
  <c r="AL43" i="1"/>
  <c r="AL10" i="1"/>
  <c r="AL17" i="1"/>
  <c r="AL24" i="1"/>
  <c r="AL31" i="1"/>
  <c r="AL38" i="1"/>
  <c r="AM37" i="1" l="1"/>
  <c r="AM45" i="1"/>
  <c r="AM44" i="1"/>
  <c r="AN9" i="1"/>
  <c r="AN23" i="1"/>
  <c r="AM30" i="1"/>
  <c r="AM22" i="1"/>
  <c r="AM29" i="1"/>
  <c r="AN39" i="1"/>
  <c r="AM16" i="1"/>
  <c r="AM25" i="1"/>
  <c r="AN25" i="1"/>
  <c r="AN32" i="1"/>
  <c r="AM8" i="1"/>
  <c r="AM15" i="1"/>
  <c r="AM11" i="1"/>
  <c r="AN11" i="1"/>
  <c r="AN36" i="1"/>
  <c r="AM18" i="1"/>
  <c r="AN18" i="1"/>
  <c r="AN38" i="1"/>
  <c r="AM38" i="1"/>
  <c r="AN31" i="1"/>
  <c r="AM31" i="1"/>
  <c r="AN24" i="1"/>
  <c r="AM24" i="1"/>
  <c r="AN17" i="1"/>
  <c r="AM17" i="1"/>
  <c r="AN10" i="1"/>
  <c r="AM10" i="1"/>
  <c r="AN43" i="1"/>
  <c r="AM43" i="1"/>
  <c r="AN46" i="1"/>
  <c r="AM46" i="1"/>
  <c r="AO16" i="1" l="1"/>
  <c r="AQ16" i="1" s="1"/>
  <c r="AO22" i="1"/>
  <c r="AQ22" i="1" s="1"/>
  <c r="AO23" i="1"/>
  <c r="AP23" i="1" s="1"/>
  <c r="AO37" i="1"/>
  <c r="AQ37" i="1" s="1"/>
  <c r="AO15" i="1"/>
  <c r="AP15" i="1" s="1"/>
  <c r="AO30" i="1"/>
  <c r="AP30" i="1" s="1"/>
  <c r="AO29" i="1"/>
  <c r="AQ29" i="1" s="1"/>
  <c r="AO9" i="1"/>
  <c r="AP9" i="1" s="1"/>
  <c r="AO8" i="1"/>
  <c r="AQ8" i="1" s="1"/>
  <c r="AO36" i="1"/>
  <c r="AQ36" i="1" s="1"/>
  <c r="AO46" i="1"/>
  <c r="AO45" i="1"/>
  <c r="AO44" i="1"/>
  <c r="AO43" i="1"/>
  <c r="AP22" i="1"/>
  <c r="AO11" i="1"/>
  <c r="AO10" i="1"/>
  <c r="AO17" i="1"/>
  <c r="AO18" i="1"/>
  <c r="AO25" i="1"/>
  <c r="AO24" i="1"/>
  <c r="AO31" i="1"/>
  <c r="AO32" i="1"/>
  <c r="AO39" i="1"/>
  <c r="AO38" i="1"/>
  <c r="AP37" i="1" l="1"/>
  <c r="AQ15" i="1"/>
  <c r="AP16" i="1"/>
  <c r="AQ30" i="1"/>
  <c r="AQ23" i="1"/>
  <c r="AQ9" i="1"/>
  <c r="AP36" i="1"/>
  <c r="AP29" i="1"/>
  <c r="AP8" i="1"/>
  <c r="AQ38" i="1"/>
  <c r="AP38" i="1"/>
  <c r="AQ39" i="1"/>
  <c r="AP39" i="1"/>
  <c r="AQ32" i="1"/>
  <c r="AP32" i="1"/>
  <c r="AQ31" i="1"/>
  <c r="AP31" i="1"/>
  <c r="AQ24" i="1"/>
  <c r="AP24" i="1"/>
  <c r="AQ25" i="1"/>
  <c r="AP25" i="1"/>
  <c r="AP18" i="1"/>
  <c r="AQ18" i="1"/>
  <c r="AQ17" i="1"/>
  <c r="AP17" i="1"/>
  <c r="AP10" i="1"/>
  <c r="AQ10" i="1"/>
  <c r="AP11" i="1"/>
  <c r="AQ11" i="1"/>
  <c r="AQ43" i="1"/>
  <c r="AP43" i="1"/>
  <c r="AQ44" i="1"/>
  <c r="AP44" i="1"/>
  <c r="AQ45" i="1"/>
  <c r="AP45" i="1"/>
  <c r="AQ46" i="1"/>
  <c r="AP46" i="1"/>
  <c r="AR16" i="1" l="1"/>
  <c r="AS16" i="1" s="1"/>
  <c r="AR8" i="1"/>
  <c r="AT8" i="1" s="1"/>
  <c r="AR18" i="1"/>
  <c r="AT18" i="1" s="1"/>
  <c r="AR22" i="1"/>
  <c r="AT22" i="1" s="1"/>
  <c r="AR30" i="1"/>
  <c r="AT30" i="1" s="1"/>
  <c r="AR38" i="1"/>
  <c r="AT38" i="1" s="1"/>
  <c r="AR17" i="1"/>
  <c r="AT17" i="1" s="1"/>
  <c r="AR23" i="1"/>
  <c r="AS23" i="1" s="1"/>
  <c r="AR31" i="1"/>
  <c r="AT31" i="1" s="1"/>
  <c r="AR39" i="1"/>
  <c r="AT39" i="1" s="1"/>
  <c r="AR24" i="1"/>
  <c r="AT24" i="1" s="1"/>
  <c r="AR10" i="1"/>
  <c r="AS10" i="1" s="1"/>
  <c r="AR32" i="1"/>
  <c r="AS32" i="1" s="1"/>
  <c r="AR36" i="1"/>
  <c r="AS36" i="1" s="1"/>
  <c r="AR9" i="1"/>
  <c r="AT9" i="1" s="1"/>
  <c r="AR37" i="1"/>
  <c r="AS37" i="1" s="1"/>
  <c r="AR29" i="1"/>
  <c r="AS29" i="1" s="1"/>
  <c r="AR25" i="1"/>
  <c r="AS25" i="1" s="1"/>
  <c r="AR11" i="1"/>
  <c r="AS11" i="1" s="1"/>
  <c r="AR15" i="1"/>
  <c r="AT15" i="1" s="1"/>
  <c r="AR44" i="1"/>
  <c r="AR46" i="1"/>
  <c r="AR45" i="1"/>
  <c r="AR43" i="1"/>
  <c r="AS38" i="1" l="1"/>
  <c r="AS8" i="1"/>
  <c r="AS17" i="1"/>
  <c r="AS18" i="1"/>
  <c r="AT16" i="1"/>
  <c r="AS24" i="1"/>
  <c r="AT23" i="1"/>
  <c r="AS22" i="1"/>
  <c r="AS39" i="1"/>
  <c r="AT37" i="1"/>
  <c r="AT32" i="1"/>
  <c r="AS30" i="1"/>
  <c r="AS31" i="1"/>
  <c r="AT36" i="1"/>
  <c r="AT29" i="1"/>
  <c r="AT10" i="1"/>
  <c r="AS15" i="1"/>
  <c r="AT25" i="1"/>
  <c r="AS9" i="1"/>
  <c r="AT11" i="1"/>
  <c r="AU11" i="1" s="1"/>
  <c r="AS43" i="1"/>
  <c r="AT43" i="1"/>
  <c r="AT45" i="1"/>
  <c r="AS45" i="1"/>
  <c r="AS46" i="1"/>
  <c r="AT46" i="1"/>
  <c r="AS44" i="1"/>
  <c r="AT44" i="1"/>
  <c r="AU38" i="1" l="1"/>
  <c r="AW38" i="1" s="1"/>
  <c r="AU15" i="1"/>
  <c r="AW15" i="1" s="1"/>
  <c r="AU16" i="1"/>
  <c r="AV16" i="1" s="1"/>
  <c r="AU17" i="1"/>
  <c r="AV17" i="1" s="1"/>
  <c r="AU22" i="1"/>
  <c r="AW22" i="1" s="1"/>
  <c r="AU39" i="1"/>
  <c r="AV39" i="1" s="1"/>
  <c r="AU23" i="1"/>
  <c r="AV23" i="1" s="1"/>
  <c r="AU24" i="1"/>
  <c r="AX24" i="1" s="1"/>
  <c r="AU32" i="1"/>
  <c r="AV32" i="1" s="1"/>
  <c r="AU37" i="1"/>
  <c r="AW37" i="1" s="1"/>
  <c r="AU29" i="1"/>
  <c r="AX29" i="1" s="1"/>
  <c r="AU30" i="1"/>
  <c r="AX30" i="1" s="1"/>
  <c r="AU31" i="1"/>
  <c r="AX31" i="1" s="1"/>
  <c r="AU36" i="1"/>
  <c r="AX36" i="1" s="1"/>
  <c r="AU25" i="1"/>
  <c r="AW25" i="1" s="1"/>
  <c r="AU9" i="1"/>
  <c r="AW9" i="1" s="1"/>
  <c r="AU8" i="1"/>
  <c r="AX8" i="1" s="1"/>
  <c r="AU10" i="1"/>
  <c r="AV10" i="1" s="1"/>
  <c r="AU18" i="1"/>
  <c r="AW18" i="1" s="1"/>
  <c r="AU44" i="1"/>
  <c r="AU45" i="1"/>
  <c r="AU46" i="1"/>
  <c r="AU43" i="1"/>
  <c r="AW11" i="1"/>
  <c r="AV11" i="1"/>
  <c r="AX11" i="1"/>
  <c r="AX16" i="1"/>
  <c r="AW17" i="1"/>
  <c r="AX15" i="1" l="1"/>
  <c r="AV15" i="1"/>
  <c r="AX22" i="1"/>
  <c r="AW24" i="1"/>
  <c r="AX38" i="1"/>
  <c r="AV38" i="1"/>
  <c r="AW16" i="1"/>
  <c r="AY16" i="1" s="1"/>
  <c r="AV37" i="1"/>
  <c r="AX32" i="1"/>
  <c r="AW32" i="1"/>
  <c r="AV22" i="1"/>
  <c r="AW39" i="1"/>
  <c r="AX39" i="1"/>
  <c r="AX37" i="1"/>
  <c r="AX17" i="1"/>
  <c r="AX23" i="1"/>
  <c r="AV29" i="1"/>
  <c r="AW23" i="1"/>
  <c r="AW36" i="1"/>
  <c r="AV30" i="1"/>
  <c r="AW30" i="1"/>
  <c r="AW29" i="1"/>
  <c r="AV24" i="1"/>
  <c r="AX10" i="1"/>
  <c r="AV36" i="1"/>
  <c r="AW31" i="1"/>
  <c r="AV31" i="1"/>
  <c r="AV25" i="1"/>
  <c r="AW10" i="1"/>
  <c r="AX25" i="1"/>
  <c r="AX9" i="1"/>
  <c r="AV9" i="1"/>
  <c r="AV8" i="1"/>
  <c r="AW8" i="1"/>
  <c r="AV18" i="1"/>
  <c r="AX18" i="1"/>
  <c r="AW43" i="1"/>
  <c r="AV43" i="1"/>
  <c r="AX43" i="1"/>
  <c r="AW46" i="1"/>
  <c r="AV46" i="1"/>
  <c r="AX46" i="1"/>
  <c r="AV45" i="1"/>
  <c r="AX45" i="1"/>
  <c r="AW45" i="1"/>
  <c r="AW44" i="1"/>
  <c r="AV44" i="1"/>
  <c r="AX44" i="1"/>
  <c r="AY15" i="1" l="1"/>
  <c r="BA15" i="1" s="1"/>
  <c r="AY39" i="1"/>
  <c r="BB39" i="1" s="1"/>
  <c r="AY38" i="1"/>
  <c r="BA38" i="1" s="1"/>
  <c r="AY29" i="1"/>
  <c r="BB29" i="1" s="1"/>
  <c r="AY22" i="1"/>
  <c r="AZ22" i="1" s="1"/>
  <c r="AY23" i="1"/>
  <c r="BB23" i="1" s="1"/>
  <c r="AY36" i="1"/>
  <c r="AZ36" i="1" s="1"/>
  <c r="AY37" i="1"/>
  <c r="BA37" i="1" s="1"/>
  <c r="AY30" i="1"/>
  <c r="AZ30" i="1" s="1"/>
  <c r="AY31" i="1"/>
  <c r="AZ31" i="1" s="1"/>
  <c r="AY25" i="1"/>
  <c r="BB25" i="1" s="1"/>
  <c r="AY11" i="1"/>
  <c r="AZ11" i="1" s="1"/>
  <c r="AY32" i="1"/>
  <c r="AZ32" i="1" s="1"/>
  <c r="AY9" i="1"/>
  <c r="AZ9" i="1" s="1"/>
  <c r="AY10" i="1"/>
  <c r="BB10" i="1" s="1"/>
  <c r="AY24" i="1"/>
  <c r="AZ24" i="1" s="1"/>
  <c r="AY8" i="1"/>
  <c r="AZ8" i="1" s="1"/>
  <c r="AY17" i="1"/>
  <c r="AZ17" i="1" s="1"/>
  <c r="AY18" i="1"/>
  <c r="BA18" i="1" s="1"/>
  <c r="AY46" i="1"/>
  <c r="AY45" i="1"/>
  <c r="AY44" i="1"/>
  <c r="AY43" i="1"/>
  <c r="AZ16" i="1"/>
  <c r="BA16" i="1"/>
  <c r="BB16" i="1"/>
  <c r="AZ39" i="1"/>
  <c r="BB15" i="1" l="1"/>
  <c r="BA39" i="1"/>
  <c r="AZ38" i="1"/>
  <c r="BB11" i="1"/>
  <c r="BA29" i="1"/>
  <c r="BB38" i="1"/>
  <c r="AZ29" i="1"/>
  <c r="AZ25" i="1"/>
  <c r="AZ15" i="1"/>
  <c r="BA36" i="1"/>
  <c r="BB37" i="1"/>
  <c r="BA22" i="1"/>
  <c r="BB22" i="1"/>
  <c r="BA23" i="1"/>
  <c r="BB36" i="1"/>
  <c r="BA31" i="1"/>
  <c r="AZ23" i="1"/>
  <c r="BA25" i="1"/>
  <c r="AZ37" i="1"/>
  <c r="BB31" i="1"/>
  <c r="BB30" i="1"/>
  <c r="BA24" i="1"/>
  <c r="BB32" i="1"/>
  <c r="BA30" i="1"/>
  <c r="BA10" i="1"/>
  <c r="BA32" i="1"/>
  <c r="AZ10" i="1"/>
  <c r="BA11" i="1"/>
  <c r="BA17" i="1"/>
  <c r="BB24" i="1"/>
  <c r="BB9" i="1"/>
  <c r="BA9" i="1"/>
  <c r="BB17" i="1"/>
  <c r="BC15" i="1" s="1"/>
  <c r="BB8" i="1"/>
  <c r="BB18" i="1"/>
  <c r="BA8" i="1"/>
  <c r="AZ18" i="1"/>
  <c r="BB43" i="1"/>
  <c r="AZ43" i="1"/>
  <c r="BA43" i="1"/>
  <c r="AZ44" i="1"/>
  <c r="BA44" i="1"/>
  <c r="BB44" i="1"/>
  <c r="BA45" i="1"/>
  <c r="BB45" i="1"/>
  <c r="AZ45" i="1"/>
  <c r="AZ46" i="1"/>
  <c r="BB46" i="1"/>
  <c r="BA46" i="1"/>
  <c r="BC37" i="1" l="1"/>
  <c r="BC38" i="1"/>
  <c r="BD38" i="1" s="1"/>
  <c r="BC36" i="1"/>
  <c r="BD36" i="1" s="1"/>
  <c r="BC29" i="1"/>
  <c r="BD29" i="1" s="1"/>
  <c r="BC24" i="1"/>
  <c r="BF24" i="1" s="1"/>
  <c r="BC31" i="1"/>
  <c r="BF31" i="1" s="1"/>
  <c r="BC25" i="1"/>
  <c r="BF25" i="1" s="1"/>
  <c r="BC23" i="1"/>
  <c r="BD23" i="1" s="1"/>
  <c r="BC32" i="1"/>
  <c r="BE32" i="1" s="1"/>
  <c r="BC22" i="1"/>
  <c r="BD22" i="1" s="1"/>
  <c r="BC39" i="1"/>
  <c r="BD39" i="1" s="1"/>
  <c r="BC30" i="1"/>
  <c r="BE30" i="1" s="1"/>
  <c r="BC8" i="1"/>
  <c r="BF8" i="1" s="1"/>
  <c r="BC9" i="1"/>
  <c r="BF9" i="1" s="1"/>
  <c r="BC11" i="1"/>
  <c r="BF11" i="1" s="1"/>
  <c r="BC16" i="1"/>
  <c r="BF16" i="1" s="1"/>
  <c r="BC17" i="1"/>
  <c r="BE17" i="1" s="1"/>
  <c r="BC18" i="1"/>
  <c r="BF18" i="1" s="1"/>
  <c r="BC10" i="1"/>
  <c r="BE10" i="1" s="1"/>
  <c r="BC44" i="1"/>
  <c r="BC46" i="1"/>
  <c r="BC43" i="1"/>
  <c r="BC45" i="1"/>
  <c r="BE15" i="1"/>
  <c r="BD15" i="1"/>
  <c r="BF15" i="1"/>
  <c r="BD37" i="1"/>
  <c r="BE37" i="1"/>
  <c r="BF37" i="1"/>
  <c r="BE38" i="1"/>
  <c r="BE36" i="1"/>
  <c r="BF36" i="1"/>
  <c r="BF38" i="1" l="1"/>
  <c r="BG38" i="1" s="1"/>
  <c r="BF29" i="1"/>
  <c r="BE29" i="1"/>
  <c r="BD24" i="1"/>
  <c r="BE31" i="1"/>
  <c r="BD31" i="1"/>
  <c r="BF23" i="1"/>
  <c r="BE24" i="1"/>
  <c r="BE25" i="1"/>
  <c r="BE23" i="1"/>
  <c r="BF32" i="1"/>
  <c r="BD32" i="1"/>
  <c r="BF22" i="1"/>
  <c r="BE22" i="1"/>
  <c r="BD25" i="1"/>
  <c r="BE39" i="1"/>
  <c r="BD9" i="1"/>
  <c r="BF39" i="1"/>
  <c r="BD30" i="1"/>
  <c r="BD10" i="1"/>
  <c r="BF30" i="1"/>
  <c r="BD8" i="1"/>
  <c r="BD17" i="1"/>
  <c r="BF17" i="1"/>
  <c r="BE8" i="1"/>
  <c r="BD16" i="1"/>
  <c r="BD11" i="1"/>
  <c r="BE9" i="1"/>
  <c r="BE16" i="1"/>
  <c r="BE18" i="1"/>
  <c r="BF10" i="1"/>
  <c r="BE11" i="1"/>
  <c r="BD18" i="1"/>
  <c r="BE45" i="1"/>
  <c r="BD45" i="1"/>
  <c r="BF45" i="1"/>
  <c r="BE43" i="1"/>
  <c r="BD43" i="1"/>
  <c r="BF43" i="1"/>
  <c r="BF46" i="1"/>
  <c r="BD46" i="1"/>
  <c r="BE46" i="1"/>
  <c r="BD44" i="1"/>
  <c r="BF44" i="1"/>
  <c r="BE44" i="1"/>
  <c r="BG37" i="1" l="1"/>
  <c r="BI37" i="1" s="1"/>
  <c r="BG24" i="1"/>
  <c r="BN24" i="1" s="1"/>
  <c r="BG23" i="1"/>
  <c r="BJ23" i="1" s="1"/>
  <c r="BG25" i="1"/>
  <c r="BJ25" i="1" s="1"/>
  <c r="BG29" i="1"/>
  <c r="BI29" i="1" s="1"/>
  <c r="BG22" i="1"/>
  <c r="BI22" i="1" s="1"/>
  <c r="BG32" i="1"/>
  <c r="BI32" i="1" s="1"/>
  <c r="BG36" i="1"/>
  <c r="BH36" i="1" s="1"/>
  <c r="BG39" i="1"/>
  <c r="BH39" i="1" s="1"/>
  <c r="BG31" i="1"/>
  <c r="BN31" i="1" s="1"/>
  <c r="BG30" i="1"/>
  <c r="BI30" i="1" s="1"/>
  <c r="BG10" i="1"/>
  <c r="BN10" i="1" s="1"/>
  <c r="BG17" i="1"/>
  <c r="BI17" i="1" s="1"/>
  <c r="BG8" i="1"/>
  <c r="BI8" i="1" s="1"/>
  <c r="BG16" i="1"/>
  <c r="BN16" i="1" s="1"/>
  <c r="BG11" i="1"/>
  <c r="BI11" i="1" s="1"/>
  <c r="BG9" i="1"/>
  <c r="BI9" i="1" s="1"/>
  <c r="BG15" i="1"/>
  <c r="BJ15" i="1" s="1"/>
  <c r="BG18" i="1"/>
  <c r="BN18" i="1" s="1"/>
  <c r="BG45" i="1"/>
  <c r="BG44" i="1"/>
  <c r="BG43" i="1"/>
  <c r="BG46" i="1"/>
  <c r="BJ24" i="1"/>
  <c r="BJ37" i="1"/>
  <c r="BH38" i="1"/>
  <c r="BI38" i="1"/>
  <c r="BN38" i="1"/>
  <c r="BJ38" i="1"/>
  <c r="BN37" i="1" l="1"/>
  <c r="BH37" i="1"/>
  <c r="BI24" i="1"/>
  <c r="BH24" i="1"/>
  <c r="BH22" i="1"/>
  <c r="BJ17" i="1"/>
  <c r="BJ10" i="1"/>
  <c r="BN36" i="1"/>
  <c r="BQ36" i="1" s="1"/>
  <c r="BN23" i="1"/>
  <c r="BV23" i="1" s="1"/>
  <c r="BI23" i="1"/>
  <c r="BJ32" i="1"/>
  <c r="BH23" i="1"/>
  <c r="BH25" i="1"/>
  <c r="BI25" i="1"/>
  <c r="BJ36" i="1"/>
  <c r="BN25" i="1"/>
  <c r="BU25" i="1" s="1"/>
  <c r="BN29" i="1"/>
  <c r="BR29" i="1" s="1"/>
  <c r="BI36" i="1"/>
  <c r="BJ30" i="1"/>
  <c r="BI39" i="1"/>
  <c r="BJ29" i="1"/>
  <c r="BN39" i="1"/>
  <c r="BO39" i="1" s="1"/>
  <c r="BJ39" i="1"/>
  <c r="BH29" i="1"/>
  <c r="BH31" i="1"/>
  <c r="BN22" i="1"/>
  <c r="BU22" i="1" s="1"/>
  <c r="BJ31" i="1"/>
  <c r="BH32" i="1"/>
  <c r="BN32" i="1"/>
  <c r="BU32" i="1" s="1"/>
  <c r="BJ22" i="1"/>
  <c r="BI31" i="1"/>
  <c r="BH30" i="1"/>
  <c r="BH8" i="1"/>
  <c r="BN30" i="1"/>
  <c r="BP30" i="1" s="1"/>
  <c r="BI10" i="1"/>
  <c r="BJ9" i="1"/>
  <c r="BN17" i="1"/>
  <c r="BR17" i="1" s="1"/>
  <c r="BH10" i="1"/>
  <c r="BH17" i="1"/>
  <c r="BJ8" i="1"/>
  <c r="BN9" i="1"/>
  <c r="BO9" i="1" s="1"/>
  <c r="BN8" i="1"/>
  <c r="BT8" i="1" s="1"/>
  <c r="BI15" i="1"/>
  <c r="BJ11" i="1"/>
  <c r="BN11" i="1"/>
  <c r="BP11" i="1" s="1"/>
  <c r="BH16" i="1"/>
  <c r="BH11" i="1"/>
  <c r="BN15" i="1"/>
  <c r="BU15" i="1" s="1"/>
  <c r="BJ16" i="1"/>
  <c r="BH9" i="1"/>
  <c r="BI16" i="1"/>
  <c r="BH18" i="1"/>
  <c r="BH15" i="1"/>
  <c r="BJ18" i="1"/>
  <c r="BI18" i="1"/>
  <c r="BV36" i="1"/>
  <c r="BR38" i="1"/>
  <c r="BQ38" i="1"/>
  <c r="BO38" i="1"/>
  <c r="BV38" i="1"/>
  <c r="BU38" i="1"/>
  <c r="BS38" i="1"/>
  <c r="BT38" i="1"/>
  <c r="BP38" i="1"/>
  <c r="BQ37" i="1"/>
  <c r="BR37" i="1"/>
  <c r="BS37" i="1"/>
  <c r="BV37" i="1"/>
  <c r="BT37" i="1"/>
  <c r="BU37" i="1"/>
  <c r="BP37" i="1"/>
  <c r="BO37" i="1"/>
  <c r="BQ31" i="1"/>
  <c r="BT31" i="1"/>
  <c r="BO31" i="1"/>
  <c r="BU31" i="1"/>
  <c r="BP31" i="1"/>
  <c r="BV31" i="1"/>
  <c r="BS31" i="1"/>
  <c r="BR31" i="1"/>
  <c r="BV24" i="1"/>
  <c r="BS24" i="1"/>
  <c r="BR24" i="1"/>
  <c r="BU24" i="1"/>
  <c r="BT24" i="1"/>
  <c r="BO24" i="1"/>
  <c r="BQ24" i="1"/>
  <c r="BP24" i="1"/>
  <c r="BT16" i="1"/>
  <c r="BQ16" i="1"/>
  <c r="BV16" i="1"/>
  <c r="BU16" i="1"/>
  <c r="BS16" i="1"/>
  <c r="BP16" i="1"/>
  <c r="BR16" i="1"/>
  <c r="BO16" i="1"/>
  <c r="BT18" i="1"/>
  <c r="BR18" i="1"/>
  <c r="BV18" i="1"/>
  <c r="BQ18" i="1"/>
  <c r="BO18" i="1"/>
  <c r="BU18" i="1"/>
  <c r="BS18" i="1"/>
  <c r="BP18" i="1"/>
  <c r="BT10" i="1"/>
  <c r="BR10" i="1"/>
  <c r="BQ10" i="1"/>
  <c r="BP10" i="1"/>
  <c r="BO10" i="1"/>
  <c r="BS10" i="1"/>
  <c r="BV10" i="1"/>
  <c r="BU10" i="1"/>
  <c r="BH46" i="1"/>
  <c r="BI46" i="1"/>
  <c r="BJ46" i="1"/>
  <c r="BN46" i="1"/>
  <c r="BH43" i="1"/>
  <c r="BI43" i="1"/>
  <c r="BN43" i="1"/>
  <c r="BJ43" i="1"/>
  <c r="BH44" i="1"/>
  <c r="BI44" i="1"/>
  <c r="BN44" i="1"/>
  <c r="BJ44" i="1"/>
  <c r="BI45" i="1"/>
  <c r="BJ45" i="1"/>
  <c r="BN45" i="1"/>
  <c r="BH45" i="1"/>
  <c r="BR36" i="1" l="1"/>
  <c r="BS11" i="1"/>
  <c r="BU23" i="1"/>
  <c r="BQ23" i="1"/>
  <c r="BP25" i="1"/>
  <c r="BP23" i="1"/>
  <c r="BO36" i="1"/>
  <c r="BU11" i="1"/>
  <c r="BO17" i="1"/>
  <c r="BT23" i="1"/>
  <c r="BS23" i="1"/>
  <c r="BR23" i="1"/>
  <c r="BT36" i="1"/>
  <c r="BS36" i="1"/>
  <c r="BS9" i="1"/>
  <c r="BT15" i="1"/>
  <c r="BQ25" i="1"/>
  <c r="BP36" i="1"/>
  <c r="BT9" i="1"/>
  <c r="BV11" i="1"/>
  <c r="BQ9" i="1"/>
  <c r="BV9" i="1"/>
  <c r="BO11" i="1"/>
  <c r="BU9" i="1"/>
  <c r="BR9" i="1"/>
  <c r="BT11" i="1"/>
  <c r="BS17" i="1"/>
  <c r="BO23" i="1"/>
  <c r="BO29" i="1"/>
  <c r="BV17" i="1"/>
  <c r="BP29" i="1"/>
  <c r="BU29" i="1"/>
  <c r="BO15" i="1"/>
  <c r="BU36" i="1"/>
  <c r="BQ15" i="1"/>
  <c r="BR15" i="1"/>
  <c r="BR25" i="1"/>
  <c r="BS25" i="1"/>
  <c r="BV15" i="1"/>
  <c r="BP15" i="1"/>
  <c r="BT25" i="1"/>
  <c r="BS15" i="1"/>
  <c r="BV25" i="1"/>
  <c r="BO25" i="1"/>
  <c r="BQ17" i="1"/>
  <c r="BV29" i="1"/>
  <c r="BS32" i="1"/>
  <c r="BT29" i="1"/>
  <c r="BP32" i="1"/>
  <c r="BS29" i="1"/>
  <c r="BS39" i="1"/>
  <c r="BS22" i="1"/>
  <c r="BV32" i="1"/>
  <c r="BQ29" i="1"/>
  <c r="BV39" i="1"/>
  <c r="BT22" i="1"/>
  <c r="BV30" i="1"/>
  <c r="BQ39" i="1"/>
  <c r="BR39" i="1"/>
  <c r="BU39" i="1"/>
  <c r="BO22" i="1"/>
  <c r="BP39" i="1"/>
  <c r="BT39" i="1"/>
  <c r="BO32" i="1"/>
  <c r="BV22" i="1"/>
  <c r="BR11" i="1"/>
  <c r="BU17" i="1"/>
  <c r="BT17" i="1"/>
  <c r="BP22" i="1"/>
  <c r="BR22" i="1"/>
  <c r="BT32" i="1"/>
  <c r="BQ32" i="1"/>
  <c r="BQ22" i="1"/>
  <c r="BP9" i="1"/>
  <c r="BR8" i="1"/>
  <c r="BQ11" i="1"/>
  <c r="BP17" i="1"/>
  <c r="BQ30" i="1"/>
  <c r="BR32" i="1"/>
  <c r="BQ8" i="1"/>
  <c r="BS8" i="1"/>
  <c r="BT30" i="1"/>
  <c r="BP8" i="1"/>
  <c r="BU8" i="1"/>
  <c r="BR30" i="1"/>
  <c r="BS30" i="1"/>
  <c r="BO8" i="1"/>
  <c r="BV8" i="1"/>
  <c r="BO30" i="1"/>
  <c r="BU30" i="1"/>
  <c r="BP45" i="1"/>
  <c r="BS45" i="1"/>
  <c r="BU45" i="1"/>
  <c r="BQ45" i="1"/>
  <c r="BO45" i="1"/>
  <c r="BR45" i="1"/>
  <c r="BV45" i="1"/>
  <c r="BT45" i="1"/>
  <c r="BR44" i="1"/>
  <c r="BP44" i="1"/>
  <c r="BQ44" i="1"/>
  <c r="BS44" i="1"/>
  <c r="BV44" i="1"/>
  <c r="BU44" i="1"/>
  <c r="BT44" i="1"/>
  <c r="BO44" i="1"/>
  <c r="BO43" i="1"/>
  <c r="BR43" i="1"/>
  <c r="BS43" i="1"/>
  <c r="BV43" i="1"/>
  <c r="BQ43" i="1"/>
  <c r="BP43" i="1"/>
  <c r="BT43" i="1"/>
  <c r="BU43" i="1"/>
  <c r="BT46" i="1"/>
  <c r="BO46" i="1"/>
  <c r="BV46" i="1"/>
  <c r="BP46" i="1"/>
  <c r="BU46" i="1"/>
  <c r="BQ46" i="1"/>
  <c r="BS46" i="1"/>
  <c r="BR46" i="1"/>
  <c r="O20" i="1" l="1"/>
  <c r="O14" i="1"/>
  <c r="U14" i="1"/>
  <c r="W14" i="1"/>
  <c r="S14" i="1"/>
  <c r="Q14" i="1"/>
  <c r="R14" i="1"/>
  <c r="P14" i="1"/>
  <c r="O13" i="1"/>
  <c r="Q13" i="1"/>
  <c r="W13" i="1"/>
  <c r="R13" i="1"/>
  <c r="S13" i="1"/>
  <c r="U13" i="1"/>
  <c r="P13" i="1"/>
  <c r="O27" i="1" l="1"/>
  <c r="U21" i="1"/>
  <c r="O34" i="1"/>
  <c r="O35" i="1"/>
  <c r="U20" i="1"/>
  <c r="P27" i="1"/>
  <c r="S20" i="1"/>
  <c r="P20" i="1"/>
  <c r="R20" i="1"/>
  <c r="O21" i="1"/>
  <c r="W20" i="1"/>
  <c r="R21" i="1"/>
  <c r="W22" i="1"/>
  <c r="Q21" i="1"/>
  <c r="W23" i="1"/>
  <c r="Q20" i="1"/>
  <c r="W21" i="1"/>
  <c r="U27" i="1"/>
  <c r="S27" i="1"/>
  <c r="W27" i="1"/>
  <c r="O37" i="1"/>
  <c r="Q27" i="1"/>
  <c r="P21" i="1"/>
  <c r="T21" i="1"/>
  <c r="R27" i="1"/>
  <c r="S21" i="1"/>
  <c r="W41" i="1"/>
  <c r="W42" i="1"/>
  <c r="W44" i="1"/>
  <c r="S41" i="1"/>
  <c r="Q41" i="1"/>
  <c r="U41" i="1"/>
  <c r="O36" i="1"/>
  <c r="CJ27" i="1" s="1"/>
  <c r="CU27" i="1" s="1"/>
  <c r="R41" i="1"/>
  <c r="O41" i="1"/>
  <c r="P41" i="1"/>
  <c r="O29" i="1"/>
  <c r="CJ26" i="1" s="1"/>
  <c r="CU26" i="1" s="1"/>
  <c r="O15" i="1"/>
  <c r="CJ24" i="1" s="1"/>
  <c r="CU24" i="1" s="1"/>
  <c r="W15" i="1"/>
  <c r="R15" i="1"/>
  <c r="U15" i="1"/>
  <c r="Q15" i="1"/>
  <c r="S15" i="1"/>
  <c r="P15" i="1"/>
  <c r="O16" i="1"/>
  <c r="Q16" i="1"/>
  <c r="W16" i="1"/>
  <c r="U16" i="1"/>
  <c r="S16" i="1"/>
  <c r="R16" i="1"/>
  <c r="P16" i="1"/>
  <c r="T41" i="1"/>
  <c r="T27" i="1"/>
  <c r="T20" i="1"/>
  <c r="T13" i="1"/>
  <c r="V13" i="1"/>
  <c r="Q34" i="1"/>
  <c r="W34" i="1"/>
  <c r="R34" i="1"/>
  <c r="S34" i="1"/>
  <c r="U34" i="1"/>
  <c r="T34" i="1"/>
  <c r="W35" i="1"/>
  <c r="R35" i="1"/>
  <c r="S35" i="1"/>
  <c r="T35" i="1"/>
  <c r="V21" i="1"/>
  <c r="T14" i="1"/>
  <c r="V14" i="1"/>
  <c r="U35" i="1" l="1"/>
  <c r="Q35" i="1"/>
  <c r="V20" i="1"/>
  <c r="R37" i="1"/>
  <c r="P22" i="1"/>
  <c r="R23" i="1"/>
  <c r="O23" i="1"/>
  <c r="T22" i="1"/>
  <c r="O30" i="1"/>
  <c r="S23" i="1"/>
  <c r="S30" i="1"/>
  <c r="W30" i="1"/>
  <c r="Q23" i="1"/>
  <c r="U22" i="1"/>
  <c r="CH10" i="1" s="1"/>
  <c r="R29" i="1"/>
  <c r="CE11" i="1" s="1"/>
  <c r="P36" i="1"/>
  <c r="CL27" i="1" s="1"/>
  <c r="W36" i="1"/>
  <c r="CJ12" i="1" s="1"/>
  <c r="P37" i="1"/>
  <c r="S29" i="1"/>
  <c r="CF11" i="1" s="1"/>
  <c r="T37" i="1"/>
  <c r="W37" i="1"/>
  <c r="T36" i="1"/>
  <c r="Q36" i="1"/>
  <c r="CD12" i="1" s="1"/>
  <c r="E55" i="1"/>
  <c r="Q37" i="1"/>
  <c r="V27" i="1"/>
  <c r="R22" i="1"/>
  <c r="CE10" i="1" s="1"/>
  <c r="O22" i="1"/>
  <c r="CJ25" i="1" s="1"/>
  <c r="CU25" i="1" s="1"/>
  <c r="Q42" i="1"/>
  <c r="U37" i="1"/>
  <c r="U36" i="1"/>
  <c r="CQ27" i="1" s="1"/>
  <c r="S37" i="1"/>
  <c r="R36" i="1"/>
  <c r="CE12" i="1" s="1"/>
  <c r="S22" i="1"/>
  <c r="CF10" i="1" s="1"/>
  <c r="Q30" i="1"/>
  <c r="O42" i="1"/>
  <c r="U29" i="1"/>
  <c r="CH11" i="1" s="1"/>
  <c r="R42" i="1"/>
  <c r="E49" i="1"/>
  <c r="S36" i="1"/>
  <c r="CO27" i="1" s="1"/>
  <c r="P23" i="1"/>
  <c r="E52" i="1" s="1"/>
  <c r="T23" i="1"/>
  <c r="Q29" i="1"/>
  <c r="CD11" i="1" s="1"/>
  <c r="W29" i="1"/>
  <c r="CJ11" i="1" s="1"/>
  <c r="T42" i="1"/>
  <c r="U28" i="1"/>
  <c r="U23" i="1"/>
  <c r="Q22" i="1"/>
  <c r="CM25" i="1" s="1"/>
  <c r="R30" i="1"/>
  <c r="P29" i="1"/>
  <c r="CC11" i="1" s="1"/>
  <c r="U30" i="1"/>
  <c r="R44" i="1"/>
  <c r="O44" i="1"/>
  <c r="V41" i="1"/>
  <c r="Q28" i="1"/>
  <c r="P42" i="1"/>
  <c r="U42" i="1"/>
  <c r="P44" i="1"/>
  <c r="T44" i="1"/>
  <c r="Q44" i="1"/>
  <c r="U44" i="1"/>
  <c r="S44" i="1"/>
  <c r="S42" i="1"/>
  <c r="S28" i="1"/>
  <c r="W28" i="1"/>
  <c r="R28" i="1"/>
  <c r="O28" i="1"/>
  <c r="P30" i="1"/>
  <c r="P28" i="1"/>
  <c r="P43" i="1"/>
  <c r="O43" i="1"/>
  <c r="CJ28" i="1" s="1"/>
  <c r="CU28" i="1" s="1"/>
  <c r="R43" i="1"/>
  <c r="W43" i="1"/>
  <c r="S43" i="1"/>
  <c r="U43" i="1"/>
  <c r="Q43" i="1"/>
  <c r="P35" i="1"/>
  <c r="P34" i="1"/>
  <c r="CN27" i="1"/>
  <c r="CC9" i="1"/>
  <c r="CL24" i="1"/>
  <c r="CE9" i="1"/>
  <c r="CN24" i="1"/>
  <c r="CD9" i="1"/>
  <c r="CM24" i="1"/>
  <c r="CH9" i="1"/>
  <c r="CQ24" i="1"/>
  <c r="CF9" i="1"/>
  <c r="CO24" i="1"/>
  <c r="CJ9" i="1"/>
  <c r="CS24" i="1"/>
  <c r="CC10" i="1"/>
  <c r="CL25" i="1"/>
  <c r="CO25" i="1"/>
  <c r="CJ10" i="1"/>
  <c r="CS25" i="1"/>
  <c r="CN26" i="1"/>
  <c r="V35" i="1"/>
  <c r="V34" i="1"/>
  <c r="T16" i="1"/>
  <c r="V16" i="1"/>
  <c r="V15" i="1"/>
  <c r="T15" i="1"/>
  <c r="T30" i="1"/>
  <c r="T28" i="1"/>
  <c r="T29" i="1"/>
  <c r="O9" i="1"/>
  <c r="O8" i="1"/>
  <c r="CJ23" i="1" s="1"/>
  <c r="CU23" i="1" s="1"/>
  <c r="O7" i="1"/>
  <c r="O6" i="1"/>
  <c r="CC12" i="1" l="1"/>
  <c r="V29" i="1"/>
  <c r="CS27" i="1"/>
  <c r="CQ26" i="1"/>
  <c r="V22" i="1"/>
  <c r="CR25" i="1" s="1"/>
  <c r="CQ25" i="1"/>
  <c r="CO26" i="1"/>
  <c r="CM26" i="1"/>
  <c r="V30" i="1"/>
  <c r="CH12" i="1"/>
  <c r="V23" i="1"/>
  <c r="V37" i="1"/>
  <c r="CL26" i="1"/>
  <c r="CD10" i="1"/>
  <c r="H48" i="1"/>
  <c r="CM27" i="1"/>
  <c r="V28" i="1"/>
  <c r="V36" i="1"/>
  <c r="CI12" i="1" s="1"/>
  <c r="CN25" i="1"/>
  <c r="E53" i="1"/>
  <c r="CK11" i="1"/>
  <c r="CL11" i="1" s="1"/>
  <c r="V44" i="1"/>
  <c r="H55" i="1"/>
  <c r="CS26" i="1"/>
  <c r="CF12" i="1"/>
  <c r="E54" i="1"/>
  <c r="H53" i="1"/>
  <c r="H54" i="1"/>
  <c r="E50" i="1"/>
  <c r="V42" i="1"/>
  <c r="CF13" i="1"/>
  <c r="CO28" i="1"/>
  <c r="CD13" i="1"/>
  <c r="CM28" i="1"/>
  <c r="K19" i="1"/>
  <c r="K23" i="1"/>
  <c r="K27" i="1"/>
  <c r="K31" i="1"/>
  <c r="K35" i="1"/>
  <c r="K39" i="1"/>
  <c r="K8" i="1"/>
  <c r="K12" i="1"/>
  <c r="K16" i="1"/>
  <c r="K20" i="1"/>
  <c r="K24" i="1"/>
  <c r="K28" i="1"/>
  <c r="K32" i="1"/>
  <c r="K36" i="1"/>
  <c r="K40" i="1"/>
  <c r="K9" i="1"/>
  <c r="K13" i="1"/>
  <c r="K17" i="1"/>
  <c r="K21" i="1"/>
  <c r="K25" i="1"/>
  <c r="K29" i="1"/>
  <c r="K33" i="1"/>
  <c r="K37" i="1"/>
  <c r="K41" i="1"/>
  <c r="K10" i="1"/>
  <c r="K14" i="1"/>
  <c r="K18" i="1"/>
  <c r="K22" i="1"/>
  <c r="K26" i="1"/>
  <c r="K30" i="1"/>
  <c r="K34" i="1"/>
  <c r="K38" i="1"/>
  <c r="K42" i="1"/>
  <c r="K11" i="1"/>
  <c r="K15" i="1"/>
  <c r="K7" i="1"/>
  <c r="CH13" i="1"/>
  <c r="CQ28" i="1"/>
  <c r="CE13" i="1"/>
  <c r="CN28" i="1"/>
  <c r="CL28" i="1"/>
  <c r="CC13" i="1"/>
  <c r="CJ13" i="1"/>
  <c r="CK12" i="1" s="1"/>
  <c r="CL12" i="1" s="1"/>
  <c r="CS28" i="1"/>
  <c r="T43" i="1"/>
  <c r="V43" i="1"/>
  <c r="CY23" i="1"/>
  <c r="CY28" i="1"/>
  <c r="CI11" i="1"/>
  <c r="CR26" i="1"/>
  <c r="CG11" i="1"/>
  <c r="CP26" i="1"/>
  <c r="CG10" i="1"/>
  <c r="CP25" i="1"/>
  <c r="CG9" i="1"/>
  <c r="CP24" i="1"/>
  <c r="CI9" i="1"/>
  <c r="CR24" i="1"/>
  <c r="CG12" i="1"/>
  <c r="CP27" i="1"/>
  <c r="CY26" i="1"/>
  <c r="CY25" i="1"/>
  <c r="CY24" i="1"/>
  <c r="CY27" i="1"/>
  <c r="CK10" i="1"/>
  <c r="CL10" i="1" s="1"/>
  <c r="W6" i="1"/>
  <c r="U6" i="1"/>
  <c r="R6" i="1"/>
  <c r="S6" i="1"/>
  <c r="Q6" i="1"/>
  <c r="P6" i="1"/>
  <c r="W7" i="1"/>
  <c r="U7" i="1"/>
  <c r="T7" i="1"/>
  <c r="R7" i="1"/>
  <c r="S7" i="1"/>
  <c r="Q7" i="1"/>
  <c r="P7" i="1"/>
  <c r="W8" i="1"/>
  <c r="U8" i="1"/>
  <c r="T8" i="1"/>
  <c r="R8" i="1"/>
  <c r="S8" i="1"/>
  <c r="Q8" i="1"/>
  <c r="P8" i="1"/>
  <c r="W9" i="1"/>
  <c r="U9" i="1"/>
  <c r="T9" i="1"/>
  <c r="R9" i="1"/>
  <c r="S9" i="1"/>
  <c r="Q9" i="1"/>
  <c r="P9" i="1"/>
  <c r="CI10" i="1" l="1"/>
  <c r="CR27" i="1"/>
  <c r="E51" i="1"/>
  <c r="E48" i="1"/>
  <c r="CK13" i="1"/>
  <c r="CL13" i="1" s="1"/>
  <c r="CM13" i="1" s="1"/>
  <c r="CN13" i="1" s="1"/>
  <c r="CI13" i="1"/>
  <c r="CR28" i="1"/>
  <c r="CG13" i="1"/>
  <c r="CP28" i="1"/>
  <c r="DB24" i="1"/>
  <c r="DB25" i="1"/>
  <c r="DB26" i="1"/>
  <c r="DB27" i="1"/>
  <c r="DB28" i="1"/>
  <c r="DB23" i="1"/>
  <c r="CC8" i="1"/>
  <c r="CL23" i="1"/>
  <c r="CD8" i="1"/>
  <c r="CM23" i="1"/>
  <c r="CE8" i="1"/>
  <c r="CN23" i="1"/>
  <c r="CF8" i="1"/>
  <c r="CO23" i="1"/>
  <c r="CG8" i="1"/>
  <c r="CP23" i="1"/>
  <c r="CH8" i="1"/>
  <c r="CQ23" i="1"/>
  <c r="CJ8" i="1"/>
  <c r="CK8" i="1" s="1"/>
  <c r="CL8" i="1" s="1"/>
  <c r="CS23" i="1"/>
  <c r="V6" i="1"/>
  <c r="T6" i="1"/>
  <c r="V9" i="1"/>
  <c r="V8" i="1"/>
  <c r="V7" i="1"/>
  <c r="CM11" i="1" l="1"/>
  <c r="CN11" i="1" s="1"/>
  <c r="CC15" i="1"/>
  <c r="CK9" i="1"/>
  <c r="CL9" i="1" s="1"/>
  <c r="CM9" i="1" s="1"/>
  <c r="CN9" i="1" s="1"/>
  <c r="CI8" i="1"/>
  <c r="CR23" i="1"/>
  <c r="CM8" i="1"/>
  <c r="CN8" i="1" s="1"/>
  <c r="CM10" i="1"/>
  <c r="CN10" i="1" s="1"/>
  <c r="CO8" i="1" l="1"/>
  <c r="CP8" i="1" s="1"/>
  <c r="CM12" i="1"/>
  <c r="CN12" i="1" s="1"/>
  <c r="CO10" i="1"/>
  <c r="CP10" i="1" s="1"/>
  <c r="CO11" i="1"/>
  <c r="CP11" i="1" s="1"/>
  <c r="CO9" i="1"/>
  <c r="CP9" i="1" s="1"/>
  <c r="CO13" i="1"/>
  <c r="CP13" i="1" s="1"/>
  <c r="CQ13" i="1" l="1"/>
  <c r="CR13" i="1" s="1"/>
  <c r="CO12" i="1"/>
  <c r="CP12" i="1" s="1"/>
  <c r="CQ12" i="1" s="1"/>
  <c r="CR12" i="1" s="1"/>
  <c r="CQ9" i="1"/>
  <c r="CR9" i="1" s="1"/>
  <c r="CQ11" i="1"/>
  <c r="CR11" i="1" s="1"/>
  <c r="CQ10" i="1"/>
  <c r="CR10" i="1" s="1"/>
  <c r="CS12" i="1" l="1"/>
  <c r="CU12" i="1" s="1"/>
  <c r="CS11" i="1"/>
  <c r="CU11" i="1" s="1"/>
  <c r="CQ8" i="1"/>
  <c r="CR8" i="1" s="1"/>
  <c r="CS10" i="1"/>
  <c r="CT10" i="1" s="1"/>
  <c r="CT12" i="1"/>
  <c r="CS9" i="1"/>
  <c r="CU10" i="1" l="1"/>
  <c r="CT11" i="1"/>
  <c r="CV11" i="1" s="1"/>
  <c r="CS8" i="1"/>
  <c r="CS13" i="1"/>
  <c r="CT9" i="1"/>
  <c r="CU9" i="1"/>
  <c r="CV10" i="1"/>
  <c r="CU13" i="1" l="1"/>
  <c r="CT13" i="1"/>
  <c r="CU8" i="1"/>
  <c r="CT8" i="1"/>
  <c r="CV8" i="1" s="1"/>
  <c r="CX10" i="1"/>
  <c r="CW10" i="1"/>
  <c r="CX11" i="1"/>
  <c r="CW11" i="1"/>
  <c r="CV9" i="1" l="1"/>
  <c r="CX9" i="1" s="1"/>
  <c r="CV13" i="1"/>
  <c r="CV12" i="1"/>
  <c r="CX8" i="1"/>
  <c r="CW8" i="1"/>
  <c r="CW9" i="1" l="1"/>
  <c r="CW12" i="1"/>
  <c r="CX12" i="1"/>
  <c r="CX13" i="1"/>
  <c r="CW13" i="1"/>
  <c r="CY8" i="1"/>
  <c r="CY10" i="1"/>
  <c r="CY12" i="1" l="1"/>
  <c r="CZ12" i="1" s="1"/>
  <c r="CY9" i="1"/>
  <c r="DA9" i="1" s="1"/>
  <c r="CY13" i="1"/>
  <c r="CY11" i="1"/>
  <c r="DA10" i="1"/>
  <c r="CZ10" i="1"/>
  <c r="DA8" i="1"/>
  <c r="CZ8" i="1"/>
  <c r="DA12" i="1"/>
  <c r="CZ9" i="1" l="1"/>
  <c r="DA11" i="1"/>
  <c r="CZ11" i="1"/>
  <c r="DB11" i="1" s="1"/>
  <c r="DA13" i="1"/>
  <c r="CZ13" i="1"/>
  <c r="DB10" i="1"/>
  <c r="DB12" i="1"/>
  <c r="DB13" i="1" l="1"/>
  <c r="DC13" i="1" s="1"/>
  <c r="DB8" i="1"/>
  <c r="DC8" i="1" s="1"/>
  <c r="DB9" i="1"/>
  <c r="DC9" i="1" s="1"/>
  <c r="DD12" i="1"/>
  <c r="DC12" i="1"/>
  <c r="DC10" i="1"/>
  <c r="DD10" i="1"/>
  <c r="DC11" i="1"/>
  <c r="DD11" i="1"/>
  <c r="DD8" i="1" l="1"/>
  <c r="DE12" i="1" s="1"/>
  <c r="DD13" i="1"/>
  <c r="DE13" i="1" s="1"/>
  <c r="DD9" i="1"/>
  <c r="DE9" i="1" s="1"/>
  <c r="DE8" i="1" l="1"/>
  <c r="DG8" i="1" s="1"/>
  <c r="DE10" i="1"/>
  <c r="DF10" i="1" s="1"/>
  <c r="DE11" i="1"/>
  <c r="DF11" i="1" s="1"/>
  <c r="DF13" i="1"/>
  <c r="DG13" i="1"/>
  <c r="DG10" i="1"/>
  <c r="DF12" i="1"/>
  <c r="DG12" i="1"/>
  <c r="DG9" i="1"/>
  <c r="DF9" i="1"/>
  <c r="DF8" i="1" l="1"/>
  <c r="DG11" i="1"/>
  <c r="DH11" i="1" s="1"/>
  <c r="DI11" i="1" s="1"/>
  <c r="DH10" i="1"/>
  <c r="DH9" i="1"/>
  <c r="DH13" i="1"/>
  <c r="DH8" i="1"/>
  <c r="DH12" i="1" l="1"/>
  <c r="DI12" i="1" s="1"/>
  <c r="DJ11" i="1"/>
  <c r="DK11" i="1"/>
  <c r="DK8" i="1"/>
  <c r="DJ8" i="1"/>
  <c r="DI8" i="1"/>
  <c r="DK13" i="1"/>
  <c r="DI13" i="1"/>
  <c r="DJ13" i="1"/>
  <c r="DK9" i="1"/>
  <c r="DJ9" i="1"/>
  <c r="DI9" i="1"/>
  <c r="DK10" i="1"/>
  <c r="DI10" i="1"/>
  <c r="DJ10" i="1"/>
  <c r="DJ12" i="1" l="1"/>
  <c r="DK12" i="1"/>
  <c r="DL11" i="1"/>
  <c r="DL10" i="1"/>
  <c r="DL9" i="1"/>
  <c r="DL8" i="1"/>
  <c r="DL13" i="1"/>
  <c r="DL12" i="1"/>
  <c r="DO12" i="1" l="1"/>
  <c r="DM12" i="1"/>
  <c r="DN12" i="1"/>
  <c r="DN13" i="1"/>
  <c r="DO13" i="1"/>
  <c r="DM13" i="1"/>
  <c r="DO8" i="1"/>
  <c r="DM8" i="1"/>
  <c r="DN8" i="1"/>
  <c r="DN9" i="1"/>
  <c r="DO9" i="1"/>
  <c r="DM9" i="1"/>
  <c r="DO10" i="1"/>
  <c r="DM10" i="1"/>
  <c r="DN10" i="1"/>
  <c r="DO11" i="1"/>
  <c r="DM11" i="1"/>
  <c r="DN11" i="1"/>
  <c r="DP13" i="1" l="1"/>
  <c r="DP11" i="1"/>
  <c r="DP12" i="1"/>
  <c r="DP9" i="1"/>
  <c r="DP10" i="1"/>
  <c r="DP8" i="1"/>
  <c r="DS8" i="1" l="1"/>
  <c r="DQ8" i="1"/>
  <c r="DR8" i="1"/>
  <c r="DS10" i="1"/>
  <c r="DQ10" i="1"/>
  <c r="DR10" i="1"/>
  <c r="DS9" i="1"/>
  <c r="DQ9" i="1"/>
  <c r="DR9" i="1"/>
  <c r="DS12" i="1"/>
  <c r="DQ12" i="1"/>
  <c r="DR12" i="1"/>
  <c r="DQ11" i="1"/>
  <c r="DS11" i="1"/>
  <c r="DR11" i="1"/>
  <c r="DS13" i="1"/>
  <c r="DQ13" i="1"/>
  <c r="DR13" i="1"/>
  <c r="DT13" i="1" l="1"/>
  <c r="DT9" i="1"/>
  <c r="DT12" i="1"/>
  <c r="DT10" i="1"/>
  <c r="DT11" i="1"/>
  <c r="DT8" i="1"/>
  <c r="DU8" i="1" l="1"/>
  <c r="DW8" i="1"/>
  <c r="DV8" i="1"/>
  <c r="DW11" i="1"/>
  <c r="DU11" i="1"/>
  <c r="DV11" i="1"/>
  <c r="DU10" i="1"/>
  <c r="DV10" i="1"/>
  <c r="DW10" i="1"/>
  <c r="DU12" i="1"/>
  <c r="DW12" i="1"/>
  <c r="DV12" i="1"/>
  <c r="DU9" i="1"/>
  <c r="DV9" i="1"/>
  <c r="DW9" i="1"/>
  <c r="DW13" i="1"/>
  <c r="DU13" i="1"/>
  <c r="DV13" i="1"/>
  <c r="DX9" i="1" l="1"/>
  <c r="DX11" i="1"/>
  <c r="DX13" i="1"/>
  <c r="DX10" i="1"/>
  <c r="DX12" i="1"/>
  <c r="DX8" i="1"/>
  <c r="EA8" i="1" l="1"/>
  <c r="DY8" i="1"/>
  <c r="DZ8" i="1"/>
  <c r="EA12" i="1"/>
  <c r="DY12" i="1"/>
  <c r="DZ12" i="1"/>
  <c r="DZ10" i="1"/>
  <c r="DY10" i="1"/>
  <c r="EA10" i="1"/>
  <c r="EA13" i="1"/>
  <c r="DY13" i="1"/>
  <c r="DZ13" i="1"/>
  <c r="DZ11" i="1"/>
  <c r="DY11" i="1"/>
  <c r="EA11" i="1"/>
  <c r="DZ9" i="1"/>
  <c r="EA9" i="1"/>
  <c r="DY9" i="1"/>
  <c r="EB10" i="1" l="1"/>
  <c r="EB9" i="1"/>
  <c r="EB12" i="1"/>
  <c r="EB11" i="1"/>
  <c r="EB13" i="1"/>
  <c r="EB8" i="1"/>
  <c r="EE8" i="1" l="1"/>
  <c r="EC8" i="1"/>
  <c r="ED8" i="1"/>
  <c r="EE13" i="1"/>
  <c r="EC13" i="1"/>
  <c r="ED13" i="1"/>
  <c r="ED11" i="1"/>
  <c r="EE11" i="1"/>
  <c r="EC11" i="1"/>
  <c r="EE12" i="1"/>
  <c r="EC12" i="1"/>
  <c r="ED12" i="1"/>
  <c r="EC9" i="1"/>
  <c r="ED9" i="1"/>
  <c r="EE9" i="1"/>
  <c r="EC10" i="1"/>
  <c r="EE10" i="1"/>
  <c r="ED10" i="1"/>
  <c r="DF19" i="1" l="1"/>
  <c r="DF18" i="1"/>
  <c r="CF16" i="1"/>
  <c r="CP19" i="1"/>
  <c r="CF18" i="1"/>
  <c r="CT16" i="1"/>
  <c r="CV16" i="1"/>
  <c r="CR18" i="1"/>
  <c r="DB18" i="1"/>
  <c r="CN16" i="1"/>
  <c r="CX19" i="1"/>
  <c r="CD19" i="1"/>
  <c r="CF17" i="1"/>
  <c r="DD17" i="1"/>
  <c r="CD16" i="1"/>
  <c r="CN18" i="1"/>
  <c r="CN19" i="1"/>
  <c r="CT17" i="1"/>
  <c r="CX17" i="1"/>
  <c r="DF16" i="1"/>
  <c r="CD17" i="1"/>
  <c r="CZ18" i="1"/>
  <c r="DB16" i="1"/>
  <c r="CL16" i="1"/>
  <c r="DB19" i="1"/>
  <c r="CV19" i="1"/>
  <c r="CT18" i="1"/>
  <c r="CZ17" i="1"/>
  <c r="CN17" i="1"/>
  <c r="DF17" i="1"/>
  <c r="DD18" i="1"/>
  <c r="CZ16" i="1"/>
  <c r="CR16" i="1"/>
  <c r="CJ16" i="1"/>
  <c r="CL19" i="1"/>
  <c r="CX18" i="1"/>
  <c r="DD16" i="1"/>
  <c r="CT19" i="1"/>
  <c r="CJ19" i="1"/>
  <c r="CP18" i="1"/>
  <c r="CL17" i="1"/>
  <c r="CR17" i="1"/>
  <c r="CP17" i="1"/>
  <c r="CD18" i="1"/>
  <c r="CH18" i="1"/>
  <c r="DD19" i="1"/>
  <c r="DB17" i="1"/>
  <c r="CX16" i="1"/>
  <c r="CX20" i="1" s="1"/>
  <c r="CP16" i="1"/>
  <c r="CH16" i="1"/>
  <c r="CH19" i="1"/>
  <c r="CV18" i="1"/>
  <c r="CZ19" i="1"/>
  <c r="CR19" i="1"/>
  <c r="CF19" i="1"/>
  <c r="CL18" i="1"/>
  <c r="CH17" i="1"/>
  <c r="CJ18" i="1"/>
  <c r="CJ17" i="1"/>
  <c r="CV17" i="1"/>
  <c r="CP20" i="1" l="1"/>
  <c r="CH20" i="1"/>
  <c r="DD20" i="1"/>
  <c r="CJ20" i="1"/>
  <c r="CR20" i="1"/>
  <c r="CZ20" i="1"/>
  <c r="CL20" i="1"/>
  <c r="DB20" i="1"/>
  <c r="DF20" i="1"/>
  <c r="CD20" i="1"/>
  <c r="CN20" i="1"/>
  <c r="CV20" i="1"/>
  <c r="CT20" i="1"/>
  <c r="CF20" i="1"/>
  <c r="H52" i="1" l="1"/>
  <c r="H51" i="1"/>
  <c r="H50" i="1"/>
  <c r="H49" i="1"/>
</calcChain>
</file>

<file path=xl/comments1.xml><?xml version="1.0" encoding="utf-8"?>
<comments xmlns="http://schemas.openxmlformats.org/spreadsheetml/2006/main">
  <authors>
    <author>GOA</author>
  </authors>
  <commentList>
    <comment ref="C5" authorId="0" shapeId="0">
      <text>
        <r>
          <rPr>
            <sz val="8"/>
            <color indexed="81"/>
            <rFont val="Tahoma"/>
            <family val="2"/>
            <charset val="204"/>
          </rPr>
          <t>Время московское</t>
        </r>
      </text>
    </comment>
  </commentList>
</comments>
</file>

<file path=xl/sharedStrings.xml><?xml version="1.0" encoding="utf-8"?>
<sst xmlns="http://schemas.openxmlformats.org/spreadsheetml/2006/main" count="635" uniqueCount="137">
  <si>
    <t>Winner</t>
  </si>
  <si>
    <t>Loser</t>
  </si>
  <si>
    <t>First Draft</t>
  </si>
  <si>
    <t>Points Sort 1</t>
  </si>
  <si>
    <t>Points Sort 2</t>
  </si>
  <si>
    <t>Points Sort 3</t>
  </si>
  <si>
    <t>GD Sort 1</t>
  </si>
  <si>
    <t>GD Sort 2</t>
  </si>
  <si>
    <t>GD Sort 3</t>
  </si>
  <si>
    <t>F Sort 1</t>
  </si>
  <si>
    <t>F Sort 2</t>
  </si>
  <si>
    <t>F Sort 3</t>
  </si>
  <si>
    <t>Group A</t>
  </si>
  <si>
    <t>P</t>
  </si>
  <si>
    <t>W</t>
  </si>
  <si>
    <t>L</t>
  </si>
  <si>
    <t>D</t>
  </si>
  <si>
    <t>F</t>
  </si>
  <si>
    <t>A</t>
  </si>
  <si>
    <t>GD</t>
  </si>
  <si>
    <t>Pts</t>
  </si>
  <si>
    <t>Played</t>
  </si>
  <si>
    <t>Points</t>
  </si>
  <si>
    <t>Team</t>
  </si>
  <si>
    <t>E</t>
  </si>
  <si>
    <t>Group B</t>
  </si>
  <si>
    <t>B</t>
  </si>
  <si>
    <t>C</t>
  </si>
  <si>
    <t>Group C</t>
  </si>
  <si>
    <t>Group D</t>
  </si>
  <si>
    <t>Group E</t>
  </si>
  <si>
    <t xml:space="preserve"> </t>
  </si>
  <si>
    <t>Group F</t>
  </si>
  <si>
    <t xml:space="preserve">   </t>
  </si>
  <si>
    <t xml:space="preserve">  </t>
  </si>
  <si>
    <t>Группа B</t>
  </si>
  <si>
    <t>Группа A</t>
  </si>
  <si>
    <t>Группа C</t>
  </si>
  <si>
    <t>Группа D</t>
  </si>
  <si>
    <t>Группа E</t>
  </si>
  <si>
    <t>Группа F</t>
  </si>
  <si>
    <t>Время</t>
  </si>
  <si>
    <t>Дата</t>
  </si>
  <si>
    <t>Стадион</t>
  </si>
  <si>
    <t>Полуфинал</t>
  </si>
  <si>
    <t>Финал</t>
  </si>
  <si>
    <t>Россия</t>
  </si>
  <si>
    <t>Испания</t>
  </si>
  <si>
    <t>Италия</t>
  </si>
  <si>
    <t>Хорватия</t>
  </si>
  <si>
    <t>Англия</t>
  </si>
  <si>
    <t>Швейцария</t>
  </si>
  <si>
    <t>Франция</t>
  </si>
  <si>
    <t>Германия</t>
  </si>
  <si>
    <t>Португалия</t>
  </si>
  <si>
    <t>Бельгия</t>
  </si>
  <si>
    <t>1/8 Финала</t>
  </si>
  <si>
    <t>1/4 Финала</t>
  </si>
  <si>
    <t>Матч</t>
  </si>
  <si>
    <t>Город</t>
  </si>
  <si>
    <t>Гр</t>
  </si>
  <si>
    <t>Групповой этап</t>
  </si>
  <si>
    <t>:</t>
  </si>
  <si>
    <t>Чехия</t>
  </si>
  <si>
    <t>Исландия</t>
  </si>
  <si>
    <t>Австрия</t>
  </si>
  <si>
    <t>Уэльс</t>
  </si>
  <si>
    <t>Румыния</t>
  </si>
  <si>
    <t>Албания</t>
  </si>
  <si>
    <t>Польша</t>
  </si>
  <si>
    <t>Словакия</t>
  </si>
  <si>
    <t>Турция</t>
  </si>
  <si>
    <t>Венгрия</t>
  </si>
  <si>
    <t>Ирландия</t>
  </si>
  <si>
    <t>Швеция</t>
  </si>
  <si>
    <t>Украина</t>
  </si>
  <si>
    <t>ЧЕМПИОН ЕВРОПЫ</t>
  </si>
  <si>
    <t>Сев.Ирландия</t>
  </si>
  <si>
    <t>Сент-Этьен</t>
  </si>
  <si>
    <t>Париж</t>
  </si>
  <si>
    <t>Ланс</t>
  </si>
  <si>
    <t>Лион</t>
  </si>
  <si>
    <t>Лилль</t>
  </si>
  <si>
    <t>Тулуза</t>
  </si>
  <si>
    <t>Сен-Дени</t>
  </si>
  <si>
    <t>Ницца</t>
  </si>
  <si>
    <t>Марсель</t>
  </si>
  <si>
    <t>Бордо</t>
  </si>
  <si>
    <t>Points Sort 4</t>
  </si>
  <si>
    <t>Points Sort 5</t>
  </si>
  <si>
    <t>GD Sort 4</t>
  </si>
  <si>
    <t>GD Sort 5</t>
  </si>
  <si>
    <t>3-ьи места</t>
  </si>
  <si>
    <t>Лучшие</t>
  </si>
  <si>
    <t>F Sort 4</t>
  </si>
  <si>
    <t>F Sort 5</t>
  </si>
  <si>
    <t>и</t>
  </si>
  <si>
    <t>в</t>
  </si>
  <si>
    <t>н</t>
  </si>
  <si>
    <t>п</t>
  </si>
  <si>
    <t>о</t>
  </si>
  <si>
    <t>р.м.</t>
  </si>
  <si>
    <t>з</t>
  </si>
  <si>
    <t>пр</t>
  </si>
  <si>
    <t>м</t>
  </si>
  <si>
    <t>ранг</t>
  </si>
  <si>
    <t>A1</t>
  </si>
  <si>
    <t>B1</t>
  </si>
  <si>
    <t>C1</t>
  </si>
  <si>
    <t>D1</t>
  </si>
  <si>
    <t>ABCD</t>
  </si>
  <si>
    <t>C3</t>
  </si>
  <si>
    <t>D3</t>
  </si>
  <si>
    <t>A3</t>
  </si>
  <si>
    <t>B3</t>
  </si>
  <si>
    <t>ABCE</t>
  </si>
  <si>
    <t>E3</t>
  </si>
  <si>
    <t>ABCF</t>
  </si>
  <si>
    <t>F3</t>
  </si>
  <si>
    <t>ABDE</t>
  </si>
  <si>
    <t>ABDF</t>
  </si>
  <si>
    <t>ABEF</t>
  </si>
  <si>
    <t>ACDE</t>
  </si>
  <si>
    <t>ACDF</t>
  </si>
  <si>
    <t>ACEF</t>
  </si>
  <si>
    <t>ADEF</t>
  </si>
  <si>
    <t>BCDE</t>
  </si>
  <si>
    <t>BCDF</t>
  </si>
  <si>
    <t>BCEF</t>
  </si>
  <si>
    <t>BDEF</t>
  </si>
  <si>
    <t>CDEF</t>
  </si>
  <si>
    <t>Вышли</t>
  </si>
  <si>
    <t>очки+р.м.+забито+FP и рейтинг</t>
  </si>
  <si>
    <t>город</t>
  </si>
  <si>
    <t>стадион</t>
  </si>
  <si>
    <t>скачиваем файл с</t>
  </si>
  <si>
    <t>http://www.fayloobmennik.net/6302737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</si>
</sst>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Verdana"/>
      <family val="2"/>
    </font>
    <font>
      <b/>
      <sz val="18"/>
      <name val="Verdana"/>
      <family val="2"/>
    </font>
    <font>
      <b/>
      <sz val="12"/>
      <color indexed="9"/>
      <name val="Verdana"/>
      <family val="2"/>
    </font>
    <font>
      <b/>
      <sz val="10"/>
      <name val="Verdana"/>
      <family val="2"/>
    </font>
    <font>
      <b/>
      <sz val="10"/>
      <color indexed="12"/>
      <name val="Verdana"/>
      <family val="2"/>
    </font>
    <font>
      <sz val="10"/>
      <color indexed="12"/>
      <name val="Verdana"/>
      <family val="2"/>
    </font>
    <font>
      <b/>
      <sz val="48"/>
      <color indexed="10"/>
      <name val="Times New Roman"/>
      <family val="1"/>
      <charset val="204"/>
    </font>
    <font>
      <sz val="48"/>
      <color indexed="10"/>
      <name val="Times New Roman"/>
      <family val="1"/>
      <charset val="204"/>
    </font>
    <font>
      <b/>
      <sz val="10"/>
      <color rgb="FF7030A0"/>
      <name val="Verdana"/>
      <family val="2"/>
      <charset val="204"/>
    </font>
    <font>
      <sz val="10"/>
      <color rgb="FF7030A0"/>
      <name val="Verdana"/>
      <family val="2"/>
      <charset val="204"/>
    </font>
    <font>
      <sz val="8"/>
      <color indexed="81"/>
      <name val="Tahoma"/>
      <family val="2"/>
      <charset val="204"/>
    </font>
    <font>
      <sz val="10"/>
      <name val="Verdana"/>
      <family val="2"/>
      <charset val="204"/>
    </font>
    <font>
      <sz val="8"/>
      <color rgb="FFFF0000"/>
      <name val="Verdana"/>
      <family val="2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0"/>
      <color theme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Alignment="1" applyProtection="1">
      <alignment horizontal="centerContinuous" wrapText="1"/>
    </xf>
    <xf numFmtId="0" fontId="4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2" fillId="0" borderId="4" xfId="0" applyFont="1" applyBorder="1" applyProtection="1"/>
    <xf numFmtId="0" fontId="5" fillId="0" borderId="5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2" fillId="0" borderId="7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9" xfId="0" applyFont="1" applyBorder="1" applyProtection="1"/>
    <xf numFmtId="0" fontId="2" fillId="0" borderId="10" xfId="0" applyFont="1" applyBorder="1" applyAlignment="1" applyProtection="1">
      <alignment horizontal="right"/>
    </xf>
    <xf numFmtId="0" fontId="2" fillId="0" borderId="11" xfId="0" applyFont="1" applyBorder="1" applyAlignment="1" applyProtection="1">
      <alignment horizontal="right"/>
    </xf>
    <xf numFmtId="0" fontId="7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20" fontId="2" fillId="0" borderId="0" xfId="0" applyNumberFormat="1" applyFont="1" applyProtection="1"/>
    <xf numFmtId="17" fontId="2" fillId="0" borderId="0" xfId="0" applyNumberFormat="1" applyFont="1" applyProtection="1"/>
    <xf numFmtId="0" fontId="2" fillId="0" borderId="0" xfId="0" applyFont="1" applyFill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right" indent="1"/>
    </xf>
    <xf numFmtId="0" fontId="2" fillId="0" borderId="0" xfId="0" applyFont="1" applyFill="1" applyAlignment="1" applyProtection="1">
      <alignment horizontal="right" indent="1"/>
    </xf>
    <xf numFmtId="0" fontId="2" fillId="0" borderId="0" xfId="0" applyFont="1" applyFill="1" applyAlignment="1" applyProtection="1">
      <alignment horizontal="left" indent="1"/>
    </xf>
    <xf numFmtId="0" fontId="2" fillId="0" borderId="0" xfId="0" applyFont="1" applyAlignment="1" applyProtection="1">
      <alignment horizontal="left" indent="1"/>
    </xf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16" fontId="2" fillId="0" borderId="0" xfId="0" applyNumberFormat="1" applyFont="1" applyAlignment="1" applyProtection="1">
      <alignment horizontal="center"/>
    </xf>
    <xf numFmtId="16" fontId="2" fillId="0" borderId="0" xfId="0" applyNumberFormat="1" applyFont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4" fillId="4" borderId="1" xfId="0" applyFont="1" applyFill="1" applyBorder="1" applyProtection="1"/>
    <xf numFmtId="0" fontId="2" fillId="4" borderId="2" xfId="0" applyFont="1" applyFill="1" applyBorder="1" applyProtection="1"/>
    <xf numFmtId="0" fontId="2" fillId="4" borderId="3" xfId="0" applyFont="1" applyFill="1" applyBorder="1" applyProtection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5" borderId="1" xfId="0" applyFont="1" applyFill="1" applyBorder="1" applyProtection="1"/>
    <xf numFmtId="0" fontId="2" fillId="5" borderId="2" xfId="0" applyFont="1" applyFill="1" applyBorder="1" applyProtection="1"/>
    <xf numFmtId="0" fontId="2" fillId="5" borderId="3" xfId="0" applyFont="1" applyFill="1" applyBorder="1" applyProtection="1"/>
    <xf numFmtId="0" fontId="4" fillId="6" borderId="1" xfId="0" applyFont="1" applyFill="1" applyBorder="1" applyProtection="1"/>
    <xf numFmtId="0" fontId="2" fillId="6" borderId="2" xfId="0" applyFont="1" applyFill="1" applyBorder="1" applyProtection="1"/>
    <xf numFmtId="0" fontId="2" fillId="6" borderId="3" xfId="0" applyFont="1" applyFill="1" applyBorder="1" applyProtection="1"/>
    <xf numFmtId="0" fontId="2" fillId="7" borderId="12" xfId="0" applyFont="1" applyFill="1" applyBorder="1" applyAlignment="1" applyProtection="1">
      <alignment horizontal="center" vertical="center"/>
      <protection locked="0"/>
    </xf>
    <xf numFmtId="46" fontId="2" fillId="0" borderId="0" xfId="0" applyNumberFormat="1" applyFont="1" applyProtection="1"/>
    <xf numFmtId="0" fontId="10" fillId="0" borderId="0" xfId="0" applyFont="1" applyAlignment="1" applyProtection="1">
      <alignment horizontal="right"/>
    </xf>
    <xf numFmtId="0" fontId="11" fillId="0" borderId="0" xfId="0" applyFont="1" applyProtection="1"/>
    <xf numFmtId="0" fontId="10" fillId="0" borderId="0" xfId="0" applyNumberFormat="1" applyFont="1" applyAlignment="1" applyProtection="1">
      <alignment horizontal="right"/>
    </xf>
    <xf numFmtId="0" fontId="10" fillId="0" borderId="0" xfId="0" applyFont="1" applyProtection="1"/>
    <xf numFmtId="0" fontId="2" fillId="7" borderId="16" xfId="0" applyFont="1" applyFill="1" applyBorder="1" applyAlignment="1" applyProtection="1">
      <alignment horizontal="center" vertical="center"/>
      <protection locked="0"/>
    </xf>
    <xf numFmtId="16" fontId="2" fillId="0" borderId="17" xfId="0" applyNumberFormat="1" applyFont="1" applyBorder="1" applyAlignment="1" applyProtection="1">
      <alignment horizontal="center"/>
    </xf>
    <xf numFmtId="1" fontId="2" fillId="0" borderId="17" xfId="0" applyNumberFormat="1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right" indent="1"/>
    </xf>
    <xf numFmtId="0" fontId="2" fillId="0" borderId="17" xfId="0" applyFont="1" applyBorder="1" applyAlignment="1" applyProtection="1">
      <alignment horizontal="left" indent="1"/>
    </xf>
    <xf numFmtId="0" fontId="2" fillId="0" borderId="17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/>
    </xf>
    <xf numFmtId="20" fontId="2" fillId="0" borderId="0" xfId="0" applyNumberFormat="1" applyFont="1" applyAlignment="1" applyProtection="1">
      <alignment horizontal="center"/>
    </xf>
    <xf numFmtId="20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20" fontId="2" fillId="0" borderId="17" xfId="0" applyNumberFormat="1" applyFont="1" applyBorder="1" applyAlignment="1" applyProtection="1">
      <alignment horizontal="center"/>
    </xf>
    <xf numFmtId="0" fontId="13" fillId="8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9" borderId="0" xfId="0" applyFont="1" applyFill="1" applyAlignment="1">
      <alignment horizontal="center" wrapText="1"/>
    </xf>
    <xf numFmtId="0" fontId="2" fillId="9" borderId="0" xfId="0" applyFont="1" applyFill="1" applyAlignment="1" applyProtection="1">
      <alignment horizontal="center"/>
    </xf>
    <xf numFmtId="0" fontId="2" fillId="0" borderId="17" xfId="0" applyFont="1" applyBorder="1" applyProtection="1"/>
    <xf numFmtId="0" fontId="15" fillId="10" borderId="0" xfId="1" applyProtection="1"/>
    <xf numFmtId="0" fontId="16" fillId="11" borderId="0" xfId="2" applyFont="1" applyAlignment="1" applyProtection="1">
      <alignment horizontal="center"/>
    </xf>
    <xf numFmtId="0" fontId="2" fillId="0" borderId="6" xfId="0" applyFont="1" applyBorder="1" applyProtection="1"/>
    <xf numFmtId="0" fontId="2" fillId="0" borderId="8" xfId="0" applyFont="1" applyBorder="1" applyProtection="1"/>
    <xf numFmtId="0" fontId="2" fillId="0" borderId="14" xfId="0" applyFont="1" applyBorder="1" applyAlignment="1" applyProtection="1">
      <alignment horizontal="left"/>
    </xf>
    <xf numFmtId="49" fontId="2" fillId="0" borderId="13" xfId="0" applyNumberFormat="1" applyFont="1" applyBorder="1" applyProtection="1"/>
    <xf numFmtId="0" fontId="2" fillId="12" borderId="0" xfId="0" applyFont="1" applyFill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Fill="1" applyAlignment="1" applyProtection="1">
      <alignment vertical="top"/>
    </xf>
    <xf numFmtId="0" fontId="9" fillId="0" borderId="0" xfId="0" applyFont="1" applyAlignment="1">
      <alignment vertical="top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14" fillId="0" borderId="0" xfId="0" applyNumberFormat="1" applyFont="1" applyAlignment="1" applyProtection="1">
      <alignment horizontal="center"/>
    </xf>
    <xf numFmtId="0" fontId="2" fillId="12" borderId="0" xfId="0" applyFont="1" applyFill="1" applyProtection="1">
      <protection locked="0"/>
    </xf>
    <xf numFmtId="0" fontId="17" fillId="12" borderId="0" xfId="3" applyFill="1" applyProtection="1">
      <protection locked="0"/>
    </xf>
  </cellXfs>
  <cellStyles count="4">
    <cellStyle name="20% — акцент6" xfId="2" builtinId="50"/>
    <cellStyle name="Акцент6" xfId="1" builtinId="49"/>
    <cellStyle name="Гиперссылка" xfId="3" builtinId="8"/>
    <cellStyle name="Обычный" xfId="0" builtinId="0"/>
  </cellStyles>
  <dxfs count="3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E0E5E5"/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E0E5E5"/>
      <color rgb="FFD4E4FD"/>
      <color rgb="FFFFFFCC"/>
      <color rgb="FFE5D697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944564</xdr:colOff>
      <xdr:row>12</xdr:row>
      <xdr:rowOff>7938</xdr:rowOff>
    </xdr:from>
    <xdr:to>
      <xdr:col>8</xdr:col>
      <xdr:colOff>1</xdr:colOff>
      <xdr:row>13</xdr:row>
      <xdr:rowOff>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8064" y="2635251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4</xdr:col>
      <xdr:colOff>7936</xdr:colOff>
      <xdr:row>22</xdr:row>
      <xdr:rowOff>7937</xdr:rowOff>
    </xdr:from>
    <xdr:to>
      <xdr:col>4</xdr:col>
      <xdr:colOff>174623</xdr:colOff>
      <xdr:row>23</xdr:row>
      <xdr:rowOff>2096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061" y="4405312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4</xdr:col>
      <xdr:colOff>7936</xdr:colOff>
      <xdr:row>34</xdr:row>
      <xdr:rowOff>7937</xdr:rowOff>
    </xdr:from>
    <xdr:to>
      <xdr:col>4</xdr:col>
      <xdr:colOff>174623</xdr:colOff>
      <xdr:row>35</xdr:row>
      <xdr:rowOff>2096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061" y="6548437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4</xdr:col>
      <xdr:colOff>15871</xdr:colOff>
      <xdr:row>18</xdr:row>
      <xdr:rowOff>7938</xdr:rowOff>
    </xdr:from>
    <xdr:to>
      <xdr:col>4</xdr:col>
      <xdr:colOff>190496</xdr:colOff>
      <xdr:row>19</xdr:row>
      <xdr:rowOff>7938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6" y="3706813"/>
          <a:ext cx="174625" cy="174625"/>
        </a:xfrm>
        <a:prstGeom prst="rect">
          <a:avLst/>
        </a:prstGeom>
      </xdr:spPr>
    </xdr:pic>
    <xdr:clientData/>
  </xdr:twoCellAnchor>
  <xdr:twoCellAnchor editAs="oneCell">
    <xdr:from>
      <xdr:col>7</xdr:col>
      <xdr:colOff>936628</xdr:colOff>
      <xdr:row>9</xdr:row>
      <xdr:rowOff>0</xdr:rowOff>
    </xdr:from>
    <xdr:to>
      <xdr:col>8</xdr:col>
      <xdr:colOff>3</xdr:colOff>
      <xdr:row>10</xdr:row>
      <xdr:rowOff>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8" y="2079625"/>
          <a:ext cx="174625" cy="174625"/>
        </a:xfrm>
        <a:prstGeom prst="rect">
          <a:avLst/>
        </a:prstGeom>
      </xdr:spPr>
    </xdr:pic>
    <xdr:clientData/>
  </xdr:twoCellAnchor>
  <xdr:twoCellAnchor editAs="oneCell">
    <xdr:from>
      <xdr:col>4</xdr:col>
      <xdr:colOff>7938</xdr:colOff>
      <xdr:row>32</xdr:row>
      <xdr:rowOff>0</xdr:rowOff>
    </xdr:from>
    <xdr:to>
      <xdr:col>4</xdr:col>
      <xdr:colOff>182563</xdr:colOff>
      <xdr:row>33</xdr:row>
      <xdr:rowOff>1078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063" y="6191250"/>
          <a:ext cx="174625" cy="174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ayloobmennik.net/6302737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1.jpeg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E86"/>
  <sheetViews>
    <sheetView showGridLines="0" showRowColHeaders="0" tabSelected="1" topLeftCell="A19" zoomScale="110" zoomScaleNormal="110" workbookViewId="0">
      <selection activeCell="O46" sqref="O46:O47"/>
    </sheetView>
  </sheetViews>
  <sheetFormatPr defaultColWidth="9.140625" defaultRowHeight="12.75" x14ac:dyDescent="0.2"/>
  <cols>
    <col min="1" max="1" width="2" style="1" customWidth="1"/>
    <col min="2" max="2" width="9.28515625" style="1" bestFit="1" customWidth="1"/>
    <col min="3" max="3" width="13.42578125" style="1" customWidth="1"/>
    <col min="4" max="4" width="9.28515625" style="1" customWidth="1"/>
    <col min="5" max="5" width="16.7109375" style="2" customWidth="1"/>
    <col min="6" max="6" width="3.7109375" style="2" customWidth="1"/>
    <col min="7" max="7" width="3.7109375" style="1" customWidth="1"/>
    <col min="8" max="8" width="16.7109375" style="2" customWidth="1"/>
    <col min="9" max="9" width="25.7109375" style="2" customWidth="1"/>
    <col min="10" max="10" width="17.7109375" style="1" customWidth="1"/>
    <col min="11" max="11" width="4.28515625" style="1" customWidth="1"/>
    <col min="12" max="12" width="10.85546875" style="1" hidden="1" customWidth="1"/>
    <col min="13" max="13" width="9.140625" style="1" hidden="1" customWidth="1"/>
    <col min="14" max="14" width="6.28515625" style="1" customWidth="1"/>
    <col min="15" max="15" width="15" style="1" customWidth="1"/>
    <col min="16" max="16" width="2.28515625" style="1" customWidth="1"/>
    <col min="17" max="17" width="2.85546875" style="1" customWidth="1"/>
    <col min="18" max="19" width="2.28515625" style="1" customWidth="1"/>
    <col min="20" max="21" width="3.28515625" style="1" customWidth="1"/>
    <col min="22" max="22" width="4.28515625" style="1" customWidth="1"/>
    <col min="23" max="23" width="3.85546875" style="1" customWidth="1"/>
    <col min="24" max="24" width="6.28515625" style="1" customWidth="1"/>
    <col min="25" max="25" width="9.140625" style="1" hidden="1" customWidth="1"/>
    <col min="26" max="26" width="9.28515625" style="1" hidden="1" customWidth="1"/>
    <col min="27" max="27" width="3.140625" style="1" hidden="1" customWidth="1"/>
    <col min="28" max="28" width="3" style="1" hidden="1" customWidth="1"/>
    <col min="29" max="29" width="3.42578125" style="1" hidden="1" customWidth="1"/>
    <col min="30" max="30" width="2.7109375" style="1" hidden="1" customWidth="1"/>
    <col min="31" max="32" width="8.85546875" style="1" hidden="1" customWidth="1"/>
    <col min="33" max="33" width="6.28515625" style="1" hidden="1" customWidth="1"/>
    <col min="34" max="34" width="9.140625" style="1" hidden="1" customWidth="1"/>
    <col min="35" max="35" width="9.28515625" style="1" hidden="1" customWidth="1"/>
    <col min="36" max="74" width="9.140625" style="1" hidden="1" customWidth="1"/>
    <col min="75" max="75" width="5.28515625" style="1" hidden="1" customWidth="1"/>
    <col min="76" max="76" width="12.42578125" style="1" hidden="1" customWidth="1"/>
    <col min="77" max="77" width="20.140625" style="1" hidden="1" customWidth="1"/>
    <col min="78" max="78" width="15.5703125" style="1" hidden="1" customWidth="1"/>
    <col min="79" max="79" width="5.7109375" style="1" hidden="1" customWidth="1"/>
    <col min="80" max="80" width="11.7109375" style="1" hidden="1" customWidth="1"/>
    <col min="81" max="88" width="5.5703125" style="1" hidden="1" customWidth="1"/>
    <col min="89" max="89" width="8.5703125" style="1" hidden="1" customWidth="1"/>
    <col min="90" max="90" width="5.5703125" style="1" hidden="1" customWidth="1"/>
    <col min="91" max="91" width="7.5703125" style="1" hidden="1" customWidth="1"/>
    <col min="92" max="92" width="5.5703125" style="1" hidden="1" customWidth="1"/>
    <col min="93" max="93" width="9.140625" style="1" hidden="1" customWidth="1"/>
    <col min="94" max="94" width="5.5703125" style="1" hidden="1" customWidth="1"/>
    <col min="95" max="95" width="8.42578125" style="1" hidden="1" customWidth="1"/>
    <col min="96" max="96" width="9.140625" style="1" hidden="1" customWidth="1"/>
    <col min="97" max="97" width="9.5703125" style="1" hidden="1" customWidth="1"/>
    <col min="98" max="98" width="9.140625" style="1" hidden="1" customWidth="1"/>
    <col min="99" max="99" width="8.140625" style="1" hidden="1" customWidth="1"/>
    <col min="100" max="135" width="9.140625" style="1" hidden="1" customWidth="1"/>
    <col min="136" max="136" width="9.140625" style="1" customWidth="1"/>
    <col min="137" max="16384" width="9.140625" style="1"/>
  </cols>
  <sheetData>
    <row r="1" spans="2:135" ht="54.75" customHeight="1" x14ac:dyDescent="0.3">
      <c r="F1" s="3"/>
      <c r="G1" s="3"/>
      <c r="H1" s="3"/>
      <c r="I1" s="3"/>
      <c r="J1" s="3"/>
      <c r="K1" s="3"/>
      <c r="L1" s="3"/>
      <c r="M1" s="3"/>
      <c r="N1" s="3"/>
    </row>
    <row r="3" spans="2:135" ht="11.25" customHeight="1" x14ac:dyDescent="0.2">
      <c r="L3" s="1" t="s">
        <v>0</v>
      </c>
      <c r="M3" s="1" t="s">
        <v>1</v>
      </c>
      <c r="Y3" s="1" t="s">
        <v>2</v>
      </c>
      <c r="AH3" s="1" t="s">
        <v>3</v>
      </c>
      <c r="AJ3" s="1" t="s">
        <v>4</v>
      </c>
      <c r="AL3" s="1" t="s">
        <v>5</v>
      </c>
      <c r="AO3" s="1" t="s">
        <v>6</v>
      </c>
      <c r="AR3" s="1" t="s">
        <v>7</v>
      </c>
      <c r="AU3" s="1" t="s">
        <v>8</v>
      </c>
      <c r="AY3" s="1" t="s">
        <v>9</v>
      </c>
      <c r="BC3" s="1" t="s">
        <v>10</v>
      </c>
      <c r="BG3" s="1" t="s">
        <v>11</v>
      </c>
    </row>
    <row r="4" spans="2:135" ht="15" x14ac:dyDescent="0.2">
      <c r="B4" s="92" t="s">
        <v>61</v>
      </c>
      <c r="C4" s="93"/>
      <c r="D4" s="93"/>
      <c r="E4" s="93"/>
      <c r="F4" s="93"/>
      <c r="G4" s="93"/>
      <c r="H4" s="93"/>
      <c r="I4" s="93"/>
      <c r="J4" s="93"/>
      <c r="K4" s="94"/>
      <c r="O4" s="4" t="s">
        <v>36</v>
      </c>
      <c r="P4" s="5"/>
      <c r="Q4" s="5"/>
      <c r="R4" s="5"/>
      <c r="S4" s="5"/>
      <c r="T4" s="5"/>
      <c r="U4" s="5"/>
      <c r="V4" s="5"/>
      <c r="W4" s="6"/>
      <c r="BX4" s="89" t="s">
        <v>52</v>
      </c>
      <c r="BY4" s="90"/>
    </row>
    <row r="5" spans="2:135" ht="15" x14ac:dyDescent="0.2">
      <c r="B5" s="40" t="s">
        <v>42</v>
      </c>
      <c r="C5" s="41" t="s">
        <v>41</v>
      </c>
      <c r="D5" s="41" t="s">
        <v>58</v>
      </c>
      <c r="E5" s="7"/>
      <c r="F5" s="7"/>
      <c r="G5" s="7"/>
      <c r="H5" s="45"/>
      <c r="I5" s="41" t="s">
        <v>43</v>
      </c>
      <c r="J5" s="41" t="s">
        <v>59</v>
      </c>
      <c r="K5" s="42" t="s">
        <v>60</v>
      </c>
      <c r="O5" s="9"/>
      <c r="P5" s="10" t="s">
        <v>13</v>
      </c>
      <c r="Q5" s="10" t="s">
        <v>14</v>
      </c>
      <c r="R5" s="10" t="s">
        <v>15</v>
      </c>
      <c r="S5" s="10" t="s">
        <v>16</v>
      </c>
      <c r="T5" s="10" t="s">
        <v>17</v>
      </c>
      <c r="U5" s="10" t="s">
        <v>18</v>
      </c>
      <c r="V5" s="10" t="s">
        <v>19</v>
      </c>
      <c r="W5" s="11" t="s">
        <v>20</v>
      </c>
      <c r="BX5" s="27" t="s">
        <v>133</v>
      </c>
      <c r="BY5" s="27" t="s">
        <v>134</v>
      </c>
      <c r="CB5" s="1" t="s">
        <v>92</v>
      </c>
      <c r="CK5" s="1" t="s">
        <v>3</v>
      </c>
      <c r="CM5" s="1" t="s">
        <v>4</v>
      </c>
      <c r="CO5" s="1" t="s">
        <v>5</v>
      </c>
      <c r="CQ5" s="1" t="s">
        <v>88</v>
      </c>
      <c r="CS5" s="1" t="s">
        <v>89</v>
      </c>
      <c r="CV5" s="1" t="s">
        <v>6</v>
      </c>
      <c r="CY5" s="1" t="s">
        <v>7</v>
      </c>
      <c r="DB5" s="1" t="s">
        <v>8</v>
      </c>
      <c r="DE5" s="1" t="s">
        <v>90</v>
      </c>
      <c r="DH5" s="1" t="s">
        <v>91</v>
      </c>
      <c r="DL5" s="1" t="s">
        <v>9</v>
      </c>
      <c r="DP5" s="1" t="s">
        <v>10</v>
      </c>
      <c r="DT5" s="1" t="s">
        <v>11</v>
      </c>
      <c r="DX5" s="1" t="s">
        <v>94</v>
      </c>
      <c r="EB5" s="1" t="s">
        <v>95</v>
      </c>
    </row>
    <row r="6" spans="2:135" ht="13.5" thickBot="1" x14ac:dyDescent="0.25">
      <c r="B6" s="12"/>
      <c r="C6" s="12"/>
      <c r="D6" s="12"/>
      <c r="E6" s="13"/>
      <c r="F6" s="14"/>
      <c r="G6" s="14"/>
      <c r="H6" s="15"/>
      <c r="I6" s="15"/>
      <c r="J6" s="14"/>
      <c r="K6" s="14"/>
      <c r="O6" s="16" t="e">
        <f>#REF!</f>
        <v>#REF!</v>
      </c>
      <c r="P6" s="17" t="e">
        <f>#REF!</f>
        <v>#REF!</v>
      </c>
      <c r="Q6" s="17" t="e">
        <f>#REF!</f>
        <v>#REF!</v>
      </c>
      <c r="R6" s="17" t="e">
        <f>#REF!</f>
        <v>#REF!</v>
      </c>
      <c r="S6" s="17" t="e">
        <f>#REF!</f>
        <v>#REF!</v>
      </c>
      <c r="T6" s="17" t="e">
        <f>#REF!</f>
        <v>#REF!</v>
      </c>
      <c r="U6" s="17" t="e">
        <f>#REF!</f>
        <v>#REF!</v>
      </c>
      <c r="V6" s="17" t="e">
        <f>#REF!</f>
        <v>#REF!</v>
      </c>
      <c r="W6" s="18" t="e">
        <f>#REF!</f>
        <v>#REF!</v>
      </c>
      <c r="Y6" s="1" t="s">
        <v>12</v>
      </c>
      <c r="BX6" s="87"/>
      <c r="BY6" s="37"/>
      <c r="BZ6" s="84"/>
      <c r="DM6" s="27"/>
      <c r="DN6" s="27"/>
      <c r="DO6" s="27"/>
    </row>
    <row r="7" spans="2:135" ht="13.5" thickBot="1" x14ac:dyDescent="0.25">
      <c r="B7" s="44">
        <v>42531</v>
      </c>
      <c r="C7" s="71">
        <v>0.91666666666666663</v>
      </c>
      <c r="D7" s="31">
        <v>1</v>
      </c>
      <c r="E7" s="33" t="s">
        <v>52</v>
      </c>
      <c r="F7" s="57"/>
      <c r="G7" s="57"/>
      <c r="H7" s="36" t="s">
        <v>67</v>
      </c>
      <c r="I7" s="36" t="e">
        <f>IF(J7="","",VLOOKUP(J7,$BX$7:$BY$16,2))</f>
        <v>#N/A</v>
      </c>
      <c r="J7" s="50" t="s">
        <v>84</v>
      </c>
      <c r="K7" s="20" t="e">
        <f>IF(OR($E7=$O$6,$E7=$O$7,$E7=$O$8,$E7=$O$9),"A",IF(OR($E7=$O$13,$E7=$O$14,$E7=$O$15,$E7=$O$16),"B",IF(OR($E7=$O$20,$E7=$O$21,$E7=$O$22,$E7=$O$23),"C",IF(OR($E7=$O$27,$E7=$O$28,$E7=$O$29,$E7=$O$30),"D",IF(OR($E7=$O$34,$E7=$O$35,$E7=$O$36,$E7=$O$37),"E",IF(OR($E7=$O$41,$E7=$O$42,$E7=$O$43,$E7=$O$44),"F",""))))))</f>
        <v>#REF!</v>
      </c>
      <c r="L7" s="1" t="str">
        <f t="shared" ref="L7:L16" si="0">IF(F7&lt;&gt;"",IF(F7&gt;G7,E7,IF(G7&gt;F7,H7,"Draw")),"")</f>
        <v/>
      </c>
      <c r="M7" s="1" t="str">
        <f>IF(F7&lt;&gt;"",IF(F7&lt;G7,E7,IF(G7&lt;F7,H7,"Draw")),"")</f>
        <v/>
      </c>
      <c r="O7" s="16" t="e">
        <f>#REF!</f>
        <v>#REF!</v>
      </c>
      <c r="P7" s="17" t="e">
        <f>#REF!</f>
        <v>#REF!</v>
      </c>
      <c r="Q7" s="17" t="e">
        <f>#REF!</f>
        <v>#REF!</v>
      </c>
      <c r="R7" s="17" t="e">
        <f>#REF!</f>
        <v>#REF!</v>
      </c>
      <c r="S7" s="17" t="e">
        <f>#REF!</f>
        <v>#REF!</v>
      </c>
      <c r="T7" s="17" t="e">
        <f>#REF!</f>
        <v>#REF!</v>
      </c>
      <c r="U7" s="17" t="e">
        <f>#REF!</f>
        <v>#REF!</v>
      </c>
      <c r="V7" s="17" t="e">
        <f>#REF!</f>
        <v>#REF!</v>
      </c>
      <c r="W7" s="18" t="e">
        <f>#REF!</f>
        <v>#REF!</v>
      </c>
      <c r="Z7" s="1" t="s">
        <v>21</v>
      </c>
      <c r="AA7" s="1" t="s">
        <v>14</v>
      </c>
      <c r="AB7" s="1" t="s">
        <v>15</v>
      </c>
      <c r="AC7" s="1" t="s">
        <v>16</v>
      </c>
      <c r="AD7" s="1" t="s">
        <v>17</v>
      </c>
      <c r="AE7" s="1" t="s">
        <v>18</v>
      </c>
      <c r="AF7" s="1" t="s">
        <v>19</v>
      </c>
      <c r="AG7" s="1" t="s">
        <v>22</v>
      </c>
      <c r="AH7" s="1" t="s">
        <v>23</v>
      </c>
      <c r="AI7" s="21" t="s">
        <v>22</v>
      </c>
      <c r="AJ7" s="1" t="s">
        <v>23</v>
      </c>
      <c r="AK7" s="21" t="s">
        <v>22</v>
      </c>
      <c r="AL7" s="1" t="s">
        <v>23</v>
      </c>
      <c r="AM7" s="21" t="s">
        <v>22</v>
      </c>
      <c r="AN7" s="21" t="s">
        <v>19</v>
      </c>
      <c r="AO7" s="1" t="s">
        <v>23</v>
      </c>
      <c r="AP7" s="1" t="s">
        <v>22</v>
      </c>
      <c r="AQ7" s="21" t="s">
        <v>19</v>
      </c>
      <c r="AR7" s="1" t="s">
        <v>23</v>
      </c>
      <c r="AS7" s="1" t="s">
        <v>22</v>
      </c>
      <c r="AT7" s="21" t="s">
        <v>19</v>
      </c>
      <c r="AU7" s="1" t="s">
        <v>23</v>
      </c>
      <c r="AV7" s="1" t="s">
        <v>22</v>
      </c>
      <c r="AW7" s="21" t="s">
        <v>19</v>
      </c>
      <c r="AX7" s="21" t="s">
        <v>17</v>
      </c>
      <c r="AY7" s="1" t="s">
        <v>23</v>
      </c>
      <c r="AZ7" s="1" t="s">
        <v>22</v>
      </c>
      <c r="BA7" s="21" t="s">
        <v>19</v>
      </c>
      <c r="BB7" s="21" t="s">
        <v>17</v>
      </c>
      <c r="BC7" s="1" t="s">
        <v>23</v>
      </c>
      <c r="BD7" s="1" t="s">
        <v>22</v>
      </c>
      <c r="BE7" s="21" t="s">
        <v>19</v>
      </c>
      <c r="BF7" s="21" t="s">
        <v>17</v>
      </c>
      <c r="BG7" s="1" t="s">
        <v>23</v>
      </c>
      <c r="BH7" s="21" t="s">
        <v>22</v>
      </c>
      <c r="BI7" s="21" t="s">
        <v>19</v>
      </c>
      <c r="BJ7" s="21" t="s">
        <v>17</v>
      </c>
      <c r="BO7" s="21" t="s">
        <v>13</v>
      </c>
      <c r="BP7" s="21" t="s">
        <v>14</v>
      </c>
      <c r="BQ7" s="21" t="s">
        <v>15</v>
      </c>
      <c r="BR7" s="21" t="s">
        <v>16</v>
      </c>
      <c r="BS7" s="21" t="s">
        <v>17</v>
      </c>
      <c r="BT7" s="21" t="s">
        <v>18</v>
      </c>
      <c r="BU7" s="21" t="s">
        <v>19</v>
      </c>
      <c r="BV7" s="21" t="s">
        <v>22</v>
      </c>
      <c r="BX7" s="86" t="e">
        <f>IF($BX$4="","",IF($BX$4="Франция",CONCATENATE(#REF!),IF($BX$4="Россия",CONCATENATE(#REF!),"")))</f>
        <v>#REF!</v>
      </c>
      <c r="BY7" s="86" t="e">
        <f>IF($BX$4="","",IF($BX$4="Франция",CONCATENATE(#REF!),IF($BX$4="Россия",CONCATENATE(#REF!),"")))</f>
        <v>#REF!</v>
      </c>
      <c r="BZ7" s="38" t="s">
        <v>65</v>
      </c>
      <c r="CC7" s="27" t="s">
        <v>13</v>
      </c>
      <c r="CD7" s="27" t="s">
        <v>14</v>
      </c>
      <c r="CE7" s="27" t="s">
        <v>15</v>
      </c>
      <c r="CF7" s="27" t="s">
        <v>16</v>
      </c>
      <c r="CG7" s="27" t="s">
        <v>17</v>
      </c>
      <c r="CH7" s="27" t="s">
        <v>18</v>
      </c>
      <c r="CI7" s="27" t="s">
        <v>19</v>
      </c>
      <c r="CJ7" s="27" t="s">
        <v>22</v>
      </c>
      <c r="CL7" s="27" t="s">
        <v>22</v>
      </c>
      <c r="CN7" s="27" t="s">
        <v>22</v>
      </c>
      <c r="CP7" s="27" t="s">
        <v>22</v>
      </c>
      <c r="CR7" s="27" t="s">
        <v>22</v>
      </c>
      <c r="CT7" s="27" t="s">
        <v>22</v>
      </c>
      <c r="CU7" s="27" t="s">
        <v>19</v>
      </c>
      <c r="CV7" s="27"/>
      <c r="CW7" s="27" t="s">
        <v>22</v>
      </c>
      <c r="CX7" s="27" t="s">
        <v>19</v>
      </c>
      <c r="CZ7" s="27" t="s">
        <v>22</v>
      </c>
      <c r="DA7" s="27" t="s">
        <v>19</v>
      </c>
      <c r="DC7" s="27" t="s">
        <v>22</v>
      </c>
      <c r="DD7" s="27" t="s">
        <v>19</v>
      </c>
      <c r="DF7" s="27" t="s">
        <v>22</v>
      </c>
      <c r="DG7" s="27" t="s">
        <v>19</v>
      </c>
      <c r="DI7" s="27" t="s">
        <v>22</v>
      </c>
      <c r="DJ7" s="27" t="s">
        <v>19</v>
      </c>
      <c r="DK7" s="27" t="s">
        <v>17</v>
      </c>
      <c r="DL7" s="27"/>
      <c r="DM7" s="27" t="s">
        <v>22</v>
      </c>
      <c r="DN7" s="27" t="s">
        <v>19</v>
      </c>
      <c r="DO7" s="27" t="s">
        <v>17</v>
      </c>
      <c r="DQ7" s="27" t="s">
        <v>22</v>
      </c>
      <c r="DR7" s="27" t="s">
        <v>19</v>
      </c>
      <c r="DS7" s="27" t="s">
        <v>17</v>
      </c>
      <c r="DU7" s="27" t="s">
        <v>22</v>
      </c>
      <c r="DV7" s="27" t="s">
        <v>19</v>
      </c>
      <c r="DW7" s="27" t="s">
        <v>17</v>
      </c>
      <c r="DY7" s="27" t="s">
        <v>22</v>
      </c>
      <c r="DZ7" s="27" t="s">
        <v>19</v>
      </c>
      <c r="EA7" s="27" t="s">
        <v>17</v>
      </c>
      <c r="EC7" s="27" t="s">
        <v>22</v>
      </c>
      <c r="ED7" s="27" t="s">
        <v>19</v>
      </c>
      <c r="EE7" s="27" t="s">
        <v>17</v>
      </c>
    </row>
    <row r="8" spans="2:135" ht="13.5" thickBot="1" x14ac:dyDescent="0.25">
      <c r="B8" s="44">
        <v>42532</v>
      </c>
      <c r="C8" s="71">
        <v>0.66666666666666663</v>
      </c>
      <c r="D8" s="31">
        <v>2</v>
      </c>
      <c r="E8" s="33" t="s">
        <v>68</v>
      </c>
      <c r="F8" s="57"/>
      <c r="G8" s="57"/>
      <c r="H8" s="36" t="s">
        <v>51</v>
      </c>
      <c r="I8" s="36" t="e">
        <f t="shared" ref="I8:I42" si="1">IF(J8="","",VLOOKUP(J8,$BX$7:$BY$16,2))</f>
        <v>#N/A</v>
      </c>
      <c r="J8" s="50" t="s">
        <v>80</v>
      </c>
      <c r="K8" s="20" t="e">
        <f t="shared" ref="K8:K42" si="2">IF(OR($E8=$O$6,$E8=$O$7,$E8=$O$8,$E8=$O$9),"A",IF(OR($E8=$O$13,$E8=$O$14,$E8=$O$15,$E8=$O$16),"B",IF(OR($E8=$O$20,$E8=$O$21,$E8=$O$22,$E8=$O$23),"C",IF(OR($E8=$O$27,$E8=$O$28,$E8=$O$29,$E8=$O$30),"D",IF(OR($E8=$O$34,$E8=$O$35,$E8=$O$36,$E8=$O$37),"E",IF(OR($E8=$O$41,$E8=$O$42,$E8=$O$43,$E8=$O$44),"F",""))))))</f>
        <v>#REF!</v>
      </c>
      <c r="L8" s="1" t="str">
        <f t="shared" si="0"/>
        <v/>
      </c>
      <c r="M8" s="1" t="str">
        <f t="shared" ref="M8:M16" si="3">IF(F8&lt;&gt;"",IF(F8&lt;G8,E8,IF(G8&lt;F8,H8,"Draw")),"")</f>
        <v/>
      </c>
      <c r="O8" s="16" t="e">
        <f>#REF!</f>
        <v>#REF!</v>
      </c>
      <c r="P8" s="17" t="e">
        <f>#REF!</f>
        <v>#REF!</v>
      </c>
      <c r="Q8" s="17" t="e">
        <f>#REF!</f>
        <v>#REF!</v>
      </c>
      <c r="R8" s="17" t="e">
        <f>#REF!</f>
        <v>#REF!</v>
      </c>
      <c r="S8" s="17" t="e">
        <f>#REF!</f>
        <v>#REF!</v>
      </c>
      <c r="T8" s="17" t="e">
        <f>#REF!</f>
        <v>#REF!</v>
      </c>
      <c r="U8" s="17" t="e">
        <f>#REF!</f>
        <v>#REF!</v>
      </c>
      <c r="V8" s="17" t="e">
        <f>#REF!</f>
        <v>#REF!</v>
      </c>
      <c r="W8" s="18" t="e">
        <f>#REF!</f>
        <v>#REF!</v>
      </c>
      <c r="Y8" s="1" t="s">
        <v>52</v>
      </c>
      <c r="Z8" s="1">
        <f>COUNT(Франция_Played)</f>
        <v>0</v>
      </c>
      <c r="AA8" s="1">
        <f>COUNTIF(Groupstage_Winners,"Франция")</f>
        <v>0</v>
      </c>
      <c r="AB8" s="1">
        <f>COUNTIF(Groupstage_Losers,"Франция")</f>
        <v>0</v>
      </c>
      <c r="AC8" s="1">
        <f>Z8-(AA8+AB8)</f>
        <v>0</v>
      </c>
      <c r="AD8" s="1">
        <f>SUM(Франция_Played)</f>
        <v>0</v>
      </c>
      <c r="AE8" s="1">
        <f>SUM(Франция_Against)</f>
        <v>0</v>
      </c>
      <c r="AF8" s="1">
        <f>AD8-AE8</f>
        <v>0</v>
      </c>
      <c r="AG8" s="1" t="e">
        <f>AA8*Winpoints+AC8*Drawpoints</f>
        <v>#REF!</v>
      </c>
      <c r="AH8" s="1" t="e">
        <f>IF($AG8&gt;=$AG9,$Y8,$Y9)</f>
        <v>#REF!</v>
      </c>
      <c r="AI8" s="1" t="e">
        <f>VLOOKUP($AH8,$Y8:$AG11,9,FALSE)</f>
        <v>#REF!</v>
      </c>
      <c r="AJ8" s="1" t="e">
        <f>IF($AI8&gt;=$AI10,$AH8,$AH10)</f>
        <v>#REF!</v>
      </c>
      <c r="AK8" s="1" t="e">
        <f>VLOOKUP($AJ8,$Y8:$AG11,9,FALSE)</f>
        <v>#REF!</v>
      </c>
      <c r="AL8" s="1" t="e">
        <f>IF($AK8&gt;=$AK11,$AJ8,$AJ11)</f>
        <v>#REF!</v>
      </c>
      <c r="AM8" s="1" t="e">
        <f>VLOOKUP($AL8,$Y8:$AG11,9,FALSE)</f>
        <v>#REF!</v>
      </c>
      <c r="AN8" s="1" t="e">
        <f>VLOOKUP($AL8,$Y8:$AG11,8,FALSE)</f>
        <v>#REF!</v>
      </c>
      <c r="AO8" s="1" t="e">
        <f>IF(AND($AM8=$AM9,$AN9&gt;$AN8),$AL9,$AL8)</f>
        <v>#REF!</v>
      </c>
      <c r="AP8" s="1" t="e">
        <f>VLOOKUP($AO8,$Y8:$AG11,9,FALSE)</f>
        <v>#REF!</v>
      </c>
      <c r="AQ8" s="1" t="e">
        <f>VLOOKUP($AO8,$Y8:$AG11,8,FALSE)</f>
        <v>#REF!</v>
      </c>
      <c r="AR8" s="1" t="e">
        <f>IF(AND($AP8=$AP10,$AQ10&gt;$AQ8),$AO10,$AO8)</f>
        <v>#REF!</v>
      </c>
      <c r="AS8" s="1" t="e">
        <f>VLOOKUP($AR8,$Y8:$AG11,9,FALSE)</f>
        <v>#REF!</v>
      </c>
      <c r="AT8" s="1" t="e">
        <f>VLOOKUP($AR8,$Y8:$AG11,8,FALSE)</f>
        <v>#REF!</v>
      </c>
      <c r="AU8" s="1" t="e">
        <f>IF(AND($AS8=$AS11,$AT11&gt;$AT8),$AR11,$AR8)</f>
        <v>#REF!</v>
      </c>
      <c r="AV8" s="1" t="e">
        <f>VLOOKUP($AU8,$Y8:$AG11,9,FALSE)</f>
        <v>#REF!</v>
      </c>
      <c r="AW8" s="1" t="e">
        <f>VLOOKUP($AU8,$Y8:$AG11,8,FALSE)</f>
        <v>#REF!</v>
      </c>
      <c r="AX8" s="1" t="e">
        <f>VLOOKUP($AU8,$Y8:$AG11,6,FALSE)</f>
        <v>#REF!</v>
      </c>
      <c r="AY8" s="1" t="e">
        <f>IF(AND($AV8=$AV9,$AW8=$AW9,$AX9&gt;$AX8),$AU9,$AU8)</f>
        <v>#REF!</v>
      </c>
      <c r="AZ8" s="1" t="e">
        <f>VLOOKUP($AY8,$Y8:$AG11,9,FALSE)</f>
        <v>#REF!</v>
      </c>
      <c r="BA8" s="1" t="e">
        <f>VLOOKUP($AY8,$Y8:$AG11,8,FALSE)</f>
        <v>#REF!</v>
      </c>
      <c r="BB8" s="1" t="e">
        <f>VLOOKUP($AY8,$Y8:$AG11,6,FALSE)</f>
        <v>#REF!</v>
      </c>
      <c r="BC8" s="1" t="e">
        <f>IF(AND($AZ8=$AZ10,$BA8=$BA10,$BB10&gt;$BB8),$AY10,$AY8)</f>
        <v>#REF!</v>
      </c>
      <c r="BD8" s="1" t="e">
        <f>VLOOKUP($BC8,$Y8:$AG11,9,FALSE)</f>
        <v>#REF!</v>
      </c>
      <c r="BE8" s="1" t="e">
        <f>VLOOKUP($BC8,$Y8:$AG11,8,FALSE)</f>
        <v>#REF!</v>
      </c>
      <c r="BF8" s="1" t="e">
        <f>VLOOKUP($BC8,$Y8:$AG11,6,FALSE)</f>
        <v>#REF!</v>
      </c>
      <c r="BG8" s="1" t="e">
        <f>IF(AND($BD8=$BD11,$BE8=$BE11,$BF11&gt;$BF8),$BC11,$BC8)</f>
        <v>#REF!</v>
      </c>
      <c r="BH8" s="1" t="e">
        <f>VLOOKUP($BG8,$Y8:$AG11,9,FALSE)</f>
        <v>#REF!</v>
      </c>
      <c r="BI8" s="1" t="e">
        <f>VLOOKUP($BG8,$Y8:$AG11,8,FALSE)</f>
        <v>#REF!</v>
      </c>
      <c r="BJ8" s="1" t="e">
        <f>VLOOKUP($BG8,$Y8:$AG11,6,FALSE)</f>
        <v>#REF!</v>
      </c>
      <c r="BN8" s="1" t="e">
        <f>BG8</f>
        <v>#REF!</v>
      </c>
      <c r="BO8" s="1" t="e">
        <f>VLOOKUP($BN8,$Y8:$AG11,2,FALSE)</f>
        <v>#REF!</v>
      </c>
      <c r="BP8" s="1" t="e">
        <f>VLOOKUP($BN8,$Y8:$AG11,3,FALSE)</f>
        <v>#REF!</v>
      </c>
      <c r="BQ8" s="1" t="e">
        <f>VLOOKUP($BN8,$Y8:$AG11,4,FALSE)</f>
        <v>#REF!</v>
      </c>
      <c r="BR8" s="1" t="e">
        <f>VLOOKUP($BN8,$Y8:$AG11,5,FALSE)</f>
        <v>#REF!</v>
      </c>
      <c r="BS8" s="1" t="e">
        <f>VLOOKUP($BN8,$Y8:$AG11,6,FALSE)</f>
        <v>#REF!</v>
      </c>
      <c r="BT8" s="1" t="e">
        <f>VLOOKUP($BN8,$Y8:$AG11,7,FALSE)</f>
        <v>#REF!</v>
      </c>
      <c r="BU8" s="1" t="e">
        <f>VLOOKUP($BN8,$Y8:$AG11,8,FALSE)</f>
        <v>#REF!</v>
      </c>
      <c r="BV8" s="1" t="e">
        <f>VLOOKUP($BN8,$Y8:$AG11,9,FALSE)</f>
        <v>#REF!</v>
      </c>
      <c r="BX8" s="86" t="e">
        <f>IF($BX$4="","",IF($BX$4="Франция",CONCATENATE(#REF!),IF($BX$4="Россия",CONCATENATE(#REF!),"")))</f>
        <v>#REF!</v>
      </c>
      <c r="BY8" s="86" t="e">
        <f>IF($BX$4="","",IF($BX$4="Франция",CONCATENATE(#REF!),IF($BX$4="Россия",CONCATENATE(#REF!),"")))</f>
        <v>#REF!</v>
      </c>
      <c r="BZ8" s="38" t="s">
        <v>68</v>
      </c>
      <c r="CB8" s="27" t="s">
        <v>18</v>
      </c>
      <c r="CC8" s="27" t="e">
        <f t="shared" ref="CC8:CJ8" si="4">P8</f>
        <v>#REF!</v>
      </c>
      <c r="CD8" s="27" t="e">
        <f t="shared" si="4"/>
        <v>#REF!</v>
      </c>
      <c r="CE8" s="27" t="e">
        <f t="shared" si="4"/>
        <v>#REF!</v>
      </c>
      <c r="CF8" s="27" t="e">
        <f t="shared" si="4"/>
        <v>#REF!</v>
      </c>
      <c r="CG8" s="27" t="e">
        <f t="shared" si="4"/>
        <v>#REF!</v>
      </c>
      <c r="CH8" s="27" t="e">
        <f t="shared" si="4"/>
        <v>#REF!</v>
      </c>
      <c r="CI8" s="27" t="e">
        <f t="shared" si="4"/>
        <v>#REF!</v>
      </c>
      <c r="CJ8" s="27" t="e">
        <f t="shared" si="4"/>
        <v>#REF!</v>
      </c>
      <c r="CK8" s="27" t="e">
        <f>IF($CJ8&gt;=$CJ9,$CB8,$CB9)</f>
        <v>#REF!</v>
      </c>
      <c r="CL8" s="27" t="e">
        <f>VLOOKUP($CK8,$CB8:$CJ10,9,FALSE)</f>
        <v>#REF!</v>
      </c>
      <c r="CM8" s="27" t="e">
        <f>IF($CL8&gt;=$CL10,$CK8,$CK10)</f>
        <v>#REF!</v>
      </c>
      <c r="CN8" s="27" t="e">
        <f>VLOOKUP($CM8,$CB$8:$CJ$13,9,FALSE)</f>
        <v>#REF!</v>
      </c>
      <c r="CO8" s="27" t="e">
        <f>IF($CN8&gt;=$CN11,$CM8,$CM11)</f>
        <v>#REF!</v>
      </c>
      <c r="CP8" s="27" t="e">
        <f>VLOOKUP($CO8,$CB$8:$CJ$13,9,FALSE)</f>
        <v>#REF!</v>
      </c>
      <c r="CQ8" s="27" t="e">
        <f>IF($CP8&gt;=$CP12,$CO8,$CO12)</f>
        <v>#REF!</v>
      </c>
      <c r="CR8" s="27" t="e">
        <f>VLOOKUP($CQ8,$CB$8:$CJ$13,9,FALSE)</f>
        <v>#REF!</v>
      </c>
      <c r="CS8" s="27" t="e">
        <f>IF($CR8&gt;=$CR13,$CQ8,$CQ13)</f>
        <v>#REF!</v>
      </c>
      <c r="CT8" s="27" t="e">
        <f>VLOOKUP($CS8,$CB$8:$CJ$13,9,FALSE)</f>
        <v>#REF!</v>
      </c>
      <c r="CU8" s="27" t="e">
        <f>VLOOKUP($CS8,$CB$8:$CJ$13,8,FALSE)</f>
        <v>#REF!</v>
      </c>
      <c r="CV8" s="27" t="e">
        <f>IF(AND($CT8=$CT9,$CT9&gt;$CT8),$CS9,$CS8)</f>
        <v>#REF!</v>
      </c>
      <c r="CW8" s="27" t="e">
        <f>VLOOKUP($CV8,$CB$8:$CJ$13,9,FALSE)</f>
        <v>#REF!</v>
      </c>
      <c r="CX8" s="27" t="e">
        <f>VLOOKUP($CV8,$CB$8:$CJ$13,8,FALSE)</f>
        <v>#REF!</v>
      </c>
      <c r="CY8" s="27" t="e">
        <f>IF(AND($CW8=$CW10,$CX10&gt;$CX8),$CV10,$CV8)</f>
        <v>#REF!</v>
      </c>
      <c r="CZ8" s="27" t="e">
        <f>VLOOKUP($CY8,$CB$8:$CJ$13,9,FALSE)</f>
        <v>#REF!</v>
      </c>
      <c r="DA8" s="27" t="e">
        <f>VLOOKUP($CY8,$CB$8:$CJ$13,8,FALSE)</f>
        <v>#REF!</v>
      </c>
      <c r="DB8" s="27" t="e">
        <f>IF(AND($CZ8=$CZ11,$DA11&gt;$DA8),$CY11,$CY8)</f>
        <v>#REF!</v>
      </c>
      <c r="DC8" s="27" t="e">
        <f>VLOOKUP($DB8,$CB$8:$CJ$13,9,FALSE)</f>
        <v>#REF!</v>
      </c>
      <c r="DD8" s="27" t="e">
        <f>VLOOKUP($DB8,$CB$8:$CJ$13,8,FALSE)</f>
        <v>#REF!</v>
      </c>
      <c r="DE8" s="27" t="e">
        <f>IF(AND($DC8=$DC12,$DD12&gt;$DD8),$DB12,$DB8)</f>
        <v>#REF!</v>
      </c>
      <c r="DF8" s="27" t="e">
        <f>VLOOKUP($DE8,$CB$8:$CJ$13,9,FALSE)</f>
        <v>#REF!</v>
      </c>
      <c r="DG8" s="27" t="e">
        <f>VLOOKUP($DE8,$CB$8:$CJ$13,8,FALSE)</f>
        <v>#REF!</v>
      </c>
      <c r="DH8" s="27" t="e">
        <f>IF(AND($DF8=$DF13,$DG13&gt;$DG8),$DE13,$DE8)</f>
        <v>#REF!</v>
      </c>
      <c r="DI8" s="27" t="e">
        <f>VLOOKUP($DH8,$CB$8:$CJ$13,9,FALSE)</f>
        <v>#REF!</v>
      </c>
      <c r="DJ8" s="27" t="e">
        <f>VLOOKUP($DH8,$CB$8:$CJ$13,8,FALSE)</f>
        <v>#REF!</v>
      </c>
      <c r="DK8" s="27" t="e">
        <f>VLOOKUP($DH8,$CB$8:$CJ$13,6,FALSE)</f>
        <v>#REF!</v>
      </c>
      <c r="DL8" s="27" t="e">
        <f>IF(AND($DI8=$DI9,$DJ8=$DJ9,$DK9&gt;$DK8),$DH9,$DH8)</f>
        <v>#REF!</v>
      </c>
      <c r="DM8" s="27" t="e">
        <f>VLOOKUP($DL8,$CB$8:$CJ$13,9,FALSE)</f>
        <v>#REF!</v>
      </c>
      <c r="DN8" s="27" t="e">
        <f>VLOOKUP($DL8,$CB$8:$CJ$13,8,FALSE)</f>
        <v>#REF!</v>
      </c>
      <c r="DO8" s="27" t="e">
        <f>VLOOKUP($DL8,$CB$8:$CJ$13,6,FALSE)</f>
        <v>#REF!</v>
      </c>
      <c r="DP8" s="27" t="e">
        <f>IF(AND($DM8=$DM10,$DN8=$DN10,$DO10&gt;$DO8),$DL10,$DL8)</f>
        <v>#REF!</v>
      </c>
      <c r="DQ8" s="27" t="e">
        <f>VLOOKUP($DP8,$CB$8:$CJ$13,9,FALSE)</f>
        <v>#REF!</v>
      </c>
      <c r="DR8" s="27" t="e">
        <f>VLOOKUP($DP8,$CB$8:$CJ$13,8,FALSE)</f>
        <v>#REF!</v>
      </c>
      <c r="DS8" s="27" t="e">
        <f>VLOOKUP($DP8,$CB$8:$CJ$13,6,FALSE)</f>
        <v>#REF!</v>
      </c>
      <c r="DT8" s="27" t="e">
        <f>IF(AND($DQ8=$DQ11,$DR8=$DR11,$DS11&gt;$DS8),$DP11,$DP8)</f>
        <v>#REF!</v>
      </c>
      <c r="DU8" s="27" t="e">
        <f>VLOOKUP($DT8,$CB$8:$CJ$13,9,FALSE)</f>
        <v>#REF!</v>
      </c>
      <c r="DV8" s="27" t="e">
        <f>VLOOKUP($DT8,$CB$8:$CJ$13,8,FALSE)</f>
        <v>#REF!</v>
      </c>
      <c r="DW8" s="27" t="e">
        <f>VLOOKUP($DT8,$CB$8:$CJ$13,6,FALSE)</f>
        <v>#REF!</v>
      </c>
      <c r="DX8" s="27" t="e">
        <f>IF(AND($DU8=$DU12,$DV8=$DV12,$DW12&gt;$DW8),$DT12,$DT8)</f>
        <v>#REF!</v>
      </c>
      <c r="DY8" s="27" t="e">
        <f>VLOOKUP($DX8,$CB$8:$CJ$13,9,FALSE)</f>
        <v>#REF!</v>
      </c>
      <c r="DZ8" s="27" t="e">
        <f>VLOOKUP($DX8,$CB$8:$CJ$13,8,FALSE)</f>
        <v>#REF!</v>
      </c>
      <c r="EA8" s="27" t="e">
        <f>VLOOKUP($DX8,$CB$8:$CJ$13,6,FALSE)</f>
        <v>#REF!</v>
      </c>
      <c r="EB8" s="80" t="e">
        <f>IF(AND($DY8=$DY13,$DZ8=$DZ13,$EA13&gt;$EA8),$DX13,$DX8)</f>
        <v>#REF!</v>
      </c>
      <c r="EC8" s="27" t="e">
        <f>VLOOKUP($EB8,$CB$8:$CJ$13,9,FALSE)</f>
        <v>#REF!</v>
      </c>
      <c r="ED8" s="27" t="e">
        <f>VLOOKUP($EB8,$CB$8:$CJ$13,8,FALSE)</f>
        <v>#REF!</v>
      </c>
      <c r="EE8" s="27" t="e">
        <f>VLOOKUP($EB8,$CB$8:$CJ$13,6,FALSE)</f>
        <v>#REF!</v>
      </c>
    </row>
    <row r="9" spans="2:135" ht="13.5" thickBot="1" x14ac:dyDescent="0.25">
      <c r="B9" s="44">
        <v>42532</v>
      </c>
      <c r="C9" s="71">
        <v>0.79166666666666663</v>
      </c>
      <c r="D9" s="31">
        <v>3</v>
      </c>
      <c r="E9" s="33" t="s">
        <v>66</v>
      </c>
      <c r="F9" s="57"/>
      <c r="G9" s="57"/>
      <c r="H9" s="36" t="s">
        <v>70</v>
      </c>
      <c r="I9" s="36" t="e">
        <f t="shared" si="1"/>
        <v>#N/A</v>
      </c>
      <c r="J9" s="50" t="s">
        <v>87</v>
      </c>
      <c r="K9" s="20" t="e">
        <f t="shared" si="2"/>
        <v>#REF!</v>
      </c>
      <c r="L9" s="1" t="str">
        <f t="shared" si="0"/>
        <v/>
      </c>
      <c r="M9" s="1" t="str">
        <f t="shared" si="3"/>
        <v/>
      </c>
      <c r="O9" s="22" t="e">
        <f>#REF!</f>
        <v>#REF!</v>
      </c>
      <c r="P9" s="23" t="e">
        <f>#REF!</f>
        <v>#REF!</v>
      </c>
      <c r="Q9" s="23" t="e">
        <f>#REF!</f>
        <v>#REF!</v>
      </c>
      <c r="R9" s="23" t="e">
        <f>#REF!</f>
        <v>#REF!</v>
      </c>
      <c r="S9" s="23" t="e">
        <f>#REF!</f>
        <v>#REF!</v>
      </c>
      <c r="T9" s="23" t="e">
        <f>#REF!</f>
        <v>#REF!</v>
      </c>
      <c r="U9" s="23" t="e">
        <f>#REF!</f>
        <v>#REF!</v>
      </c>
      <c r="V9" s="23" t="e">
        <f>#REF!</f>
        <v>#REF!</v>
      </c>
      <c r="W9" s="24" t="e">
        <f>#REF!</f>
        <v>#REF!</v>
      </c>
      <c r="Y9" s="1" t="s">
        <v>67</v>
      </c>
      <c r="Z9" s="1">
        <f>COUNT(Румыния_Played)</f>
        <v>0</v>
      </c>
      <c r="AA9" s="1">
        <f>COUNTIF(Groupstage_Winners,"Румыния")</f>
        <v>0</v>
      </c>
      <c r="AB9" s="1">
        <f>COUNTIF(Groupstage_Losers,"Румыния")</f>
        <v>0</v>
      </c>
      <c r="AC9" s="1">
        <f>Z9-(AA9+AB9)</f>
        <v>0</v>
      </c>
      <c r="AD9" s="1">
        <f>SUM(Румыния_Played)</f>
        <v>0</v>
      </c>
      <c r="AE9" s="1">
        <f>SUM(Румыния_Against)</f>
        <v>0</v>
      </c>
      <c r="AF9" s="1">
        <f>AD9-AE9</f>
        <v>0</v>
      </c>
      <c r="AG9" s="1" t="e">
        <f>AA9*Winpoints+AC9*Drawpoints</f>
        <v>#REF!</v>
      </c>
      <c r="AH9" s="1" t="e">
        <f>IF($AG9&lt;=$AG8,$Y9,$Y8)</f>
        <v>#REF!</v>
      </c>
      <c r="AI9" s="1" t="e">
        <f>VLOOKUP($AH9,$Y8:$AG11,9,FALSE)</f>
        <v>#REF!</v>
      </c>
      <c r="AJ9" s="1" t="e">
        <f>IF(AI9&gt;=AI11,AH9,AH11)</f>
        <v>#REF!</v>
      </c>
      <c r="AK9" s="1" t="e">
        <f>VLOOKUP($AJ9,$Y8:$AG11,9,FALSE)</f>
        <v>#REF!</v>
      </c>
      <c r="AL9" s="1" t="e">
        <f>IF($AK9&gt;=$AK10,$AJ9,$AJ10)</f>
        <v>#REF!</v>
      </c>
      <c r="AM9" s="1" t="e">
        <f>VLOOKUP($AL9,$Y8:$AG11,9,FALSE)</f>
        <v>#REF!</v>
      </c>
      <c r="AN9" s="1" t="e">
        <f>VLOOKUP($AL9,$Y8:$AG11,8,FALSE)</f>
        <v>#REF!</v>
      </c>
      <c r="AO9" s="1" t="e">
        <f>IF(AND($AM8=$AM9,$AN9&gt;$AN8),$AL8,$AL9)</f>
        <v>#REF!</v>
      </c>
      <c r="AP9" s="1" t="e">
        <f>VLOOKUP($AO9,$Y8:$AG11,9,FALSE)</f>
        <v>#REF!</v>
      </c>
      <c r="AQ9" s="1" t="e">
        <f>VLOOKUP($AO9,$Y8:$AG11,8,FALSE)</f>
        <v>#REF!</v>
      </c>
      <c r="AR9" s="1" t="e">
        <f>IF(AND($AP9=$AP11,$AQ11&gt;$AQ9),$AO11,$AO9)</f>
        <v>#REF!</v>
      </c>
      <c r="AS9" s="1" t="e">
        <f>VLOOKUP($AR9,$Y8:$AG11,9,FALSE)</f>
        <v>#REF!</v>
      </c>
      <c r="AT9" s="1" t="e">
        <f>VLOOKUP($AR9,$Y8:$AG11,8,FALSE)</f>
        <v>#REF!</v>
      </c>
      <c r="AU9" s="1" t="e">
        <f>IF(AND($AS9=$AS10,$AT10&gt;$AT9),$AR10,$AR9)</f>
        <v>#REF!</v>
      </c>
      <c r="AV9" s="1" t="e">
        <f>VLOOKUP($AU9,$Y8:$AG11,9,FALSE)</f>
        <v>#REF!</v>
      </c>
      <c r="AW9" s="1" t="e">
        <f>VLOOKUP($AU9,$Y8:$AG11,8,FALSE)</f>
        <v>#REF!</v>
      </c>
      <c r="AX9" s="1" t="e">
        <f>VLOOKUP($AU9,$Y8:$AG11,6,FALSE)</f>
        <v>#REF!</v>
      </c>
      <c r="AY9" s="1" t="e">
        <f>IF(AND($AV8=$AV9,$AW8=$AW9,$AX9&gt;$AX8),$AU8,$AU9)</f>
        <v>#REF!</v>
      </c>
      <c r="AZ9" s="1" t="e">
        <f>VLOOKUP($AY9,$Y8:$AG11,9,FALSE)</f>
        <v>#REF!</v>
      </c>
      <c r="BA9" s="1" t="e">
        <f>VLOOKUP($AY9,$Y8:$AG11,8,FALSE)</f>
        <v>#REF!</v>
      </c>
      <c r="BB9" s="1" t="e">
        <f>VLOOKUP($AY9,$Y8:$AG11,6,FALSE)</f>
        <v>#REF!</v>
      </c>
      <c r="BC9" s="1" t="e">
        <f>IF(AND($AZ9=$AZ11,$BA9=$BA11,$BB11&gt;$BB9),$AY11,$AY9)</f>
        <v>#REF!</v>
      </c>
      <c r="BD9" s="1" t="e">
        <f>VLOOKUP($BC9,$Y8:$AG11,9,FALSE)</f>
        <v>#REF!</v>
      </c>
      <c r="BE9" s="1" t="e">
        <f>VLOOKUP($BC9,$Y8:$AG11,8,FALSE)</f>
        <v>#REF!</v>
      </c>
      <c r="BF9" s="1" t="e">
        <f>VLOOKUP($BC9,$Y8:$AG11,6,FALSE)</f>
        <v>#REF!</v>
      </c>
      <c r="BG9" s="1" t="e">
        <f>IF(AND($BD9=$BD10,$BE9=$BE10,$BF10&gt;$BF9),$BC10,$BC9)</f>
        <v>#REF!</v>
      </c>
      <c r="BH9" s="1" t="e">
        <f>VLOOKUP($BG9,$Y8:$AG11,9,FALSE)</f>
        <v>#REF!</v>
      </c>
      <c r="BI9" s="1" t="e">
        <f>VLOOKUP($BG9,$Y8:$AG11,8,FALSE)</f>
        <v>#REF!</v>
      </c>
      <c r="BJ9" s="1" t="e">
        <f>VLOOKUP($BG9,$Y8:$AG11,6,FALSE)</f>
        <v>#REF!</v>
      </c>
      <c r="BN9" s="1" t="e">
        <f>BG9</f>
        <v>#REF!</v>
      </c>
      <c r="BO9" s="1" t="e">
        <f>VLOOKUP($BN9,$Y8:$AG11,2,FALSE)</f>
        <v>#REF!</v>
      </c>
      <c r="BP9" s="1" t="e">
        <f>VLOOKUP($BN9,$Y8:$AG11,3,FALSE)</f>
        <v>#REF!</v>
      </c>
      <c r="BQ9" s="1" t="e">
        <f>VLOOKUP($BN9,$Y8:$AG11,4,FALSE)</f>
        <v>#REF!</v>
      </c>
      <c r="BR9" s="1" t="e">
        <f>VLOOKUP($BN9,$Y8:$AG11,5,FALSE)</f>
        <v>#REF!</v>
      </c>
      <c r="BS9" s="1" t="e">
        <f>VLOOKUP($BN9,$Y8:$AG11,6,FALSE)</f>
        <v>#REF!</v>
      </c>
      <c r="BT9" s="1" t="e">
        <f>VLOOKUP($BN9,$Y8:$AG11,7,FALSE)</f>
        <v>#REF!</v>
      </c>
      <c r="BU9" s="1" t="e">
        <f>VLOOKUP($BN9,$Y8:$AG11,8,FALSE)</f>
        <v>#REF!</v>
      </c>
      <c r="BV9" s="1" t="e">
        <f>VLOOKUP($BN9,$Y8:$AG11,9,FALSE)</f>
        <v>#REF!</v>
      </c>
      <c r="BX9" s="86" t="e">
        <f>IF($BX$4="","",IF($BX$4="Франция",CONCATENATE(#REF!),IF($BX$4="Россия",CONCATENATE(#REF!),"")))</f>
        <v>#REF!</v>
      </c>
      <c r="BY9" s="86" t="e">
        <f>IF($BX$4="","",IF($BX$4="Франция",CONCATENATE(#REF!),IF($BX$4="Россия",CONCATENATE(#REF!),"")))</f>
        <v>#REF!</v>
      </c>
      <c r="BZ9" s="38" t="s">
        <v>50</v>
      </c>
      <c r="CB9" s="27" t="s">
        <v>26</v>
      </c>
      <c r="CC9" s="27" t="e">
        <f t="shared" ref="CC9:CJ9" si="5">P15</f>
        <v>#REF!</v>
      </c>
      <c r="CD9" s="27" t="e">
        <f t="shared" si="5"/>
        <v>#REF!</v>
      </c>
      <c r="CE9" s="27" t="e">
        <f t="shared" si="5"/>
        <v>#REF!</v>
      </c>
      <c r="CF9" s="27" t="e">
        <f t="shared" si="5"/>
        <v>#REF!</v>
      </c>
      <c r="CG9" s="27" t="e">
        <f t="shared" si="5"/>
        <v>#REF!</v>
      </c>
      <c r="CH9" s="27" t="e">
        <f t="shared" si="5"/>
        <v>#REF!</v>
      </c>
      <c r="CI9" s="27" t="e">
        <f t="shared" si="5"/>
        <v>#REF!</v>
      </c>
      <c r="CJ9" s="27" t="e">
        <f t="shared" si="5"/>
        <v>#REF!</v>
      </c>
      <c r="CK9" s="27" t="e">
        <f>IF($CJ9&lt;=$CJ8,$CB9,$CB8)</f>
        <v>#REF!</v>
      </c>
      <c r="CL9" s="27" t="e">
        <f>VLOOKUP($CK9,$CB8:$CJ10,9,FALSE)</f>
        <v>#REF!</v>
      </c>
      <c r="CM9" s="27" t="e">
        <f>IF($CL9&gt;=$CL12,$CK9,$CK12)</f>
        <v>#REF!</v>
      </c>
      <c r="CN9" s="27" t="e">
        <f t="shared" ref="CN9:CN13" si="6">VLOOKUP($CM9,$CB$8:$CJ$13,9,FALSE)</f>
        <v>#REF!</v>
      </c>
      <c r="CO9" s="27" t="e">
        <f>IF($CN9&gt;=$CN13,$CM9,$CM13)</f>
        <v>#REF!</v>
      </c>
      <c r="CP9" s="27" t="e">
        <f>VLOOKUP($CO9,$CB$8:$CJ$13,9,FALSE)</f>
        <v>#REF!</v>
      </c>
      <c r="CQ9" s="27" t="e">
        <f>IF($CP9&gt;=$CP11,$CO9,$CO11)</f>
        <v>#REF!</v>
      </c>
      <c r="CR9" s="27" t="e">
        <f t="shared" ref="CR9:CR13" si="7">VLOOKUP($CQ9,$CB$8:$CJ$13,9,FALSE)</f>
        <v>#REF!</v>
      </c>
      <c r="CS9" s="27" t="e">
        <f>IF($CR9&gt;=$CR10,$CQ9,$CQ10)</f>
        <v>#REF!</v>
      </c>
      <c r="CT9" s="27" t="e">
        <f t="shared" ref="CT9:CT13" si="8">VLOOKUP($CS9,$CB$8:$CJ$13,9,FALSE)</f>
        <v>#REF!</v>
      </c>
      <c r="CU9" s="27" t="e">
        <f t="shared" ref="CU9:CU13" si="9">VLOOKUP($CS9,$CB$8:$CJ$13,8,FALSE)</f>
        <v>#REF!</v>
      </c>
      <c r="CV9" s="27" t="e">
        <f>IF(AND($CT8=$CT9,$CT9&gt;$CT8),$CS8,$CS9)</f>
        <v>#REF!</v>
      </c>
      <c r="CW9" s="27" t="e">
        <f t="shared" ref="CW9:CW13" si="10">VLOOKUP($CV9,$CB$8:$CJ$13,9,FALSE)</f>
        <v>#REF!</v>
      </c>
      <c r="CX9" s="27" t="e">
        <f t="shared" ref="CX9:CX13" si="11">VLOOKUP($CV9,$CB$8:$CJ$13,8,FALSE)</f>
        <v>#REF!</v>
      </c>
      <c r="CY9" s="27" t="e">
        <f>IF(AND($CW9=$CW12,$CX12&gt;$CX9),$CV12,$CV9)</f>
        <v>#REF!</v>
      </c>
      <c r="CZ9" s="27" t="e">
        <f t="shared" ref="CZ9:CZ13" si="12">VLOOKUP($CY9,$CB$8:$CJ$13,9,FALSE)</f>
        <v>#REF!</v>
      </c>
      <c r="DA9" s="27" t="e">
        <f t="shared" ref="DA9:DA13" si="13">VLOOKUP($CY9,$CB$8:$CJ$13,8,FALSE)</f>
        <v>#REF!</v>
      </c>
      <c r="DB9" s="27" t="e">
        <f>IF(AND($CZ9=$CZ13,$DA13&gt;$DA9),$CY13,$CY9)</f>
        <v>#REF!</v>
      </c>
      <c r="DC9" s="27" t="e">
        <f t="shared" ref="DC9:DC13" si="14">VLOOKUP($DB9,$CB$8:$CJ$13,9,FALSE)</f>
        <v>#REF!</v>
      </c>
      <c r="DD9" s="27" t="e">
        <f t="shared" ref="DD9:DD13" si="15">VLOOKUP($DB9,$CB$8:$CJ$13,8,FALSE)</f>
        <v>#REF!</v>
      </c>
      <c r="DE9" s="27" t="e">
        <f>IF(AND($DC9=$DC11,$DD11&gt;$DD9),$DB11,$DB9)</f>
        <v>#REF!</v>
      </c>
      <c r="DF9" s="27" t="e">
        <f t="shared" ref="DF9:DF13" si="16">VLOOKUP($DE9,$CB$8:$CJ$13,9,FALSE)</f>
        <v>#REF!</v>
      </c>
      <c r="DG9" s="27" t="e">
        <f t="shared" ref="DG9:DG13" si="17">VLOOKUP($DE9,$CB$8:$CJ$13,8,FALSE)</f>
        <v>#REF!</v>
      </c>
      <c r="DH9" s="27" t="e">
        <f>IF(AND($DF9=$DF10,$DG10&gt;$DG9),$DE10,$DE9)</f>
        <v>#REF!</v>
      </c>
      <c r="DI9" s="27" t="e">
        <f t="shared" ref="DI9:DI13" si="18">VLOOKUP($DH9,$CB$8:$CJ$13,9,FALSE)</f>
        <v>#REF!</v>
      </c>
      <c r="DJ9" s="27" t="e">
        <f t="shared" ref="DJ9:DJ13" si="19">VLOOKUP($DH9,$CB$8:$CJ$13,8,FALSE)</f>
        <v>#REF!</v>
      </c>
      <c r="DK9" s="27" t="e">
        <f t="shared" ref="DK9:DK13" si="20">VLOOKUP($DH9,$CB$8:$CJ$13,6,FALSE)</f>
        <v>#REF!</v>
      </c>
      <c r="DL9" s="27" t="e">
        <f>IF(AND($DI8=$DI9,$DJ8=$DJ9,$DK9&gt;$DK8),$DH8,$DH9)</f>
        <v>#REF!</v>
      </c>
      <c r="DM9" s="27" t="e">
        <f t="shared" ref="DM9:DM13" si="21">VLOOKUP($DL9,$CB$8:$CJ$13,9,FALSE)</f>
        <v>#REF!</v>
      </c>
      <c r="DN9" s="27" t="e">
        <f t="shared" ref="DN9:DN13" si="22">VLOOKUP($DL9,$CB$8:$CJ$13,8,FALSE)</f>
        <v>#REF!</v>
      </c>
      <c r="DO9" s="27" t="e">
        <f t="shared" ref="DO9:DO13" si="23">VLOOKUP($DL9,$CB$8:$CJ$13,6,FALSE)</f>
        <v>#REF!</v>
      </c>
      <c r="DP9" s="27" t="e">
        <f>IF(AND($DM9=$DM12,$DN9=$DN12,$DO12&gt;$DO9),$DL12,$DL9)</f>
        <v>#REF!</v>
      </c>
      <c r="DQ9" s="27" t="e">
        <f t="shared" ref="DQ9:DQ13" si="24">VLOOKUP($DP9,$CB$8:$CJ$13,9,FALSE)</f>
        <v>#REF!</v>
      </c>
      <c r="DR9" s="27" t="e">
        <f t="shared" ref="DR9:DR13" si="25">VLOOKUP($DP9,$CB$8:$CJ$13,8,FALSE)</f>
        <v>#REF!</v>
      </c>
      <c r="DS9" s="27" t="e">
        <f t="shared" ref="DS9:DS13" si="26">VLOOKUP($DP9,$CB$8:$CJ$13,6,FALSE)</f>
        <v>#REF!</v>
      </c>
      <c r="DT9" s="27" t="e">
        <f>IF(AND($DQ9=$DQ13,$DR9=$DR13,$DS13&gt;$DS9),$DP13,$DP9)</f>
        <v>#REF!</v>
      </c>
      <c r="DU9" s="27" t="e">
        <f t="shared" ref="DU9:DU13" si="27">VLOOKUP($DT9,$CB$8:$CJ$13,9,FALSE)</f>
        <v>#REF!</v>
      </c>
      <c r="DV9" s="27" t="e">
        <f t="shared" ref="DV9:DV13" si="28">VLOOKUP($DT9,$CB$8:$CJ$13,8,FALSE)</f>
        <v>#REF!</v>
      </c>
      <c r="DW9" s="27" t="e">
        <f t="shared" ref="DW9:DW13" si="29">VLOOKUP($DT9,$CB$8:$CJ$13,6,FALSE)</f>
        <v>#REF!</v>
      </c>
      <c r="DX9" s="27" t="e">
        <f>IF(AND($DU9=$DU11,$DV9=$DV11,$DW11&gt;$DW9),$DT11,$DT9)</f>
        <v>#REF!</v>
      </c>
      <c r="DY9" s="27" t="e">
        <f t="shared" ref="DY9:DY13" si="30">VLOOKUP($DX9,$CB$8:$CJ$13,9,FALSE)</f>
        <v>#REF!</v>
      </c>
      <c r="DZ9" s="27" t="e">
        <f t="shared" ref="DZ9:DZ13" si="31">VLOOKUP($DX9,$CB$8:$CJ$13,8,FALSE)</f>
        <v>#REF!</v>
      </c>
      <c r="EA9" s="27" t="e">
        <f t="shared" ref="EA9:EA13" si="32">VLOOKUP($DX9,$CB$8:$CJ$13,6,FALSE)</f>
        <v>#REF!</v>
      </c>
      <c r="EB9" s="80" t="e">
        <f>IF(AND($DY9=$DY10,$DZ9=$DZ10,$EA10&gt;$EA9),$DX10,$DX9)</f>
        <v>#REF!</v>
      </c>
      <c r="EC9" s="27" t="e">
        <f t="shared" ref="EC9:EC13" si="33">VLOOKUP($EB9,$CB$8:$CJ$13,9,FALSE)</f>
        <v>#REF!</v>
      </c>
      <c r="ED9" s="27" t="e">
        <f t="shared" ref="ED9:ED13" si="34">VLOOKUP($EB9,$CB$8:$CJ$13,8,FALSE)</f>
        <v>#REF!</v>
      </c>
      <c r="EE9" s="27" t="e">
        <f t="shared" ref="EE9:EE13" si="35">VLOOKUP($EB9,$CB$8:$CJ$13,6,FALSE)</f>
        <v>#REF!</v>
      </c>
    </row>
    <row r="10" spans="2:135" ht="13.5" thickBot="1" x14ac:dyDescent="0.25">
      <c r="B10" s="44">
        <v>42532</v>
      </c>
      <c r="C10" s="71">
        <v>0.91666666666666663</v>
      </c>
      <c r="D10" s="31">
        <v>4</v>
      </c>
      <c r="E10" s="33" t="s">
        <v>50</v>
      </c>
      <c r="F10" s="57"/>
      <c r="G10" s="57"/>
      <c r="H10" s="36" t="s">
        <v>46</v>
      </c>
      <c r="I10" s="36" t="e">
        <f t="shared" si="1"/>
        <v>#N/A</v>
      </c>
      <c r="J10" s="50" t="s">
        <v>86</v>
      </c>
      <c r="K10" s="20" t="e">
        <f t="shared" si="2"/>
        <v>#REF!</v>
      </c>
      <c r="L10" s="1" t="str">
        <f t="shared" si="0"/>
        <v/>
      </c>
      <c r="M10" s="1" t="str">
        <f t="shared" si="3"/>
        <v/>
      </c>
      <c r="Y10" s="1" t="s">
        <v>68</v>
      </c>
      <c r="Z10" s="1">
        <f>COUNT(Албания_Played)</f>
        <v>0</v>
      </c>
      <c r="AA10" s="1">
        <f>COUNTIF(Groupstage_Winners,"Албания")</f>
        <v>0</v>
      </c>
      <c r="AB10" s="1">
        <f>COUNTIF(Groupstage_Losers,"Албания")</f>
        <v>0</v>
      </c>
      <c r="AC10" s="1">
        <f>Z10-(AA10+AB10)</f>
        <v>0</v>
      </c>
      <c r="AD10" s="1">
        <f>SUM(Албания_Played)</f>
        <v>0</v>
      </c>
      <c r="AE10" s="1">
        <f>SUM(Албания_Against)</f>
        <v>0</v>
      </c>
      <c r="AF10" s="1">
        <f>AD10-AE10</f>
        <v>0</v>
      </c>
      <c r="AG10" s="1" t="e">
        <f>AA10*Winpoints+AC10*Drawpoints</f>
        <v>#REF!</v>
      </c>
      <c r="AH10" s="1" t="e">
        <f>IF($AG10&gt;=$AG11,$Y10,$Y11)</f>
        <v>#REF!</v>
      </c>
      <c r="AI10" s="1" t="e">
        <f>VLOOKUP($AH10,$Y8:$AG11,9,FALSE)</f>
        <v>#REF!</v>
      </c>
      <c r="AJ10" s="1" t="e">
        <f>IF($AI10&lt;=$AI8,$AH10,$AH8)</f>
        <v>#REF!</v>
      </c>
      <c r="AK10" s="1" t="e">
        <f>VLOOKUP($AJ10,$Y8:$AG11,9,FALSE)</f>
        <v>#REF!</v>
      </c>
      <c r="AL10" s="1" t="e">
        <f>IF($AK10&lt;=$AK9,$AJ10,$AJ9)</f>
        <v>#REF!</v>
      </c>
      <c r="AM10" s="1" t="e">
        <f>VLOOKUP($AL10,$Y8:$AG11,9,FALSE)</f>
        <v>#REF!</v>
      </c>
      <c r="AN10" s="1" t="e">
        <f>VLOOKUP($AL10,$Y8:$AG11,8,FALSE)</f>
        <v>#REF!</v>
      </c>
      <c r="AO10" s="1" t="e">
        <f>IF(AND($AM10=$AM11,$AN11&gt;$AN10),$AL11,$AL10)</f>
        <v>#REF!</v>
      </c>
      <c r="AP10" s="1" t="e">
        <f>VLOOKUP($AO10,$Y8:$AG11,9,FALSE)</f>
        <v>#REF!</v>
      </c>
      <c r="AQ10" s="1" t="e">
        <f>VLOOKUP($AO10,$Y8:$AG11,8,FALSE)</f>
        <v>#REF!</v>
      </c>
      <c r="AR10" s="1" t="e">
        <f>IF(AND($AP8=$AP10,$AQ10&gt;$AQ8),$AO8,$AO10)</f>
        <v>#REF!</v>
      </c>
      <c r="AS10" s="1" t="e">
        <f>VLOOKUP($AR10,$Y8:$AG11,9,FALSE)</f>
        <v>#REF!</v>
      </c>
      <c r="AT10" s="1" t="e">
        <f>VLOOKUP($AR10,$Y8:$AG11,8,FALSE)</f>
        <v>#REF!</v>
      </c>
      <c r="AU10" s="1" t="e">
        <f>IF(AND($AS9=$AS10,$AT10&gt;$AT9),$AR9,$AR10)</f>
        <v>#REF!</v>
      </c>
      <c r="AV10" s="1" t="e">
        <f>VLOOKUP($AU10,$Y8:$AG11,9,FALSE)</f>
        <v>#REF!</v>
      </c>
      <c r="AW10" s="1" t="e">
        <f>VLOOKUP($AU10,$Y8:$AG11,8,FALSE)</f>
        <v>#REF!</v>
      </c>
      <c r="AX10" s="1" t="e">
        <f>VLOOKUP($AU10,$Y8:$AG11,6,FALSE)</f>
        <v>#REF!</v>
      </c>
      <c r="AY10" s="1" t="e">
        <f>IF(AND($AV10=$AV11,$AW10=$AW11,$AX11&gt;$AX10),$AU11,$AU10)</f>
        <v>#REF!</v>
      </c>
      <c r="AZ10" s="1" t="e">
        <f>VLOOKUP($AY10,$Y8:$AG11,9,FALSE)</f>
        <v>#REF!</v>
      </c>
      <c r="BA10" s="1" t="e">
        <f>VLOOKUP($AY10,$Y8:$AG11,8,FALSE)</f>
        <v>#REF!</v>
      </c>
      <c r="BB10" s="1" t="e">
        <f>VLOOKUP($AY10,$Y8:$AG11,6,FALSE)</f>
        <v>#REF!</v>
      </c>
      <c r="BC10" s="1" t="e">
        <f>IF(AND($AZ8=$AZ10,$BA8=$BA10,$BB10&gt;$BB8),$AY8,$AY10)</f>
        <v>#REF!</v>
      </c>
      <c r="BD10" s="1" t="e">
        <f>VLOOKUP($BC10,$Y8:$AG11,9,FALSE)</f>
        <v>#REF!</v>
      </c>
      <c r="BE10" s="1" t="e">
        <f>VLOOKUP($BC10,$Y8:$AG11,8,FALSE)</f>
        <v>#REF!</v>
      </c>
      <c r="BF10" s="1" t="e">
        <f>VLOOKUP($BC10,$Y8:$AG11,6,FALSE)</f>
        <v>#REF!</v>
      </c>
      <c r="BG10" s="1" t="e">
        <f>IF(AND($BD9=$BD10,$BE9=$BE10,$BF10&gt;$BF9),$BC9,$BC10)</f>
        <v>#REF!</v>
      </c>
      <c r="BH10" s="1" t="e">
        <f>VLOOKUP($BG10,$Y8:$AG11,9,FALSE)</f>
        <v>#REF!</v>
      </c>
      <c r="BI10" s="1" t="e">
        <f>VLOOKUP($BG10,$Y8:$AG11,8,FALSE)</f>
        <v>#REF!</v>
      </c>
      <c r="BJ10" s="1" t="e">
        <f>VLOOKUP($BG10,$Y8:$AG11,6,FALSE)</f>
        <v>#REF!</v>
      </c>
      <c r="BN10" s="1" t="e">
        <f>BG10</f>
        <v>#REF!</v>
      </c>
      <c r="BO10" s="1" t="e">
        <f>VLOOKUP($BN10,$Y8:$AG11,2,FALSE)</f>
        <v>#REF!</v>
      </c>
      <c r="BP10" s="1" t="e">
        <f>VLOOKUP($BN10,$Y8:$AG11,3,FALSE)</f>
        <v>#REF!</v>
      </c>
      <c r="BQ10" s="1" t="e">
        <f>VLOOKUP($BN10,$Y8:$AG11,4,FALSE)</f>
        <v>#REF!</v>
      </c>
      <c r="BR10" s="1" t="e">
        <f>VLOOKUP($BN10,$Y8:$AG11,5,FALSE)</f>
        <v>#REF!</v>
      </c>
      <c r="BS10" s="1" t="e">
        <f>VLOOKUP($BN10,$Y8:$AG11,6,FALSE)</f>
        <v>#REF!</v>
      </c>
      <c r="BT10" s="1" t="e">
        <f>VLOOKUP($BN10,$Y8:$AG11,7,FALSE)</f>
        <v>#REF!</v>
      </c>
      <c r="BU10" s="1" t="e">
        <f>VLOOKUP($BN10,$Y8:$AG11,8,FALSE)</f>
        <v>#REF!</v>
      </c>
      <c r="BV10" s="1" t="e">
        <f>VLOOKUP($BN10,$Y8:$AG11,9,FALSE)</f>
        <v>#REF!</v>
      </c>
      <c r="BX10" s="86" t="e">
        <f>IF($BX$4="","",IF($BX$4="Франция",CONCATENATE(#REF!),IF($BX$4="Россия",CONCATENATE(#REF!),"")))</f>
        <v>#REF!</v>
      </c>
      <c r="BY10" s="86" t="e">
        <f>IF($BX$4="","",IF($BX$4="Франция",CONCATENATE(#REF!),IF($BX$4="Россия",CONCATENATE(#REF!),"")))</f>
        <v>#REF!</v>
      </c>
      <c r="BZ10" s="38" t="s">
        <v>55</v>
      </c>
      <c r="CB10" s="27" t="s">
        <v>27</v>
      </c>
      <c r="CC10" s="27" t="e">
        <f t="shared" ref="CC10:CJ10" si="36">P22</f>
        <v>#REF!</v>
      </c>
      <c r="CD10" s="27" t="e">
        <f t="shared" si="36"/>
        <v>#REF!</v>
      </c>
      <c r="CE10" s="27" t="e">
        <f t="shared" si="36"/>
        <v>#REF!</v>
      </c>
      <c r="CF10" s="27" t="e">
        <f t="shared" si="36"/>
        <v>#REF!</v>
      </c>
      <c r="CG10" s="27" t="e">
        <f t="shared" si="36"/>
        <v>#REF!</v>
      </c>
      <c r="CH10" s="27" t="e">
        <f t="shared" si="36"/>
        <v>#REF!</v>
      </c>
      <c r="CI10" s="27" t="e">
        <f t="shared" si="36"/>
        <v>#REF!</v>
      </c>
      <c r="CJ10" s="27" t="e">
        <f t="shared" si="36"/>
        <v>#REF!</v>
      </c>
      <c r="CK10" s="27" t="e">
        <f>IF($CJ10&gt;=$CJ11,$CB10,$CB11)</f>
        <v>#REF!</v>
      </c>
      <c r="CL10" s="27" t="e">
        <f t="shared" ref="CL10:CL11" si="37">VLOOKUP($CK10,$CB9:$CJ11,9,FALSE)</f>
        <v>#REF!</v>
      </c>
      <c r="CM10" s="27" t="e">
        <f>IF($CL10&lt;=$CL8,$CK10,$CK8)</f>
        <v>#REF!</v>
      </c>
      <c r="CN10" s="27" t="e">
        <f t="shared" si="6"/>
        <v>#REF!</v>
      </c>
      <c r="CO10" s="27" t="e">
        <f>IF($CN10&gt;=$CN11,$CM10,$CM11)</f>
        <v>#REF!</v>
      </c>
      <c r="CP10" s="27" t="e">
        <f t="shared" ref="CP10:CP13" si="38">VLOOKUP($CO10,$CB$8:$CJ$13,9,FALSE)</f>
        <v>#REF!</v>
      </c>
      <c r="CQ10" s="27" t="e">
        <f>IF($CP10&gt;=$CP13,$CO10,$CO13)</f>
        <v>#REF!</v>
      </c>
      <c r="CR10" s="27" t="e">
        <f t="shared" si="7"/>
        <v>#REF!</v>
      </c>
      <c r="CS10" s="27" t="e">
        <f>IF($CR10&lt;=$CR9,$CQ10,$CQ9)</f>
        <v>#REF!</v>
      </c>
      <c r="CT10" s="27" t="e">
        <f t="shared" si="8"/>
        <v>#REF!</v>
      </c>
      <c r="CU10" s="27" t="e">
        <f t="shared" si="9"/>
        <v>#REF!</v>
      </c>
      <c r="CV10" s="27" t="e">
        <f>IF(AND($CT10=$CT11,$CT11&gt;$CT10),$CS11,$CS10)</f>
        <v>#REF!</v>
      </c>
      <c r="CW10" s="27" t="e">
        <f t="shared" si="10"/>
        <v>#REF!</v>
      </c>
      <c r="CX10" s="27" t="e">
        <f t="shared" si="11"/>
        <v>#REF!</v>
      </c>
      <c r="CY10" s="27" t="e">
        <f>IF(AND($CW8=$CW10,$CX10&gt;$CX8),$CV8,$CV10)</f>
        <v>#REF!</v>
      </c>
      <c r="CZ10" s="27" t="e">
        <f t="shared" si="12"/>
        <v>#REF!</v>
      </c>
      <c r="DA10" s="27" t="e">
        <f t="shared" si="13"/>
        <v>#REF!</v>
      </c>
      <c r="DB10" s="27" t="e">
        <f>IF(AND($CZ10=$CZ12,$DA12&gt;$DA10),$CY12,$CY10)</f>
        <v>#REF!</v>
      </c>
      <c r="DC10" s="27" t="e">
        <f t="shared" si="14"/>
        <v>#REF!</v>
      </c>
      <c r="DD10" s="27" t="e">
        <f t="shared" si="15"/>
        <v>#REF!</v>
      </c>
      <c r="DE10" s="27" t="e">
        <f>IF(AND($DC10=$DC13,$DD13&gt;$DD10),$DB13,$DB10)</f>
        <v>#REF!</v>
      </c>
      <c r="DF10" s="27" t="e">
        <f t="shared" si="16"/>
        <v>#REF!</v>
      </c>
      <c r="DG10" s="27" t="e">
        <f t="shared" si="17"/>
        <v>#REF!</v>
      </c>
      <c r="DH10" s="27" t="e">
        <f>IF(AND($DF9=$DF10,$DG10&gt;$DG9),$DE9,$DE10)</f>
        <v>#REF!</v>
      </c>
      <c r="DI10" s="27" t="e">
        <f t="shared" si="18"/>
        <v>#REF!</v>
      </c>
      <c r="DJ10" s="27" t="e">
        <f t="shared" si="19"/>
        <v>#REF!</v>
      </c>
      <c r="DK10" s="27" t="e">
        <f t="shared" si="20"/>
        <v>#REF!</v>
      </c>
      <c r="DL10" s="27" t="e">
        <f>IF(AND($DI10=$DI11,$DJ10=$DJ11,$DK11&gt;$DK10),$DH11,$DH10)</f>
        <v>#REF!</v>
      </c>
      <c r="DM10" s="27" t="e">
        <f t="shared" si="21"/>
        <v>#REF!</v>
      </c>
      <c r="DN10" s="27" t="e">
        <f t="shared" si="22"/>
        <v>#REF!</v>
      </c>
      <c r="DO10" s="27" t="e">
        <f t="shared" si="23"/>
        <v>#REF!</v>
      </c>
      <c r="DP10" s="27" t="e">
        <f>IF(AND($DM8=$DM10,$DN8=$DN10,$DO10&gt;$DO8),$DL8,$DL10)</f>
        <v>#REF!</v>
      </c>
      <c r="DQ10" s="27" t="e">
        <f t="shared" si="24"/>
        <v>#REF!</v>
      </c>
      <c r="DR10" s="27" t="e">
        <f t="shared" si="25"/>
        <v>#REF!</v>
      </c>
      <c r="DS10" s="27" t="e">
        <f t="shared" si="26"/>
        <v>#REF!</v>
      </c>
      <c r="DT10" s="27" t="e">
        <f>IF(AND($DQ10=$DQ12,$DR10=$DR12,$DS12&gt;$DS10),$DP12,$DP10)</f>
        <v>#REF!</v>
      </c>
      <c r="DU10" s="27" t="e">
        <f t="shared" si="27"/>
        <v>#REF!</v>
      </c>
      <c r="DV10" s="27" t="e">
        <f t="shared" si="28"/>
        <v>#REF!</v>
      </c>
      <c r="DW10" s="27" t="e">
        <f t="shared" si="29"/>
        <v>#REF!</v>
      </c>
      <c r="DX10" s="27" t="e">
        <f>IF(AND($DU10=$DU13,$DV10=$DV13,$DW13&gt;$DW10),$DT13,$DT10)</f>
        <v>#REF!</v>
      </c>
      <c r="DY10" s="27" t="e">
        <f t="shared" si="30"/>
        <v>#REF!</v>
      </c>
      <c r="DZ10" s="27" t="e">
        <f t="shared" si="31"/>
        <v>#REF!</v>
      </c>
      <c r="EA10" s="27" t="e">
        <f t="shared" si="32"/>
        <v>#REF!</v>
      </c>
      <c r="EB10" s="80" t="e">
        <f>IF(AND($DY9=$DY10,$DZ9=$DZ10,$EA10&gt;$EA9),$DX9,$DX10)</f>
        <v>#REF!</v>
      </c>
      <c r="EC10" s="27" t="e">
        <f t="shared" si="33"/>
        <v>#REF!</v>
      </c>
      <c r="ED10" s="27" t="e">
        <f t="shared" si="34"/>
        <v>#REF!</v>
      </c>
      <c r="EE10" s="27" t="e">
        <f t="shared" si="35"/>
        <v>#REF!</v>
      </c>
    </row>
    <row r="11" spans="2:135" ht="15.75" thickBot="1" x14ac:dyDescent="0.25">
      <c r="B11" s="44">
        <v>42533</v>
      </c>
      <c r="C11" s="71">
        <v>0.66666666666666663</v>
      </c>
      <c r="D11" s="31">
        <v>5</v>
      </c>
      <c r="E11" s="33" t="s">
        <v>71</v>
      </c>
      <c r="F11" s="57"/>
      <c r="G11" s="57"/>
      <c r="H11" s="36" t="s">
        <v>49</v>
      </c>
      <c r="I11" s="36" t="e">
        <f t="shared" si="1"/>
        <v>#N/A</v>
      </c>
      <c r="J11" s="50" t="s">
        <v>79</v>
      </c>
      <c r="K11" s="20" t="e">
        <f t="shared" si="2"/>
        <v>#REF!</v>
      </c>
      <c r="L11" s="1" t="str">
        <f t="shared" si="0"/>
        <v/>
      </c>
      <c r="M11" s="1" t="str">
        <f t="shared" si="3"/>
        <v/>
      </c>
      <c r="O11" s="51" t="s">
        <v>35</v>
      </c>
      <c r="P11" s="52"/>
      <c r="Q11" s="52"/>
      <c r="R11" s="52"/>
      <c r="S11" s="52"/>
      <c r="T11" s="52"/>
      <c r="U11" s="52"/>
      <c r="V11" s="52"/>
      <c r="W11" s="53"/>
      <c r="Y11" s="1" t="s">
        <v>51</v>
      </c>
      <c r="Z11" s="1">
        <f>COUNT(Швейцария_Played)</f>
        <v>0</v>
      </c>
      <c r="AA11" s="1">
        <f>COUNTIF(Groupstage_Winners,"Швейцария")</f>
        <v>0</v>
      </c>
      <c r="AB11" s="1">
        <f>COUNTIF(Groupstage_Losers,"Швейцария")</f>
        <v>0</v>
      </c>
      <c r="AC11" s="1">
        <f>Z11-(AA11+AB11)</f>
        <v>0</v>
      </c>
      <c r="AD11" s="1">
        <f>SUM(Швейцария_Played)</f>
        <v>0</v>
      </c>
      <c r="AE11" s="1">
        <f>SUM(Швейцария_Against)</f>
        <v>0</v>
      </c>
      <c r="AF11" s="1">
        <f>AD11-AE11</f>
        <v>0</v>
      </c>
      <c r="AG11" s="1" t="e">
        <f>AA11*Winpoints+AC11*Drawpoints</f>
        <v>#REF!</v>
      </c>
      <c r="AH11" s="1" t="e">
        <f>IF($AG11&lt;=$AG10,$Y11,$Y10)</f>
        <v>#REF!</v>
      </c>
      <c r="AI11" s="1" t="e">
        <f>VLOOKUP($AH11,$Y8:$AG11,9,FALSE)</f>
        <v>#REF!</v>
      </c>
      <c r="AJ11" s="1" t="e">
        <f>IF(AI11&lt;=AI9,AH11,AH9)</f>
        <v>#REF!</v>
      </c>
      <c r="AK11" s="1" t="e">
        <f>VLOOKUP($AJ11,$Y8:$AG11,9,FALSE)</f>
        <v>#REF!</v>
      </c>
      <c r="AL11" s="1" t="e">
        <f>IF($AK11&lt;=$AK8,$AJ11,$AJ8)</f>
        <v>#REF!</v>
      </c>
      <c r="AM11" s="1" t="e">
        <f>VLOOKUP($AL11,$Y8:$AG11,9,FALSE)</f>
        <v>#REF!</v>
      </c>
      <c r="AN11" s="1" t="e">
        <f>VLOOKUP($AL11,$Y8:$AG11,8,FALSE)</f>
        <v>#REF!</v>
      </c>
      <c r="AO11" s="1" t="e">
        <f>IF(AND($AM10=$AM11,$AN11&gt;$AN10),$AL10,$AL11)</f>
        <v>#REF!</v>
      </c>
      <c r="AP11" s="1" t="e">
        <f>VLOOKUP($AO11,$Y8:$AG11,9,FALSE)</f>
        <v>#REF!</v>
      </c>
      <c r="AQ11" s="1" t="e">
        <f>VLOOKUP($AO11,$Y8:$AG11,8,FALSE)</f>
        <v>#REF!</v>
      </c>
      <c r="AR11" s="1" t="e">
        <f>IF(AND($AP9=$AP11,$AQ11&gt;$AQ9),$AO9,$AO11)</f>
        <v>#REF!</v>
      </c>
      <c r="AS11" s="1" t="e">
        <f>VLOOKUP($AR11,$Y8:$AG11,9,FALSE)</f>
        <v>#REF!</v>
      </c>
      <c r="AT11" s="1" t="e">
        <f>VLOOKUP($AR11,$Y8:$AG11,8,FALSE)</f>
        <v>#REF!</v>
      </c>
      <c r="AU11" s="1" t="e">
        <f>IF(AND($AS8=$AS11,$AT11&gt;$AT8),$AR8,$AR11)</f>
        <v>#REF!</v>
      </c>
      <c r="AV11" s="1" t="e">
        <f>VLOOKUP($AU11,$Y8:$AG11,9,FALSE)</f>
        <v>#REF!</v>
      </c>
      <c r="AW11" s="1" t="e">
        <f>VLOOKUP($AU11,$Y8:$AG11,8,FALSE)</f>
        <v>#REF!</v>
      </c>
      <c r="AX11" s="1" t="e">
        <f>VLOOKUP($AU11,$Y8:$AG11,6,FALSE)</f>
        <v>#REF!</v>
      </c>
      <c r="AY11" s="1" t="e">
        <f>IF(AND($AV10=$AV11,$AW10=$AW11,$AX11&gt;$AX10),$AU10,$AU11)</f>
        <v>#REF!</v>
      </c>
      <c r="AZ11" s="1" t="e">
        <f>VLOOKUP($AY11,$Y8:$AG11,9,FALSE)</f>
        <v>#REF!</v>
      </c>
      <c r="BA11" s="1" t="e">
        <f>VLOOKUP($AY11,$Y8:$AG11,8,FALSE)</f>
        <v>#REF!</v>
      </c>
      <c r="BB11" s="1" t="e">
        <f>VLOOKUP($AY11,$Y8:$AG11,6,FALSE)</f>
        <v>#REF!</v>
      </c>
      <c r="BC11" s="1" t="e">
        <f>IF(AND($AZ9=$AZ11,$BA9=$BA11,$BB11&gt;$BB9),$AY9,$AY11)</f>
        <v>#REF!</v>
      </c>
      <c r="BD11" s="1" t="e">
        <f>VLOOKUP($BC11,$Y8:$AG11,9,FALSE)</f>
        <v>#REF!</v>
      </c>
      <c r="BE11" s="1" t="e">
        <f>VLOOKUP($BC11,$Y8:$AG11,8,FALSE)</f>
        <v>#REF!</v>
      </c>
      <c r="BF11" s="1" t="e">
        <f>VLOOKUP($BC11,$Y8:$AG11,6,FALSE)</f>
        <v>#REF!</v>
      </c>
      <c r="BG11" s="1" t="e">
        <f>IF(AND($BD8=$BD11,$BE8=$BE11,$BF11&gt;$BF8),$BC8,$BC11)</f>
        <v>#REF!</v>
      </c>
      <c r="BH11" s="1" t="e">
        <f>VLOOKUP($BG11,$Y8:$AG11,9,FALSE)</f>
        <v>#REF!</v>
      </c>
      <c r="BI11" s="1" t="e">
        <f>VLOOKUP($BG11,$Y8:$AG11,8,FALSE)</f>
        <v>#REF!</v>
      </c>
      <c r="BJ11" s="1" t="e">
        <f>VLOOKUP($BG11,$Y8:$AG11,6,FALSE)</f>
        <v>#REF!</v>
      </c>
      <c r="BN11" s="1" t="e">
        <f>BG11</f>
        <v>#REF!</v>
      </c>
      <c r="BO11" s="1" t="e">
        <f>VLOOKUP($BN11,$Y8:$AG11,2,FALSE)</f>
        <v>#REF!</v>
      </c>
      <c r="BP11" s="1" t="e">
        <f>VLOOKUP($BN11,$Y8:$AG11,3,FALSE)</f>
        <v>#REF!</v>
      </c>
      <c r="BQ11" s="1" t="e">
        <f>VLOOKUP($BN11,$Y8:$AG11,4,FALSE)</f>
        <v>#REF!</v>
      </c>
      <c r="BR11" s="1" t="e">
        <f>VLOOKUP($BN11,$Y8:$AG11,5,FALSE)</f>
        <v>#REF!</v>
      </c>
      <c r="BS11" s="1" t="e">
        <f>VLOOKUP($BN11,$Y8:$AG11,6,FALSE)</f>
        <v>#REF!</v>
      </c>
      <c r="BT11" s="1" t="e">
        <f>VLOOKUP($BN11,$Y8:$AG11,7,FALSE)</f>
        <v>#REF!</v>
      </c>
      <c r="BU11" s="1" t="e">
        <f>VLOOKUP($BN11,$Y8:$AG11,8,FALSE)</f>
        <v>#REF!</v>
      </c>
      <c r="BV11" s="1" t="e">
        <f>VLOOKUP($BN11,$Y8:$AG11,9,FALSE)</f>
        <v>#REF!</v>
      </c>
      <c r="BX11" s="86" t="e">
        <f>IF($BX$4="","",IF($BX$4="Франция",CONCATENATE(#REF!),IF($BX$4="Россия",CONCATENATE(#REF!),"")))</f>
        <v>#REF!</v>
      </c>
      <c r="BY11" s="86" t="e">
        <f>IF($BX$4="","",IF($BX$4="Франция",CONCATENATE(#REF!),IF($BX$4="Россия",CONCATENATE(#REF!),"")))</f>
        <v>#REF!</v>
      </c>
      <c r="BZ11" s="38" t="s">
        <v>72</v>
      </c>
      <c r="CB11" s="27" t="s">
        <v>16</v>
      </c>
      <c r="CC11" s="27" t="e">
        <f t="shared" ref="CC11:CJ11" si="39">P29</f>
        <v>#REF!</v>
      </c>
      <c r="CD11" s="27" t="e">
        <f t="shared" si="39"/>
        <v>#REF!</v>
      </c>
      <c r="CE11" s="27" t="e">
        <f t="shared" si="39"/>
        <v>#REF!</v>
      </c>
      <c r="CF11" s="27" t="e">
        <f t="shared" si="39"/>
        <v>#REF!</v>
      </c>
      <c r="CG11" s="27" t="e">
        <f t="shared" si="39"/>
        <v>#REF!</v>
      </c>
      <c r="CH11" s="27" t="e">
        <f t="shared" si="39"/>
        <v>#REF!</v>
      </c>
      <c r="CI11" s="27" t="e">
        <f t="shared" si="39"/>
        <v>#REF!</v>
      </c>
      <c r="CJ11" s="27" t="e">
        <f t="shared" si="39"/>
        <v>#REF!</v>
      </c>
      <c r="CK11" s="27" t="e">
        <f>IF($CJ11&lt;=$CJ10,$CB11,$CB10)</f>
        <v>#REF!</v>
      </c>
      <c r="CL11" s="27" t="e">
        <f t="shared" si="37"/>
        <v>#REF!</v>
      </c>
      <c r="CM11" s="27" t="e">
        <f>IF($CL11&gt;=$CL13,$CK11,$CK13)</f>
        <v>#REF!</v>
      </c>
      <c r="CN11" s="27" t="e">
        <f t="shared" si="6"/>
        <v>#REF!</v>
      </c>
      <c r="CO11" s="27" t="e">
        <f>IF($CN11&lt;=$CN10,$CM11,$CM10)</f>
        <v>#REF!</v>
      </c>
      <c r="CP11" s="27" t="e">
        <f t="shared" si="38"/>
        <v>#REF!</v>
      </c>
      <c r="CQ11" s="27" t="e">
        <f>IF($CP11&lt;=$CP9,$CO11,$CO9)</f>
        <v>#REF!</v>
      </c>
      <c r="CR11" s="27" t="e">
        <f t="shared" si="7"/>
        <v>#REF!</v>
      </c>
      <c r="CS11" s="27" t="e">
        <f>IF($CR11&gt;=$CR12,$CQ11,$CQ12)</f>
        <v>#REF!</v>
      </c>
      <c r="CT11" s="27" t="e">
        <f t="shared" si="8"/>
        <v>#REF!</v>
      </c>
      <c r="CU11" s="27" t="e">
        <f t="shared" si="9"/>
        <v>#REF!</v>
      </c>
      <c r="CV11" s="27" t="e">
        <f>IF(AND($CT10=$CT11,$CT11&gt;$CT10),$CS10,$CS11)</f>
        <v>#REF!</v>
      </c>
      <c r="CW11" s="27" t="e">
        <f t="shared" si="10"/>
        <v>#REF!</v>
      </c>
      <c r="CX11" s="27" t="e">
        <f t="shared" si="11"/>
        <v>#REF!</v>
      </c>
      <c r="CY11" s="27" t="e">
        <f>IF(AND($CW11=$CW13,$CX13&gt;$CX11),$CV13,$CV11)</f>
        <v>#REF!</v>
      </c>
      <c r="CZ11" s="27" t="e">
        <f t="shared" si="12"/>
        <v>#REF!</v>
      </c>
      <c r="DA11" s="27" t="e">
        <f t="shared" si="13"/>
        <v>#REF!</v>
      </c>
      <c r="DB11" s="27" t="e">
        <f>IF(AND($CZ8=$CZ11,$DA11&gt;$DA8),$CY8,$CY11)</f>
        <v>#REF!</v>
      </c>
      <c r="DC11" s="27" t="e">
        <f t="shared" si="14"/>
        <v>#REF!</v>
      </c>
      <c r="DD11" s="27" t="e">
        <f t="shared" si="15"/>
        <v>#REF!</v>
      </c>
      <c r="DE11" s="27" t="e">
        <f>IF(AND($DC9=$DC11,$DD11&gt;$DD9),$DB9,$DB11)</f>
        <v>#REF!</v>
      </c>
      <c r="DF11" s="27" t="e">
        <f t="shared" si="16"/>
        <v>#REF!</v>
      </c>
      <c r="DG11" s="27" t="e">
        <f t="shared" si="17"/>
        <v>#REF!</v>
      </c>
      <c r="DH11" s="27" t="e">
        <f>IF(AND($DF11=$DF12,$DG12&gt;$DG11),$DE12,$DE11)</f>
        <v>#REF!</v>
      </c>
      <c r="DI11" s="27" t="e">
        <f t="shared" si="18"/>
        <v>#REF!</v>
      </c>
      <c r="DJ11" s="27" t="e">
        <f t="shared" si="19"/>
        <v>#REF!</v>
      </c>
      <c r="DK11" s="27" t="e">
        <f t="shared" si="20"/>
        <v>#REF!</v>
      </c>
      <c r="DL11" s="27" t="e">
        <f>IF(AND($DI10=$DI11,$DJ10=$DJ11,$DK11&gt;$DK10),$DH10,$DH11)</f>
        <v>#REF!</v>
      </c>
      <c r="DM11" s="27" t="e">
        <f t="shared" si="21"/>
        <v>#REF!</v>
      </c>
      <c r="DN11" s="27" t="e">
        <f t="shared" si="22"/>
        <v>#REF!</v>
      </c>
      <c r="DO11" s="27" t="e">
        <f t="shared" si="23"/>
        <v>#REF!</v>
      </c>
      <c r="DP11" s="27" t="e">
        <f>IF(AND($DM11=$DM13,$DN11=$DN13,$DO13&gt;$DO11),$DL13,$DL11)</f>
        <v>#REF!</v>
      </c>
      <c r="DQ11" s="27" t="e">
        <f t="shared" si="24"/>
        <v>#REF!</v>
      </c>
      <c r="DR11" s="27" t="e">
        <f t="shared" si="25"/>
        <v>#REF!</v>
      </c>
      <c r="DS11" s="27" t="e">
        <f t="shared" si="26"/>
        <v>#REF!</v>
      </c>
      <c r="DT11" s="27" t="e">
        <f>IF(AND($DQ8=$DQ11,$DR8=$DR11,$DS11&gt;$DS8),$DP8,$DP11)</f>
        <v>#REF!</v>
      </c>
      <c r="DU11" s="27" t="e">
        <f t="shared" si="27"/>
        <v>#REF!</v>
      </c>
      <c r="DV11" s="27" t="e">
        <f t="shared" si="28"/>
        <v>#REF!</v>
      </c>
      <c r="DW11" s="27" t="e">
        <f t="shared" si="29"/>
        <v>#REF!</v>
      </c>
      <c r="DX11" s="27" t="e">
        <f>IF(AND($DU9=$DU11,$DV9=$DV11,$DW11&gt;$DW9),$DT9,$DT11)</f>
        <v>#REF!</v>
      </c>
      <c r="DY11" s="27" t="e">
        <f t="shared" si="30"/>
        <v>#REF!</v>
      </c>
      <c r="DZ11" s="27" t="e">
        <f t="shared" si="31"/>
        <v>#REF!</v>
      </c>
      <c r="EA11" s="27" t="e">
        <f t="shared" si="32"/>
        <v>#REF!</v>
      </c>
      <c r="EB11" s="80" t="e">
        <f>IF(AND($DY11=$DY12,$DZ11=$DZ12,$EA12&gt;$EA11),$DX12,$DX11)</f>
        <v>#REF!</v>
      </c>
      <c r="EC11" s="27" t="e">
        <f t="shared" si="33"/>
        <v>#REF!</v>
      </c>
      <c r="ED11" s="27" t="e">
        <f t="shared" si="34"/>
        <v>#REF!</v>
      </c>
      <c r="EE11" s="27" t="e">
        <f t="shared" si="35"/>
        <v>#REF!</v>
      </c>
    </row>
    <row r="12" spans="2:135" ht="13.5" thickBot="1" x14ac:dyDescent="0.25">
      <c r="B12" s="44">
        <v>42533</v>
      </c>
      <c r="C12" s="72">
        <v>0.79166666666666663</v>
      </c>
      <c r="D12" s="31">
        <v>6</v>
      </c>
      <c r="E12" s="33" t="s">
        <v>69</v>
      </c>
      <c r="F12" s="57"/>
      <c r="G12" s="57"/>
      <c r="H12" s="36" t="s">
        <v>77</v>
      </c>
      <c r="I12" s="36" t="e">
        <f t="shared" si="1"/>
        <v>#N/A</v>
      </c>
      <c r="J12" s="50" t="s">
        <v>85</v>
      </c>
      <c r="K12" s="20" t="e">
        <f t="shared" si="2"/>
        <v>#REF!</v>
      </c>
      <c r="L12" s="1" t="str">
        <f t="shared" si="0"/>
        <v/>
      </c>
      <c r="M12" s="1" t="str">
        <f t="shared" si="3"/>
        <v/>
      </c>
      <c r="O12" s="9"/>
      <c r="P12" s="10" t="s">
        <v>13</v>
      </c>
      <c r="Q12" s="10" t="s">
        <v>14</v>
      </c>
      <c r="R12" s="10" t="s">
        <v>15</v>
      </c>
      <c r="S12" s="10" t="s">
        <v>16</v>
      </c>
      <c r="T12" s="10" t="s">
        <v>17</v>
      </c>
      <c r="U12" s="10" t="s">
        <v>18</v>
      </c>
      <c r="V12" s="10" t="s">
        <v>19</v>
      </c>
      <c r="W12" s="11" t="s">
        <v>20</v>
      </c>
      <c r="BX12" s="86" t="e">
        <f>IF($BX$4="","",IF($BX$4="Франция",CONCATENATE(#REF!),IF($BX$4="Россия",CONCATENATE(#REF!),"")))</f>
        <v>#REF!</v>
      </c>
      <c r="BY12" s="86" t="e">
        <f>IF($BX$4="","",IF($BX$4="Франция",CONCATENATE(#REF!),IF($BX$4="Россия",CONCATENATE(#REF!),"")))</f>
        <v>#REF!</v>
      </c>
      <c r="BZ12" s="38" t="s">
        <v>53</v>
      </c>
      <c r="CB12" s="27" t="s">
        <v>24</v>
      </c>
      <c r="CC12" s="27" t="e">
        <f t="shared" ref="CC12:CJ12" si="40">P36</f>
        <v>#REF!</v>
      </c>
      <c r="CD12" s="27" t="e">
        <f t="shared" si="40"/>
        <v>#REF!</v>
      </c>
      <c r="CE12" s="27" t="e">
        <f t="shared" si="40"/>
        <v>#REF!</v>
      </c>
      <c r="CF12" s="27" t="e">
        <f t="shared" si="40"/>
        <v>#REF!</v>
      </c>
      <c r="CG12" s="27" t="e">
        <f t="shared" si="40"/>
        <v>#REF!</v>
      </c>
      <c r="CH12" s="27" t="e">
        <f t="shared" si="40"/>
        <v>#REF!</v>
      </c>
      <c r="CI12" s="27" t="e">
        <f t="shared" si="40"/>
        <v>#REF!</v>
      </c>
      <c r="CJ12" s="27" t="e">
        <f t="shared" si="40"/>
        <v>#REF!</v>
      </c>
      <c r="CK12" s="27" t="e">
        <f>IF($CJ12&gt;=$CJ13,$CB12,$CB13)</f>
        <v>#REF!</v>
      </c>
      <c r="CL12" s="27" t="e">
        <f>VLOOKUP($CK12,$CB12:$CJ14,9,FALSE)</f>
        <v>#REF!</v>
      </c>
      <c r="CM12" s="27" t="e">
        <f>IF($CL12&lt;=$CL9,$CK12,$CK9)</f>
        <v>#REF!</v>
      </c>
      <c r="CN12" s="27" t="e">
        <f t="shared" si="6"/>
        <v>#REF!</v>
      </c>
      <c r="CO12" s="27" t="e">
        <f>CM12</f>
        <v>#REF!</v>
      </c>
      <c r="CP12" s="27" t="e">
        <f t="shared" si="38"/>
        <v>#REF!</v>
      </c>
      <c r="CQ12" s="27" t="e">
        <f>IF($CP12&lt;=$CP8,$CO12,$CO8)</f>
        <v>#REF!</v>
      </c>
      <c r="CR12" s="27" t="e">
        <f t="shared" si="7"/>
        <v>#REF!</v>
      </c>
      <c r="CS12" s="27" t="e">
        <f>IF($CR12&lt;=$CR11,$CQ12,$CQ11)</f>
        <v>#REF!</v>
      </c>
      <c r="CT12" s="27" t="e">
        <f t="shared" si="8"/>
        <v>#REF!</v>
      </c>
      <c r="CU12" s="27" t="e">
        <f t="shared" si="9"/>
        <v>#REF!</v>
      </c>
      <c r="CV12" s="27" t="e">
        <f>IF(AND($CT12=$CT13,$CT13&gt;$CT12),$CS13,$CS12)</f>
        <v>#REF!</v>
      </c>
      <c r="CW12" s="27" t="e">
        <f t="shared" si="10"/>
        <v>#REF!</v>
      </c>
      <c r="CX12" s="27" t="e">
        <f t="shared" si="11"/>
        <v>#REF!</v>
      </c>
      <c r="CY12" s="27" t="e">
        <f>IF(AND($CW9=$CW12,$CX12&gt;$CX9),$CV9,$CV12)</f>
        <v>#REF!</v>
      </c>
      <c r="CZ12" s="27" t="e">
        <f t="shared" si="12"/>
        <v>#REF!</v>
      </c>
      <c r="DA12" s="27" t="e">
        <f t="shared" si="13"/>
        <v>#REF!</v>
      </c>
      <c r="DB12" s="27" t="e">
        <f>IF(AND($CZ10=$CZ12,$DA12&gt;$DA10),$CY10,$CY12)</f>
        <v>#REF!</v>
      </c>
      <c r="DC12" s="27" t="e">
        <f t="shared" si="14"/>
        <v>#REF!</v>
      </c>
      <c r="DD12" s="27" t="e">
        <f t="shared" si="15"/>
        <v>#REF!</v>
      </c>
      <c r="DE12" s="27" t="e">
        <f>IF(AND($DC8=$DC12,$DD12&gt;$DD8),$DB8,$DB12)</f>
        <v>#REF!</v>
      </c>
      <c r="DF12" s="27" t="e">
        <f t="shared" si="16"/>
        <v>#REF!</v>
      </c>
      <c r="DG12" s="27" t="e">
        <f t="shared" si="17"/>
        <v>#REF!</v>
      </c>
      <c r="DH12" s="27" t="e">
        <f>IF(AND($DF11=$DF12,$DG12&gt;$DG11),$DE11,$DE12)</f>
        <v>#REF!</v>
      </c>
      <c r="DI12" s="27" t="e">
        <f t="shared" si="18"/>
        <v>#REF!</v>
      </c>
      <c r="DJ12" s="27" t="e">
        <f t="shared" si="19"/>
        <v>#REF!</v>
      </c>
      <c r="DK12" s="27" t="e">
        <f t="shared" si="20"/>
        <v>#REF!</v>
      </c>
      <c r="DL12" s="27" t="e">
        <f>IF(AND($DI12=$DI13,$DJ12=$DJ13,$DK13&gt;$DK12),$DH13,$DH12)</f>
        <v>#REF!</v>
      </c>
      <c r="DM12" s="27" t="e">
        <f t="shared" si="21"/>
        <v>#REF!</v>
      </c>
      <c r="DN12" s="27" t="e">
        <f t="shared" si="22"/>
        <v>#REF!</v>
      </c>
      <c r="DO12" s="27" t="e">
        <f t="shared" si="23"/>
        <v>#REF!</v>
      </c>
      <c r="DP12" s="27" t="e">
        <f>IF(AND($DM9=$DM12,$DN9=$DN12,$DO12&gt;$DO9),$DL9,$DL12)</f>
        <v>#REF!</v>
      </c>
      <c r="DQ12" s="27" t="e">
        <f t="shared" si="24"/>
        <v>#REF!</v>
      </c>
      <c r="DR12" s="27" t="e">
        <f t="shared" si="25"/>
        <v>#REF!</v>
      </c>
      <c r="DS12" s="27" t="e">
        <f t="shared" si="26"/>
        <v>#REF!</v>
      </c>
      <c r="DT12" s="27" t="e">
        <f>IF(AND($DQ10=$DQ12,$DR10=$DR12,$DS12&gt;$DS10),$DP10,$DP12)</f>
        <v>#REF!</v>
      </c>
      <c r="DU12" s="27" t="e">
        <f t="shared" si="27"/>
        <v>#REF!</v>
      </c>
      <c r="DV12" s="27" t="e">
        <f t="shared" si="28"/>
        <v>#REF!</v>
      </c>
      <c r="DW12" s="27" t="e">
        <f t="shared" si="29"/>
        <v>#REF!</v>
      </c>
      <c r="DX12" s="27" t="e">
        <f>IF(AND($DU8=$DU12,$DV8=$DV12,$DW12&gt;$DW8),$DT8,$DT12)</f>
        <v>#REF!</v>
      </c>
      <c r="DY12" s="27" t="e">
        <f t="shared" si="30"/>
        <v>#REF!</v>
      </c>
      <c r="DZ12" s="27" t="e">
        <f t="shared" si="31"/>
        <v>#REF!</v>
      </c>
      <c r="EA12" s="27" t="e">
        <f t="shared" si="32"/>
        <v>#REF!</v>
      </c>
      <c r="EB12" s="27" t="e">
        <f>IF(AND($DY11=$DY12,$DZ11=$DZ12,$EA12&gt;$EA11),$DX11,$DX12)</f>
        <v>#REF!</v>
      </c>
      <c r="EC12" s="27" t="e">
        <f t="shared" si="33"/>
        <v>#REF!</v>
      </c>
      <c r="ED12" s="27" t="e">
        <f t="shared" si="34"/>
        <v>#REF!</v>
      </c>
      <c r="EE12" s="27" t="e">
        <f t="shared" si="35"/>
        <v>#REF!</v>
      </c>
    </row>
    <row r="13" spans="2:135" ht="13.5" thickBot="1" x14ac:dyDescent="0.25">
      <c r="B13" s="44">
        <v>42533</v>
      </c>
      <c r="C13" s="71">
        <v>0.91666666666666663</v>
      </c>
      <c r="D13" s="31">
        <v>7</v>
      </c>
      <c r="E13" s="33" t="s">
        <v>53</v>
      </c>
      <c r="F13" s="57"/>
      <c r="G13" s="57"/>
      <c r="H13" s="36" t="s">
        <v>75</v>
      </c>
      <c r="I13" s="36" t="e">
        <f t="shared" si="1"/>
        <v>#N/A</v>
      </c>
      <c r="J13" s="50" t="s">
        <v>82</v>
      </c>
      <c r="K13" s="20" t="e">
        <f t="shared" si="2"/>
        <v>#REF!</v>
      </c>
      <c r="L13" s="1" t="str">
        <f t="shared" si="0"/>
        <v/>
      </c>
      <c r="M13" s="1" t="str">
        <f t="shared" si="3"/>
        <v/>
      </c>
      <c r="O13" s="16" t="e">
        <f>#REF!</f>
        <v>#REF!</v>
      </c>
      <c r="P13" s="17" t="e">
        <f>#REF!</f>
        <v>#REF!</v>
      </c>
      <c r="Q13" s="17" t="e">
        <f>#REF!</f>
        <v>#REF!</v>
      </c>
      <c r="R13" s="17" t="e">
        <f>#REF!</f>
        <v>#REF!</v>
      </c>
      <c r="S13" s="17" t="e">
        <f>#REF!</f>
        <v>#REF!</v>
      </c>
      <c r="T13" s="17" t="e">
        <f>#REF!</f>
        <v>#REF!</v>
      </c>
      <c r="U13" s="17" t="e">
        <f>#REF!</f>
        <v>#REF!</v>
      </c>
      <c r="V13" s="17" t="e">
        <f>#REF!</f>
        <v>#REF!</v>
      </c>
      <c r="W13" s="18" t="e">
        <f>#REF!</f>
        <v>#REF!</v>
      </c>
      <c r="Y13" s="1" t="s">
        <v>25</v>
      </c>
      <c r="BX13" s="86" t="e">
        <f>IF($BX$4="","",IF($BX$4="Франция",CONCATENATE(#REF!),IF($BX$4="Россия",CONCATENATE(#REF!),"")))</f>
        <v>#REF!</v>
      </c>
      <c r="BY13" s="86" t="e">
        <f>IF($BX$4="","",IF($BX$4="Франция",CONCATENATE(#REF!),IF($BX$4="Россия",CONCATENATE(#REF!),"")))</f>
        <v>#REF!</v>
      </c>
      <c r="BZ13" s="38" t="s">
        <v>73</v>
      </c>
      <c r="CB13" s="27" t="s">
        <v>17</v>
      </c>
      <c r="CC13" s="27" t="e">
        <f t="shared" ref="CC13:CJ13" si="41">P43</f>
        <v>#REF!</v>
      </c>
      <c r="CD13" s="27" t="e">
        <f t="shared" si="41"/>
        <v>#REF!</v>
      </c>
      <c r="CE13" s="27" t="e">
        <f t="shared" si="41"/>
        <v>#REF!</v>
      </c>
      <c r="CF13" s="27" t="e">
        <f t="shared" si="41"/>
        <v>#REF!</v>
      </c>
      <c r="CG13" s="27" t="e">
        <f t="shared" si="41"/>
        <v>#REF!</v>
      </c>
      <c r="CH13" s="27" t="e">
        <f t="shared" si="41"/>
        <v>#REF!</v>
      </c>
      <c r="CI13" s="27" t="e">
        <f t="shared" si="41"/>
        <v>#REF!</v>
      </c>
      <c r="CJ13" s="27" t="e">
        <f t="shared" si="41"/>
        <v>#REF!</v>
      </c>
      <c r="CK13" s="27" t="e">
        <f>IF($CJ13&lt;=$CJ12,$CB13,$CB12)</f>
        <v>#REF!</v>
      </c>
      <c r="CL13" s="27" t="e">
        <f>VLOOKUP($CK13,$CB12:$CJ14,9,FALSE)</f>
        <v>#REF!</v>
      </c>
      <c r="CM13" s="27" t="e">
        <f>IF($CL13&lt;=$CL11,$CK13,$CK11)</f>
        <v>#REF!</v>
      </c>
      <c r="CN13" s="27" t="e">
        <f t="shared" si="6"/>
        <v>#REF!</v>
      </c>
      <c r="CO13" s="27" t="e">
        <f>IF($CN13&lt;=$CN9,$CM13,$CM9)</f>
        <v>#REF!</v>
      </c>
      <c r="CP13" s="27" t="e">
        <f t="shared" si="38"/>
        <v>#REF!</v>
      </c>
      <c r="CQ13" s="27" t="e">
        <f>IF($CP13&lt;=$CP10,$CO13,$CO10)</f>
        <v>#REF!</v>
      </c>
      <c r="CR13" s="27" t="e">
        <f t="shared" si="7"/>
        <v>#REF!</v>
      </c>
      <c r="CS13" s="27" t="e">
        <f>IF($CR13&lt;=$CR8,$CQ13,$CQ8)</f>
        <v>#REF!</v>
      </c>
      <c r="CT13" s="27" t="e">
        <f t="shared" si="8"/>
        <v>#REF!</v>
      </c>
      <c r="CU13" s="27" t="e">
        <f t="shared" si="9"/>
        <v>#REF!</v>
      </c>
      <c r="CV13" s="27" t="e">
        <f t="shared" ref="CV13" si="42">IF(AND($CT12=$CT13,$CT13&gt;$CT12),$CS12,$CS13)</f>
        <v>#REF!</v>
      </c>
      <c r="CW13" s="27" t="e">
        <f t="shared" si="10"/>
        <v>#REF!</v>
      </c>
      <c r="CX13" s="27" t="e">
        <f t="shared" si="11"/>
        <v>#REF!</v>
      </c>
      <c r="CY13" s="27" t="e">
        <f>IF(AND($CW11=$CW13,$CX13&gt;$CX11),$CV11,$CV13)</f>
        <v>#REF!</v>
      </c>
      <c r="CZ13" s="27" t="e">
        <f t="shared" si="12"/>
        <v>#REF!</v>
      </c>
      <c r="DA13" s="27" t="e">
        <f t="shared" si="13"/>
        <v>#REF!</v>
      </c>
      <c r="DB13" s="27" t="e">
        <f>IF(AND($CZ9=$CZ13,$DA13&gt;$DA9),$CY9,$CY13)</f>
        <v>#REF!</v>
      </c>
      <c r="DC13" s="27" t="e">
        <f t="shared" si="14"/>
        <v>#REF!</v>
      </c>
      <c r="DD13" s="27" t="e">
        <f t="shared" si="15"/>
        <v>#REF!</v>
      </c>
      <c r="DE13" s="27" t="e">
        <f>IF(AND($DC10=$DC13,$DD13&gt;$DD10),$DB10,$DB13)</f>
        <v>#REF!</v>
      </c>
      <c r="DF13" s="27" t="e">
        <f t="shared" si="16"/>
        <v>#REF!</v>
      </c>
      <c r="DG13" s="27" t="e">
        <f t="shared" si="17"/>
        <v>#REF!</v>
      </c>
      <c r="DH13" s="27" t="e">
        <f>IF(AND($DF8=$DF13,$DG13&gt;$DG8),$DE8,$DE13)</f>
        <v>#REF!</v>
      </c>
      <c r="DI13" s="27" t="e">
        <f t="shared" si="18"/>
        <v>#REF!</v>
      </c>
      <c r="DJ13" s="27" t="e">
        <f t="shared" si="19"/>
        <v>#REF!</v>
      </c>
      <c r="DK13" s="27" t="e">
        <f t="shared" si="20"/>
        <v>#REF!</v>
      </c>
      <c r="DL13" s="27" t="e">
        <f>IF(AND($DI12=$DI13,$DJ12=$DJ13,$DK13&gt;$DK12),$DH12,$DH13)</f>
        <v>#REF!</v>
      </c>
      <c r="DM13" s="27" t="e">
        <f t="shared" si="21"/>
        <v>#REF!</v>
      </c>
      <c r="DN13" s="27" t="e">
        <f t="shared" si="22"/>
        <v>#REF!</v>
      </c>
      <c r="DO13" s="27" t="e">
        <f t="shared" si="23"/>
        <v>#REF!</v>
      </c>
      <c r="DP13" s="27" t="e">
        <f>IF(AND($DM11=$DM13,$DN11=$DN13,$DO13&gt;$DO11),$DL11,$DL13)</f>
        <v>#REF!</v>
      </c>
      <c r="DQ13" s="27" t="e">
        <f t="shared" si="24"/>
        <v>#REF!</v>
      </c>
      <c r="DR13" s="27" t="e">
        <f t="shared" si="25"/>
        <v>#REF!</v>
      </c>
      <c r="DS13" s="27" t="e">
        <f t="shared" si="26"/>
        <v>#REF!</v>
      </c>
      <c r="DT13" s="27" t="e">
        <f>IF(AND($DQ9=$DQ13,$DR9=$DR13,$DS13&gt;$DS9),$DP9,$DP13)</f>
        <v>#REF!</v>
      </c>
      <c r="DU13" s="27" t="e">
        <f t="shared" si="27"/>
        <v>#REF!</v>
      </c>
      <c r="DV13" s="27" t="e">
        <f t="shared" si="28"/>
        <v>#REF!</v>
      </c>
      <c r="DW13" s="27" t="e">
        <f t="shared" si="29"/>
        <v>#REF!</v>
      </c>
      <c r="DX13" s="27" t="e">
        <f>IF(AND($DU10=$DU13,$DV10=$DV13,$DW13&gt;$DW10),$DT10,$DT13)</f>
        <v>#REF!</v>
      </c>
      <c r="DY13" s="27" t="e">
        <f t="shared" si="30"/>
        <v>#REF!</v>
      </c>
      <c r="DZ13" s="27" t="e">
        <f t="shared" si="31"/>
        <v>#REF!</v>
      </c>
      <c r="EA13" s="27" t="e">
        <f t="shared" si="32"/>
        <v>#REF!</v>
      </c>
      <c r="EB13" s="27" t="e">
        <f>IF(AND($DY8=$DY13,$DZ8=$DZ13,$EA13&gt;$EA8),$DX8,$DX13)</f>
        <v>#REF!</v>
      </c>
      <c r="EC13" s="27" t="e">
        <f t="shared" si="33"/>
        <v>#REF!</v>
      </c>
      <c r="ED13" s="27" t="e">
        <f t="shared" si="34"/>
        <v>#REF!</v>
      </c>
      <c r="EE13" s="27" t="e">
        <f t="shared" si="35"/>
        <v>#REF!</v>
      </c>
    </row>
    <row r="14" spans="2:135" ht="13.5" thickBot="1" x14ac:dyDescent="0.25">
      <c r="B14" s="44">
        <v>42534</v>
      </c>
      <c r="C14" s="71">
        <v>0.66666666666666663</v>
      </c>
      <c r="D14" s="31">
        <v>8</v>
      </c>
      <c r="E14" s="33" t="s">
        <v>47</v>
      </c>
      <c r="F14" s="57"/>
      <c r="G14" s="57"/>
      <c r="H14" s="36" t="s">
        <v>63</v>
      </c>
      <c r="I14" s="36" t="e">
        <f t="shared" si="1"/>
        <v>#N/A</v>
      </c>
      <c r="J14" s="50" t="s">
        <v>83</v>
      </c>
      <c r="K14" s="20" t="e">
        <f t="shared" si="2"/>
        <v>#REF!</v>
      </c>
      <c r="L14" s="1" t="str">
        <f t="shared" si="0"/>
        <v/>
      </c>
      <c r="M14" s="1" t="str">
        <f t="shared" si="3"/>
        <v/>
      </c>
      <c r="O14" s="16" t="e">
        <f>#REF!</f>
        <v>#REF!</v>
      </c>
      <c r="P14" s="17" t="e">
        <f>#REF!</f>
        <v>#REF!</v>
      </c>
      <c r="Q14" s="17" t="e">
        <f>#REF!</f>
        <v>#REF!</v>
      </c>
      <c r="R14" s="17" t="e">
        <f>#REF!</f>
        <v>#REF!</v>
      </c>
      <c r="S14" s="17" t="e">
        <f>#REF!</f>
        <v>#REF!</v>
      </c>
      <c r="T14" s="17" t="e">
        <f>#REF!</f>
        <v>#REF!</v>
      </c>
      <c r="U14" s="17" t="e">
        <f>#REF!</f>
        <v>#REF!</v>
      </c>
      <c r="V14" s="17" t="e">
        <f>#REF!</f>
        <v>#REF!</v>
      </c>
      <c r="W14" s="18" t="e">
        <f>#REF!</f>
        <v>#REF!</v>
      </c>
      <c r="Z14" s="1" t="s">
        <v>21</v>
      </c>
      <c r="AA14" s="1" t="s">
        <v>14</v>
      </c>
      <c r="AB14" s="1" t="s">
        <v>15</v>
      </c>
      <c r="AC14" s="1" t="s">
        <v>16</v>
      </c>
      <c r="AD14" s="1" t="s">
        <v>17</v>
      </c>
      <c r="AE14" s="1" t="s">
        <v>18</v>
      </c>
      <c r="AF14" s="1" t="s">
        <v>19</v>
      </c>
      <c r="AG14" s="1" t="s">
        <v>22</v>
      </c>
      <c r="BX14" s="86" t="e">
        <f>IF($BX$4="","",IF($BX$4="Франция",CONCATENATE(#REF!),IF($BX$4="Россия",CONCATENATE(#REF!),"")))</f>
        <v>#REF!</v>
      </c>
      <c r="BY14" s="86" t="e">
        <f>IF($BX$4="","",IF($BX$4="Франция",CONCATENATE(#REF!),IF($BX$4="Россия",CONCATENATE(#REF!),"")))</f>
        <v>#REF!</v>
      </c>
      <c r="BZ14" s="38" t="s">
        <v>64</v>
      </c>
      <c r="CC14" s="27"/>
      <c r="CD14" s="27"/>
      <c r="CE14" s="27"/>
      <c r="CF14" s="27"/>
      <c r="CG14" s="27"/>
      <c r="CH14" s="27"/>
      <c r="CI14" s="27"/>
      <c r="CJ14" s="27"/>
      <c r="CL14" s="27"/>
      <c r="CN14" s="27"/>
      <c r="CP14" s="27"/>
    </row>
    <row r="15" spans="2:135" ht="13.5" thickBot="1" x14ac:dyDescent="0.25">
      <c r="B15" s="44">
        <v>42534</v>
      </c>
      <c r="C15" s="71">
        <v>0.79166666666666663</v>
      </c>
      <c r="D15" s="31">
        <v>9</v>
      </c>
      <c r="E15" s="33" t="s">
        <v>73</v>
      </c>
      <c r="F15" s="57"/>
      <c r="G15" s="57"/>
      <c r="H15" s="36" t="s">
        <v>74</v>
      </c>
      <c r="I15" s="36" t="e">
        <f t="shared" si="1"/>
        <v>#N/A</v>
      </c>
      <c r="J15" s="50" t="s">
        <v>84</v>
      </c>
      <c r="K15" s="20" t="e">
        <f t="shared" si="2"/>
        <v>#REF!</v>
      </c>
      <c r="L15" s="1" t="str">
        <f t="shared" si="0"/>
        <v/>
      </c>
      <c r="M15" s="1" t="str">
        <f t="shared" si="3"/>
        <v/>
      </c>
      <c r="O15" s="16" t="e">
        <f>#REF!</f>
        <v>#REF!</v>
      </c>
      <c r="P15" s="17" t="e">
        <f>#REF!</f>
        <v>#REF!</v>
      </c>
      <c r="Q15" s="17" t="e">
        <f>#REF!</f>
        <v>#REF!</v>
      </c>
      <c r="R15" s="17" t="e">
        <f>#REF!</f>
        <v>#REF!</v>
      </c>
      <c r="S15" s="17" t="e">
        <f>#REF!</f>
        <v>#REF!</v>
      </c>
      <c r="T15" s="17" t="e">
        <f>#REF!</f>
        <v>#REF!</v>
      </c>
      <c r="U15" s="17" t="e">
        <f>#REF!</f>
        <v>#REF!</v>
      </c>
      <c r="V15" s="17" t="e">
        <f>#REF!</f>
        <v>#REF!</v>
      </c>
      <c r="W15" s="18" t="e">
        <f>#REF!</f>
        <v>#REF!</v>
      </c>
      <c r="Y15" s="1" t="s">
        <v>50</v>
      </c>
      <c r="Z15" s="1">
        <f>COUNT(Англия_Played)</f>
        <v>0</v>
      </c>
      <c r="AA15" s="1">
        <f>COUNTIF(Groupstage_Winners,"Англия")</f>
        <v>0</v>
      </c>
      <c r="AB15" s="1">
        <f>COUNTIF(Groupstage_Losers,"Англия")</f>
        <v>0</v>
      </c>
      <c r="AC15" s="1">
        <f>Z15-(AA15+AB15)</f>
        <v>0</v>
      </c>
      <c r="AD15" s="1">
        <f>SUM(Англия_Played)</f>
        <v>0</v>
      </c>
      <c r="AE15" s="1">
        <f>SUM(Англия_Against)</f>
        <v>0</v>
      </c>
      <c r="AF15" s="1">
        <f>AD15-AE15</f>
        <v>0</v>
      </c>
      <c r="AG15" s="1" t="e">
        <f>AA15*Winpoints+AC15*Drawpoints</f>
        <v>#REF!</v>
      </c>
      <c r="AH15" s="1" t="e">
        <f>IF($AG15&gt;=$AG16,$Y15,$Y16)</f>
        <v>#REF!</v>
      </c>
      <c r="AI15" s="1" t="e">
        <f>VLOOKUP($AH15,$Y15:$AG18,9,FALSE)</f>
        <v>#REF!</v>
      </c>
      <c r="AJ15" s="1" t="e">
        <f>IF($AI15&gt;=$AI17,$AH15,$AH17)</f>
        <v>#REF!</v>
      </c>
      <c r="AK15" s="1" t="e">
        <f>VLOOKUP($AJ15,$Y15:$AG18,9,FALSE)</f>
        <v>#REF!</v>
      </c>
      <c r="AL15" s="1" t="e">
        <f>IF($AK15&gt;=$AK18,$AJ15,$AJ18)</f>
        <v>#REF!</v>
      </c>
      <c r="AM15" s="1" t="e">
        <f>VLOOKUP($AL15,$Y15:$AG18,9,FALSE)</f>
        <v>#REF!</v>
      </c>
      <c r="AN15" s="1" t="e">
        <f>VLOOKUP($AL15,$Y15:$AG18,8,FALSE)</f>
        <v>#REF!</v>
      </c>
      <c r="AO15" s="1" t="e">
        <f>IF(AND($AM15=$AM16,$AN16&gt;$AN15),$AL16,$AL15)</f>
        <v>#REF!</v>
      </c>
      <c r="AP15" s="1" t="e">
        <f>VLOOKUP($AO15,$Y15:$AG18,9,FALSE)</f>
        <v>#REF!</v>
      </c>
      <c r="AQ15" s="1" t="e">
        <f>VLOOKUP($AO15,$Y15:$AG18,8,FALSE)</f>
        <v>#REF!</v>
      </c>
      <c r="AR15" s="1" t="e">
        <f>IF(AND($AP15=$AP17,$AQ17&gt;$AQ15),$AO17,$AO15)</f>
        <v>#REF!</v>
      </c>
      <c r="AS15" s="1" t="e">
        <f>VLOOKUP($AR15,$Y15:$AG18,9,FALSE)</f>
        <v>#REF!</v>
      </c>
      <c r="AT15" s="1" t="e">
        <f>VLOOKUP($AR15,$Y15:$AG18,8,FALSE)</f>
        <v>#REF!</v>
      </c>
      <c r="AU15" s="1" t="e">
        <f>IF(AND($AS15=$AS18,$AT18&gt;$AT15),$AR18,$AR15)</f>
        <v>#REF!</v>
      </c>
      <c r="AV15" s="1" t="e">
        <f>VLOOKUP($AU15,$Y15:$AG18,9,FALSE)</f>
        <v>#REF!</v>
      </c>
      <c r="AW15" s="1" t="e">
        <f>VLOOKUP($AU15,$Y15:$AG18,8,FALSE)</f>
        <v>#REF!</v>
      </c>
      <c r="AX15" s="1" t="e">
        <f>VLOOKUP($AU15,$Y15:$AG18,6,FALSE)</f>
        <v>#REF!</v>
      </c>
      <c r="AY15" s="1" t="e">
        <f>IF(AND($AV15=$AV16,$AW15=$AW16,$AX16&gt;$AX15),$AU16,$AU15)</f>
        <v>#REF!</v>
      </c>
      <c r="AZ15" s="1" t="e">
        <f>VLOOKUP($AY15,$Y15:$AG18,9,FALSE)</f>
        <v>#REF!</v>
      </c>
      <c r="BA15" s="1" t="e">
        <f>VLOOKUP($AY15,$Y15:$AG18,8,FALSE)</f>
        <v>#REF!</v>
      </c>
      <c r="BB15" s="1" t="e">
        <f>VLOOKUP($AY15,$Y15:$AG18,6,FALSE)</f>
        <v>#REF!</v>
      </c>
      <c r="BC15" s="1" t="e">
        <f>IF(AND($AZ15=$AZ17,$BA15=$BA17,$BB17&gt;$BB15),$AY17,$AY15)</f>
        <v>#REF!</v>
      </c>
      <c r="BD15" s="1" t="e">
        <f>VLOOKUP($BC15,$Y15:$AG18,9,FALSE)</f>
        <v>#REF!</v>
      </c>
      <c r="BE15" s="1" t="e">
        <f>VLOOKUP($BC15,$Y15:$AG18,8,FALSE)</f>
        <v>#REF!</v>
      </c>
      <c r="BF15" s="1" t="e">
        <f>VLOOKUP($BC15,$Y15:$AG18,6,FALSE)</f>
        <v>#REF!</v>
      </c>
      <c r="BG15" s="1" t="e">
        <f>IF(AND($BD15=$BD18,$BE15=$BE18,$BF18&gt;$BF15),$BC18,$BC15)</f>
        <v>#REF!</v>
      </c>
      <c r="BH15" s="1" t="e">
        <f>VLOOKUP($BG15,$Y15:$AG18,9,FALSE)</f>
        <v>#REF!</v>
      </c>
      <c r="BI15" s="1" t="e">
        <f>VLOOKUP($BG15,$Y15:$AG18,8,FALSE)</f>
        <v>#REF!</v>
      </c>
      <c r="BJ15" s="1" t="e">
        <f>VLOOKUP($BG15,$Y15:$AG18,6,FALSE)</f>
        <v>#REF!</v>
      </c>
      <c r="BN15" s="1" t="e">
        <f>BG15</f>
        <v>#REF!</v>
      </c>
      <c r="BO15" s="1" t="e">
        <f>VLOOKUP($BN15,$Y15:$AG18,2,FALSE)</f>
        <v>#REF!</v>
      </c>
      <c r="BP15" s="1" t="e">
        <f>VLOOKUP($BN15,$Y15:$AG18,3,FALSE)</f>
        <v>#REF!</v>
      </c>
      <c r="BQ15" s="1" t="e">
        <f>VLOOKUP($BN15,$Y15:$AG18,4,FALSE)</f>
        <v>#REF!</v>
      </c>
      <c r="BR15" s="1" t="e">
        <f>VLOOKUP($BN15,$Y15:$AG18,5,FALSE)</f>
        <v>#REF!</v>
      </c>
      <c r="BS15" s="1" t="e">
        <f>VLOOKUP($BN15,$Y15:$AG18,6,FALSE)</f>
        <v>#REF!</v>
      </c>
      <c r="BT15" s="1" t="e">
        <f>VLOOKUP($BN15,$Y15:$AG18,7,FALSE)</f>
        <v>#REF!</v>
      </c>
      <c r="BU15" s="1" t="e">
        <f>VLOOKUP($BN15,$Y15:$AG18,8,FALSE)</f>
        <v>#REF!</v>
      </c>
      <c r="BV15" s="1" t="e">
        <f>VLOOKUP($BN15,$Y15:$AG18,9,FALSE)</f>
        <v>#REF!</v>
      </c>
      <c r="BX15" s="86" t="e">
        <f>IF($BX$4="","",IF($BX$4="Франция",CONCATENATE(#REF!),IF($BX$4="Россия",CONCATENATE(#REF!),"")))</f>
        <v>#REF!</v>
      </c>
      <c r="BY15" s="86" t="e">
        <f>IF($BX$4="","",IF($BX$4="Франция",CONCATENATE(#REF!),IF($BX$4="Россия",CONCATENATE(#REF!),"")))</f>
        <v>#REF!</v>
      </c>
      <c r="BZ15" s="38" t="s">
        <v>47</v>
      </c>
      <c r="CB15" s="1" t="s">
        <v>93</v>
      </c>
      <c r="CC15" s="80" t="e">
        <f>DB23&amp;DB24&amp;DB25&amp;DB26</f>
        <v>#N/A</v>
      </c>
      <c r="CD15" s="27"/>
      <c r="CE15" s="27"/>
      <c r="CF15" s="27"/>
      <c r="CG15" s="27"/>
      <c r="CH15" s="27"/>
      <c r="CI15" s="27"/>
      <c r="CJ15" s="27"/>
      <c r="CL15" s="27"/>
      <c r="CN15" s="27"/>
      <c r="CP15" s="27"/>
    </row>
    <row r="16" spans="2:135" ht="13.5" thickBot="1" x14ac:dyDescent="0.25">
      <c r="B16" s="44">
        <v>42534</v>
      </c>
      <c r="C16" s="71">
        <v>0.91666666666666663</v>
      </c>
      <c r="D16" s="31">
        <v>10</v>
      </c>
      <c r="E16" s="33" t="s">
        <v>55</v>
      </c>
      <c r="F16" s="57"/>
      <c r="G16" s="57"/>
      <c r="H16" s="36" t="s">
        <v>48</v>
      </c>
      <c r="I16" s="36" t="e">
        <f t="shared" si="1"/>
        <v>#N/A</v>
      </c>
      <c r="J16" s="50" t="s">
        <v>81</v>
      </c>
      <c r="K16" s="20" t="e">
        <f t="shared" si="2"/>
        <v>#REF!</v>
      </c>
      <c r="L16" s="1" t="str">
        <f t="shared" si="0"/>
        <v/>
      </c>
      <c r="M16" s="1" t="str">
        <f t="shared" si="3"/>
        <v/>
      </c>
      <c r="O16" s="22" t="e">
        <f>#REF!</f>
        <v>#REF!</v>
      </c>
      <c r="P16" s="23" t="e">
        <f>#REF!</f>
        <v>#REF!</v>
      </c>
      <c r="Q16" s="23" t="e">
        <f>#REF!</f>
        <v>#REF!</v>
      </c>
      <c r="R16" s="23" t="e">
        <f>#REF!</f>
        <v>#REF!</v>
      </c>
      <c r="S16" s="23" t="e">
        <f>#REF!</f>
        <v>#REF!</v>
      </c>
      <c r="T16" s="23" t="e">
        <f>#REF!</f>
        <v>#REF!</v>
      </c>
      <c r="U16" s="23" t="e">
        <f>#REF!</f>
        <v>#REF!</v>
      </c>
      <c r="V16" s="23" t="e">
        <f>#REF!</f>
        <v>#REF!</v>
      </c>
      <c r="W16" s="24" t="e">
        <f>#REF!</f>
        <v>#REF!</v>
      </c>
      <c r="Y16" s="1" t="s">
        <v>46</v>
      </c>
      <c r="Z16" s="1">
        <f>COUNT(Россия_Played)</f>
        <v>0</v>
      </c>
      <c r="AA16" s="1">
        <f>COUNTIF(Groupstage_Winners,"Россия")</f>
        <v>0</v>
      </c>
      <c r="AB16" s="1">
        <f>COUNTIF(Groupstage_Losers,"Россия")</f>
        <v>0</v>
      </c>
      <c r="AC16" s="1">
        <f>Z16-(AA16+AB16)</f>
        <v>0</v>
      </c>
      <c r="AD16" s="1">
        <f>SUM(Россия_Played)</f>
        <v>0</v>
      </c>
      <c r="AE16" s="1">
        <f>SUM(Россия_Against)</f>
        <v>0</v>
      </c>
      <c r="AF16" s="1">
        <f>AD16-AE16</f>
        <v>0</v>
      </c>
      <c r="AG16" s="1" t="e">
        <f>AA16*Winpoints+AC16*Drawpoints</f>
        <v>#REF!</v>
      </c>
      <c r="AH16" s="1" t="e">
        <f>IF($AG16&lt;=$AG15,$Y16,$Y15)</f>
        <v>#REF!</v>
      </c>
      <c r="AI16" s="1" t="e">
        <f>VLOOKUP($AH16,$Y15:$AG18,9,FALSE)</f>
        <v>#REF!</v>
      </c>
      <c r="AJ16" s="1" t="e">
        <f>IF(AI16&gt;=AI18,AH16,AH18)</f>
        <v>#REF!</v>
      </c>
      <c r="AK16" s="1" t="e">
        <f>VLOOKUP($AJ16,$Y15:$AG18,9,FALSE)</f>
        <v>#REF!</v>
      </c>
      <c r="AL16" s="1" t="e">
        <f>IF($AK16&gt;=$AK17,$AJ16,$AJ17)</f>
        <v>#REF!</v>
      </c>
      <c r="AM16" s="1" t="e">
        <f>VLOOKUP($AL16,$Y15:$AG18,9,FALSE)</f>
        <v>#REF!</v>
      </c>
      <c r="AN16" s="1" t="e">
        <f>VLOOKUP($AL16,$Y15:$AG18,8,FALSE)</f>
        <v>#REF!</v>
      </c>
      <c r="AO16" s="1" t="e">
        <f>IF(AND($AM15=$AM16,$AN16&gt;$AN15),$AL15,$AL16)</f>
        <v>#REF!</v>
      </c>
      <c r="AP16" s="1" t="e">
        <f>VLOOKUP($AO16,$Y15:$AG18,9,FALSE)</f>
        <v>#REF!</v>
      </c>
      <c r="AQ16" s="1" t="e">
        <f>VLOOKUP($AO16,$Y15:$AG18,8,FALSE)</f>
        <v>#REF!</v>
      </c>
      <c r="AR16" s="1" t="e">
        <f>IF(AND($AP16=$AP18,$AQ18&gt;$AQ16),$AO18,$AO16)</f>
        <v>#REF!</v>
      </c>
      <c r="AS16" s="1" t="e">
        <f>VLOOKUP($AR16,$Y15:$AG18,9,FALSE)</f>
        <v>#REF!</v>
      </c>
      <c r="AT16" s="1" t="e">
        <f>VLOOKUP($AR16,$Y15:$AG18,8,FALSE)</f>
        <v>#REF!</v>
      </c>
      <c r="AU16" s="1" t="e">
        <f>IF(AND($AS16=$AS17,$AT17&gt;$AT16),$AR17,$AR16)</f>
        <v>#REF!</v>
      </c>
      <c r="AV16" s="1" t="e">
        <f>VLOOKUP($AU16,$Y15:$AG18,9,FALSE)</f>
        <v>#REF!</v>
      </c>
      <c r="AW16" s="1" t="e">
        <f>VLOOKUP($AU16,$Y15:$AG18,8,FALSE)</f>
        <v>#REF!</v>
      </c>
      <c r="AX16" s="1" t="e">
        <f>VLOOKUP($AU16,$Y15:$AG18,6,FALSE)</f>
        <v>#REF!</v>
      </c>
      <c r="AY16" s="1" t="e">
        <f>IF(AND($AV15=$AV16,$AW15=$AW16,$AX16&gt;$AX15),$AU15,$AU16)</f>
        <v>#REF!</v>
      </c>
      <c r="AZ16" s="1" t="e">
        <f>VLOOKUP($AY16,$Y15:$AG18,9,FALSE)</f>
        <v>#REF!</v>
      </c>
      <c r="BA16" s="1" t="e">
        <f>VLOOKUP($AY16,$Y15:$AG18,8,FALSE)</f>
        <v>#REF!</v>
      </c>
      <c r="BB16" s="1" t="e">
        <f>VLOOKUP($AY16,$Y15:$AG18,6,FALSE)</f>
        <v>#REF!</v>
      </c>
      <c r="BC16" s="1" t="e">
        <f>IF(AND($AZ16=$AZ18,$BA16=$BA18,$BB18&gt;$BB16),$AY18,$AY16)</f>
        <v>#REF!</v>
      </c>
      <c r="BD16" s="1" t="e">
        <f>VLOOKUP($BC16,$Y15:$AG18,9,FALSE)</f>
        <v>#REF!</v>
      </c>
      <c r="BE16" s="1" t="e">
        <f>VLOOKUP($BC16,$Y15:$AG18,8,FALSE)</f>
        <v>#REF!</v>
      </c>
      <c r="BF16" s="1" t="e">
        <f>VLOOKUP($BC16,$Y15:$AG18,6,FALSE)</f>
        <v>#REF!</v>
      </c>
      <c r="BG16" s="1" t="e">
        <f>IF(AND($BD16=$BD17,$BE16=$BE17,$BF17&gt;$BF16),$BC17,$BC16)</f>
        <v>#REF!</v>
      </c>
      <c r="BH16" s="1" t="e">
        <f>VLOOKUP($BG16,$Y15:$AG18,9,FALSE)</f>
        <v>#REF!</v>
      </c>
      <c r="BI16" s="1" t="e">
        <f>VLOOKUP($BG16,$Y15:$AG18,8,FALSE)</f>
        <v>#REF!</v>
      </c>
      <c r="BJ16" s="1" t="e">
        <f>VLOOKUP($BG16,$Y15:$AG18,6,FALSE)</f>
        <v>#REF!</v>
      </c>
      <c r="BN16" s="1" t="e">
        <f>BG16</f>
        <v>#REF!</v>
      </c>
      <c r="BO16" s="1" t="e">
        <f>VLOOKUP($BN16,$Y15:$AG18,2,FALSE)</f>
        <v>#REF!</v>
      </c>
      <c r="BP16" s="1" t="e">
        <f>VLOOKUP($BN16,$Y15:$AG18,3,FALSE)</f>
        <v>#REF!</v>
      </c>
      <c r="BQ16" s="1" t="e">
        <f>VLOOKUP($BN16,$Y15:$AG18,4,FALSE)</f>
        <v>#REF!</v>
      </c>
      <c r="BR16" s="1" t="e">
        <f>VLOOKUP($BN16,$Y15:$AG18,5,FALSE)</f>
        <v>#REF!</v>
      </c>
      <c r="BS16" s="1" t="e">
        <f>VLOOKUP($BN16,$Y15:$AG18,6,FALSE)</f>
        <v>#REF!</v>
      </c>
      <c r="BT16" s="1" t="e">
        <f>VLOOKUP($BN16,$Y15:$AG18,7,FALSE)</f>
        <v>#REF!</v>
      </c>
      <c r="BU16" s="1" t="e">
        <f>VLOOKUP($BN16,$Y15:$AG18,8,FALSE)</f>
        <v>#REF!</v>
      </c>
      <c r="BV16" s="1" t="e">
        <f>VLOOKUP($BN16,$Y15:$AG18,9,FALSE)</f>
        <v>#REF!</v>
      </c>
      <c r="BX16" s="86" t="e">
        <f>IF($BX$4="","",IF($BX$4="Франция",CONCATENATE(#REF!),IF($BX$4="Россия",CONCATENATE(#REF!),"")))</f>
        <v>#REF!</v>
      </c>
      <c r="BY16" s="86" t="e">
        <f>IF($BX$4="","",IF($BX$4="Франция",CONCATENATE(#REF!),IF($BX$4="Россия",CONCATENATE(#REF!),"")))</f>
        <v>#REF!</v>
      </c>
      <c r="BZ16" s="85" t="s">
        <v>48</v>
      </c>
      <c r="CB16" s="1" t="s">
        <v>92</v>
      </c>
      <c r="CC16" s="27" t="s">
        <v>18</v>
      </c>
      <c r="CD16" s="27" t="e">
        <f>FIND(CC16,$CC$15)</f>
        <v>#N/A</v>
      </c>
      <c r="CE16" s="27" t="s">
        <v>18</v>
      </c>
      <c r="CF16" s="27" t="e">
        <f>FIND(CE16,$CC$15)</f>
        <v>#N/A</v>
      </c>
      <c r="CG16" s="27" t="s">
        <v>18</v>
      </c>
      <c r="CH16" s="27" t="e">
        <f>FIND(CG16,$CC$15)</f>
        <v>#N/A</v>
      </c>
      <c r="CI16" s="27" t="s">
        <v>18</v>
      </c>
      <c r="CJ16" s="27" t="e">
        <f>FIND(CI16,$CC$15)</f>
        <v>#N/A</v>
      </c>
      <c r="CK16" s="27" t="s">
        <v>18</v>
      </c>
      <c r="CL16" s="27" t="e">
        <f>FIND(CK16,$CC$15)</f>
        <v>#N/A</v>
      </c>
      <c r="CM16" s="27" t="s">
        <v>18</v>
      </c>
      <c r="CN16" s="27" t="e">
        <f>FIND(CM16,$CC$15)</f>
        <v>#N/A</v>
      </c>
      <c r="CO16" s="27" t="s">
        <v>18</v>
      </c>
      <c r="CP16" s="27" t="e">
        <f>FIND(CO16,$CC$15)</f>
        <v>#N/A</v>
      </c>
      <c r="CQ16" s="27" t="s">
        <v>18</v>
      </c>
      <c r="CR16" s="27" t="e">
        <f>FIND(CQ16,$CC$15)</f>
        <v>#N/A</v>
      </c>
      <c r="CS16" s="27" t="s">
        <v>18</v>
      </c>
      <c r="CT16" s="27" t="e">
        <f>FIND(CS16,$CC$15)</f>
        <v>#N/A</v>
      </c>
      <c r="CU16" s="27" t="s">
        <v>18</v>
      </c>
      <c r="CV16" s="27" t="e">
        <f>FIND(CU16,$CC$15)</f>
        <v>#N/A</v>
      </c>
      <c r="CW16" s="27" t="s">
        <v>26</v>
      </c>
      <c r="CX16" s="27" t="e">
        <f>FIND(CW16,$CC$15)</f>
        <v>#N/A</v>
      </c>
      <c r="CY16" s="27" t="s">
        <v>26</v>
      </c>
      <c r="CZ16" s="27" t="e">
        <f>FIND(CY16,$CC$15)</f>
        <v>#N/A</v>
      </c>
      <c r="DA16" s="27" t="s">
        <v>26</v>
      </c>
      <c r="DB16" s="27" t="e">
        <f>FIND(DA16,$CC$15)</f>
        <v>#N/A</v>
      </c>
      <c r="DC16" s="27" t="s">
        <v>26</v>
      </c>
      <c r="DD16" s="27" t="e">
        <f>FIND(DC16,$CC$15)</f>
        <v>#N/A</v>
      </c>
      <c r="DE16" s="27" t="s">
        <v>27</v>
      </c>
      <c r="DF16" s="27" t="e">
        <f>FIND(DE16,$CC$15)</f>
        <v>#N/A</v>
      </c>
    </row>
    <row r="17" spans="2:110" ht="13.5" thickBot="1" x14ac:dyDescent="0.25">
      <c r="B17" s="44">
        <v>42535</v>
      </c>
      <c r="C17" s="71">
        <v>0.79166666666666663</v>
      </c>
      <c r="D17" s="31">
        <v>11</v>
      </c>
      <c r="E17" s="33" t="s">
        <v>65</v>
      </c>
      <c r="F17" s="57"/>
      <c r="G17" s="57"/>
      <c r="H17" s="36" t="s">
        <v>72</v>
      </c>
      <c r="I17" s="36" t="e">
        <f t="shared" si="1"/>
        <v>#N/A</v>
      </c>
      <c r="J17" s="50" t="s">
        <v>87</v>
      </c>
      <c r="K17" s="20" t="e">
        <f t="shared" si="2"/>
        <v>#REF!</v>
      </c>
      <c r="L17" s="1" t="str">
        <f>IF(F18&lt;&gt;"",IF(F18&gt;G18,E18,IF(G18&gt;F18,H18,"Draw")),"")</f>
        <v/>
      </c>
      <c r="M17" s="1" t="str">
        <f>IF(F18&lt;&gt;"",IF(F18&lt;G18,E18,IF(G18&lt;F18,H18,"Draw")),"")</f>
        <v/>
      </c>
      <c r="Y17" s="1" t="s">
        <v>66</v>
      </c>
      <c r="Z17" s="1">
        <f>COUNT(Уэльс_Played)</f>
        <v>0</v>
      </c>
      <c r="AA17" s="1">
        <f>COUNTIF(Groupstage_Winners,"Уэльс")</f>
        <v>0</v>
      </c>
      <c r="AB17" s="1">
        <f>COUNTIF(Groupstage_Losers,"Уэльс")</f>
        <v>0</v>
      </c>
      <c r="AC17" s="1">
        <f>Z17-(AA17+AB17)</f>
        <v>0</v>
      </c>
      <c r="AD17" s="1">
        <f>SUM(Уэльс_Played)</f>
        <v>0</v>
      </c>
      <c r="AE17" s="1">
        <f>SUM(Уэльс_Against)</f>
        <v>0</v>
      </c>
      <c r="AF17" s="1">
        <f>AD17-AE17</f>
        <v>0</v>
      </c>
      <c r="AG17" s="1" t="e">
        <f>AA17*Winpoints+AC17*Drawpoints</f>
        <v>#REF!</v>
      </c>
      <c r="AH17" s="1" t="e">
        <f>IF($AG17&gt;=$AG18,$Y17,$Y18)</f>
        <v>#REF!</v>
      </c>
      <c r="AI17" s="1" t="e">
        <f>VLOOKUP($AH17,$Y15:$AG18,9,FALSE)</f>
        <v>#REF!</v>
      </c>
      <c r="AJ17" s="1" t="e">
        <f>IF($AI17&lt;=$AI15,$AH17,$AH15)</f>
        <v>#REF!</v>
      </c>
      <c r="AK17" s="1" t="e">
        <f>VLOOKUP($AJ17,$Y15:$AG18,9,FALSE)</f>
        <v>#REF!</v>
      </c>
      <c r="AL17" s="1" t="e">
        <f>IF($AK17&lt;=$AK16,$AJ17,$AJ16)</f>
        <v>#REF!</v>
      </c>
      <c r="AM17" s="1" t="e">
        <f>VLOOKUP($AL17,$Y15:$AG18,9,FALSE)</f>
        <v>#REF!</v>
      </c>
      <c r="AN17" s="1" t="e">
        <f>VLOOKUP($AL17,$Y15:$AG18,8,FALSE)</f>
        <v>#REF!</v>
      </c>
      <c r="AO17" s="1" t="e">
        <f>IF(AND($AM17=$AM18,$AN18&gt;$AN17),$AL18,$AL17)</f>
        <v>#REF!</v>
      </c>
      <c r="AP17" s="1" t="e">
        <f>VLOOKUP($AO17,$Y15:$AG18,9,FALSE)</f>
        <v>#REF!</v>
      </c>
      <c r="AQ17" s="1" t="e">
        <f>VLOOKUP($AO17,$Y15:$AG18,8,FALSE)</f>
        <v>#REF!</v>
      </c>
      <c r="AR17" s="1" t="e">
        <f>IF(AND($AP15=$AP17,$AQ17&gt;$AQ15),$AO15,$AO17)</f>
        <v>#REF!</v>
      </c>
      <c r="AS17" s="1" t="e">
        <f>VLOOKUP($AR17,$Y15:$AG18,9,FALSE)</f>
        <v>#REF!</v>
      </c>
      <c r="AT17" s="1" t="e">
        <f>VLOOKUP($AR17,$Y15:$AG18,8,FALSE)</f>
        <v>#REF!</v>
      </c>
      <c r="AU17" s="1" t="e">
        <f>IF(AND($AS16=$AS17,$AT17&gt;$AT16),$AR16,$AR17)</f>
        <v>#REF!</v>
      </c>
      <c r="AV17" s="1" t="e">
        <f>VLOOKUP($AU17,$Y15:$AG18,9,FALSE)</f>
        <v>#REF!</v>
      </c>
      <c r="AW17" s="1" t="e">
        <f>VLOOKUP($AU17,$Y15:$AG18,8,FALSE)</f>
        <v>#REF!</v>
      </c>
      <c r="AX17" s="1" t="e">
        <f>VLOOKUP($AU17,$Y15:$AG18,6,FALSE)</f>
        <v>#REF!</v>
      </c>
      <c r="AY17" s="1" t="e">
        <f>IF(AND($AV17=$AV18,$AW17=$AW18,$AX18&gt;$AX17),$AU18,$AU17)</f>
        <v>#REF!</v>
      </c>
      <c r="AZ17" s="1" t="e">
        <f>VLOOKUP($AY17,$Y15:$AG18,9,FALSE)</f>
        <v>#REF!</v>
      </c>
      <c r="BA17" s="1" t="e">
        <f>VLOOKUP($AY17,$Y15:$AG18,8,FALSE)</f>
        <v>#REF!</v>
      </c>
      <c r="BB17" s="1" t="e">
        <f>VLOOKUP($AY17,$Y15:$AG18,6,FALSE)</f>
        <v>#REF!</v>
      </c>
      <c r="BC17" s="1" t="e">
        <f>IF(AND($AZ15=$AZ17,$BA15=$BA17,$BB17&gt;$BB15),$AY15,$AY17)</f>
        <v>#REF!</v>
      </c>
      <c r="BD17" s="1" t="e">
        <f>VLOOKUP($BC17,$Y15:$AG18,9,FALSE)</f>
        <v>#REF!</v>
      </c>
      <c r="BE17" s="1" t="e">
        <f>VLOOKUP($BC17,$Y15:$AG18,8,FALSE)</f>
        <v>#REF!</v>
      </c>
      <c r="BF17" s="1" t="e">
        <f>VLOOKUP($BC17,$Y15:$AG18,6,FALSE)</f>
        <v>#REF!</v>
      </c>
      <c r="BG17" s="1" t="e">
        <f>IF(AND($BD16=$BD17,$BE16=$BE17,$BF17&gt;$BF16),$BC16,$BC17)</f>
        <v>#REF!</v>
      </c>
      <c r="BH17" s="1" t="e">
        <f>VLOOKUP($BG17,$Y15:$AG18,9,FALSE)</f>
        <v>#REF!</v>
      </c>
      <c r="BI17" s="1" t="e">
        <f>VLOOKUP($BG17,$Y15:$AG18,8,FALSE)</f>
        <v>#REF!</v>
      </c>
      <c r="BJ17" s="1" t="e">
        <f>VLOOKUP($BG17,$Y15:$AG18,6,FALSE)</f>
        <v>#REF!</v>
      </c>
      <c r="BN17" s="1" t="e">
        <f>BG17</f>
        <v>#REF!</v>
      </c>
      <c r="BO17" s="1" t="e">
        <f>VLOOKUP($BN17,$Y15:$AG18,2,FALSE)</f>
        <v>#REF!</v>
      </c>
      <c r="BP17" s="1" t="e">
        <f>VLOOKUP($BN17,$Y15:$AG18,3,FALSE)</f>
        <v>#REF!</v>
      </c>
      <c r="BQ17" s="1" t="e">
        <f>VLOOKUP($BN17,$Y15:$AG18,4,FALSE)</f>
        <v>#REF!</v>
      </c>
      <c r="BR17" s="1" t="e">
        <f>VLOOKUP($BN17,$Y15:$AG18,5,FALSE)</f>
        <v>#REF!</v>
      </c>
      <c r="BS17" s="1" t="e">
        <f>VLOOKUP($BN17,$Y15:$AG18,6,FALSE)</f>
        <v>#REF!</v>
      </c>
      <c r="BT17" s="1" t="e">
        <f>VLOOKUP($BN17,$Y15:$AG18,7,FALSE)</f>
        <v>#REF!</v>
      </c>
      <c r="BU17" s="1" t="e">
        <f>VLOOKUP($BN17,$Y15:$AG18,8,FALSE)</f>
        <v>#REF!</v>
      </c>
      <c r="BV17" s="1" t="e">
        <f>VLOOKUP($BN17,$Y15:$AG18,9,FALSE)</f>
        <v>#REF!</v>
      </c>
      <c r="BX17" s="39"/>
      <c r="BY17" s="39"/>
      <c r="BZ17" s="85" t="s">
        <v>69</v>
      </c>
      <c r="CC17" s="27" t="s">
        <v>26</v>
      </c>
      <c r="CD17" s="27" t="e">
        <f t="shared" ref="CD17:CF19" si="43">FIND(CC17,$CC$15)</f>
        <v>#N/A</v>
      </c>
      <c r="CE17" s="27" t="s">
        <v>26</v>
      </c>
      <c r="CF17" s="27" t="e">
        <f t="shared" si="43"/>
        <v>#N/A</v>
      </c>
      <c r="CG17" s="27" t="s">
        <v>26</v>
      </c>
      <c r="CH17" s="27" t="e">
        <f t="shared" ref="CH17:CJ17" si="44">FIND(CG17,$CC$15)</f>
        <v>#N/A</v>
      </c>
      <c r="CI17" s="27" t="s">
        <v>26</v>
      </c>
      <c r="CJ17" s="27" t="e">
        <f t="shared" si="44"/>
        <v>#N/A</v>
      </c>
      <c r="CK17" s="27" t="s">
        <v>26</v>
      </c>
      <c r="CL17" s="27" t="e">
        <f t="shared" ref="CL17:CN17" si="45">FIND(CK17,$CC$15)</f>
        <v>#N/A</v>
      </c>
      <c r="CM17" s="27" t="s">
        <v>26</v>
      </c>
      <c r="CN17" s="27" t="e">
        <f t="shared" si="45"/>
        <v>#N/A</v>
      </c>
      <c r="CO17" s="27" t="s">
        <v>27</v>
      </c>
      <c r="CP17" s="27" t="e">
        <f t="shared" ref="CP17:CR17" si="46">FIND(CO17,$CC$15)</f>
        <v>#N/A</v>
      </c>
      <c r="CQ17" s="27" t="s">
        <v>27</v>
      </c>
      <c r="CR17" s="27" t="e">
        <f t="shared" si="46"/>
        <v>#N/A</v>
      </c>
      <c r="CS17" s="27" t="s">
        <v>27</v>
      </c>
      <c r="CT17" s="27" t="e">
        <f t="shared" ref="CT17:CV17" si="47">FIND(CS17,$CC$15)</f>
        <v>#N/A</v>
      </c>
      <c r="CU17" s="27" t="s">
        <v>16</v>
      </c>
      <c r="CV17" s="27" t="e">
        <f t="shared" si="47"/>
        <v>#N/A</v>
      </c>
      <c r="CW17" s="27" t="s">
        <v>27</v>
      </c>
      <c r="CX17" s="27" t="e">
        <f t="shared" ref="CX17:CZ17" si="48">FIND(CW17,$CC$15)</f>
        <v>#N/A</v>
      </c>
      <c r="CY17" s="27" t="s">
        <v>27</v>
      </c>
      <c r="CZ17" s="27" t="e">
        <f t="shared" si="48"/>
        <v>#N/A</v>
      </c>
      <c r="DA17" s="27" t="s">
        <v>27</v>
      </c>
      <c r="DB17" s="27" t="e">
        <f t="shared" ref="DB17:DD17" si="49">FIND(DA17,$CC$15)</f>
        <v>#N/A</v>
      </c>
      <c r="DC17" s="27" t="s">
        <v>16</v>
      </c>
      <c r="DD17" s="27" t="e">
        <f t="shared" si="49"/>
        <v>#N/A</v>
      </c>
      <c r="DE17" s="27" t="s">
        <v>16</v>
      </c>
      <c r="DF17" s="27" t="e">
        <f t="shared" ref="DF17" si="50">FIND(DE17,$CC$15)</f>
        <v>#N/A</v>
      </c>
    </row>
    <row r="18" spans="2:110" ht="15.75" thickBot="1" x14ac:dyDescent="0.25">
      <c r="B18" s="64">
        <v>42535</v>
      </c>
      <c r="C18" s="73">
        <v>0.91666666666666663</v>
      </c>
      <c r="D18" s="65">
        <v>12</v>
      </c>
      <c r="E18" s="66" t="s">
        <v>54</v>
      </c>
      <c r="F18" s="57"/>
      <c r="G18" s="57"/>
      <c r="H18" s="67" t="s">
        <v>64</v>
      </c>
      <c r="I18" s="67" t="e">
        <f t="shared" si="1"/>
        <v>#N/A</v>
      </c>
      <c r="J18" s="68" t="s">
        <v>78</v>
      </c>
      <c r="K18" s="69" t="e">
        <f t="shared" si="2"/>
        <v>#REF!</v>
      </c>
      <c r="L18" s="81" t="str">
        <f>IF(F17&lt;&gt;"",IF(F17&gt;G17,E17,IF(G17&gt;F17,H17,"Draw")),"")</f>
        <v/>
      </c>
      <c r="M18" s="81" t="str">
        <f>IF(F17&lt;&gt;"",IF(F17&lt;G17,E17,IF(G17&lt;F17,H17,"Draw")),"")</f>
        <v/>
      </c>
      <c r="O18" s="46" t="s">
        <v>37</v>
      </c>
      <c r="P18" s="47"/>
      <c r="Q18" s="47"/>
      <c r="R18" s="47"/>
      <c r="S18" s="47"/>
      <c r="T18" s="47"/>
      <c r="U18" s="47"/>
      <c r="V18" s="47"/>
      <c r="W18" s="48"/>
      <c r="Y18" s="1" t="s">
        <v>70</v>
      </c>
      <c r="Z18" s="1">
        <f>COUNT(Словакия_Played)</f>
        <v>0</v>
      </c>
      <c r="AA18" s="1">
        <f>COUNTIF(Groupstage_Winners,"Словакия")</f>
        <v>0</v>
      </c>
      <c r="AB18" s="1">
        <f>COUNTIF(Groupstage_Losers,"Словакия")</f>
        <v>0</v>
      </c>
      <c r="AC18" s="1">
        <f>Z18-(AA18+AB18)</f>
        <v>0</v>
      </c>
      <c r="AD18" s="1">
        <f>SUM(Словакия_Played)</f>
        <v>0</v>
      </c>
      <c r="AE18" s="1">
        <f>SUM(Словакия_Against)</f>
        <v>0</v>
      </c>
      <c r="AF18" s="1">
        <f>AD18-AE18</f>
        <v>0</v>
      </c>
      <c r="AG18" s="1" t="e">
        <f>AA18*Winpoints+AC18*Drawpoints</f>
        <v>#REF!</v>
      </c>
      <c r="AH18" s="1" t="e">
        <f>IF($AG18&lt;=$AG17,$Y18,$Y17)</f>
        <v>#REF!</v>
      </c>
      <c r="AI18" s="1" t="e">
        <f>VLOOKUP($AH18,$Y15:$AG18,9,FALSE)</f>
        <v>#REF!</v>
      </c>
      <c r="AJ18" s="1" t="e">
        <f>IF(AI18&lt;=AI16,AH18,AH16)</f>
        <v>#REF!</v>
      </c>
      <c r="AK18" s="1" t="e">
        <f>VLOOKUP($AJ18,$Y15:$AG18,9,FALSE)</f>
        <v>#REF!</v>
      </c>
      <c r="AL18" s="1" t="e">
        <f>IF($AK18&lt;=$AK15,$AJ18,$AJ15)</f>
        <v>#REF!</v>
      </c>
      <c r="AM18" s="1" t="e">
        <f>VLOOKUP($AL18,$Y15:$AG18,9,FALSE)</f>
        <v>#REF!</v>
      </c>
      <c r="AN18" s="1" t="e">
        <f>VLOOKUP($AL18,$Y15:$AG18,8,FALSE)</f>
        <v>#REF!</v>
      </c>
      <c r="AO18" s="1" t="e">
        <f>IF(AND($AM17=$AM18,$AN18&gt;$AN17),$AL17,$AL18)</f>
        <v>#REF!</v>
      </c>
      <c r="AP18" s="1" t="e">
        <f>VLOOKUP($AO18,$Y15:$AG18,9,FALSE)</f>
        <v>#REF!</v>
      </c>
      <c r="AQ18" s="1" t="e">
        <f>VLOOKUP($AO18,$Y15:$AG18,8,FALSE)</f>
        <v>#REF!</v>
      </c>
      <c r="AR18" s="1" t="e">
        <f>IF(AND($AP16=$AP18,$AQ18&gt;$AQ16),$AO16,$AO18)</f>
        <v>#REF!</v>
      </c>
      <c r="AS18" s="1" t="e">
        <f>VLOOKUP($AR18,$Y15:$AG18,9,FALSE)</f>
        <v>#REF!</v>
      </c>
      <c r="AT18" s="1" t="e">
        <f>VLOOKUP($AR18,$Y15:$AG18,8,FALSE)</f>
        <v>#REF!</v>
      </c>
      <c r="AU18" s="1" t="e">
        <f>IF(AND($AS15=$AS18,$AT18&gt;$AT15),$AR15,$AR18)</f>
        <v>#REF!</v>
      </c>
      <c r="AV18" s="1" t="e">
        <f>VLOOKUP($AU18,$Y15:$AG18,9,FALSE)</f>
        <v>#REF!</v>
      </c>
      <c r="AW18" s="1" t="e">
        <f>VLOOKUP($AU18,$Y15:$AG18,8,FALSE)</f>
        <v>#REF!</v>
      </c>
      <c r="AX18" s="1" t="e">
        <f>VLOOKUP($AU18,$Y15:$AG18,6,FALSE)</f>
        <v>#REF!</v>
      </c>
      <c r="AY18" s="1" t="e">
        <f>IF(AND($AV17=$AV18,$AW17=$AW18,$AX18&gt;$AX17),$AU17,$AU18)</f>
        <v>#REF!</v>
      </c>
      <c r="AZ18" s="1" t="e">
        <f>VLOOKUP($AY18,$Y15:$AG18,9,FALSE)</f>
        <v>#REF!</v>
      </c>
      <c r="BA18" s="1" t="e">
        <f>VLOOKUP($AY18,$Y15:$AG18,8,FALSE)</f>
        <v>#REF!</v>
      </c>
      <c r="BB18" s="1" t="e">
        <f>VLOOKUP($AY18,$Y15:$AG18,6,FALSE)</f>
        <v>#REF!</v>
      </c>
      <c r="BC18" s="1" t="e">
        <f>IF(AND($AZ16=$AZ18,$BA16=$BA18,$BB18&gt;$BB16),$AY16,$AY18)</f>
        <v>#REF!</v>
      </c>
      <c r="BD18" s="1" t="e">
        <f>VLOOKUP($BC18,$Y15:$AG18,9,FALSE)</f>
        <v>#REF!</v>
      </c>
      <c r="BE18" s="1" t="e">
        <f>VLOOKUP($BC18,$Y15:$AG18,8,FALSE)</f>
        <v>#REF!</v>
      </c>
      <c r="BF18" s="1" t="e">
        <f>VLOOKUP($BC18,$Y15:$AG18,6,FALSE)</f>
        <v>#REF!</v>
      </c>
      <c r="BG18" s="1" t="e">
        <f>IF(AND($BD15=$BD18,$BE15=$BE18,$BF18&gt;$BF15),$BC15,$BC18)</f>
        <v>#REF!</v>
      </c>
      <c r="BH18" s="1" t="e">
        <f>VLOOKUP($BG18,$Y15:$AG18,9,FALSE)</f>
        <v>#REF!</v>
      </c>
      <c r="BI18" s="1" t="e">
        <f>VLOOKUP($BG18,$Y15:$AG18,8,FALSE)</f>
        <v>#REF!</v>
      </c>
      <c r="BJ18" s="1" t="e">
        <f>VLOOKUP($BG18,$Y15:$AG18,6,FALSE)</f>
        <v>#REF!</v>
      </c>
      <c r="BN18" s="1" t="e">
        <f>BG18</f>
        <v>#REF!</v>
      </c>
      <c r="BO18" s="1" t="e">
        <f>VLOOKUP($BN18,$Y15:$AG18,2,FALSE)</f>
        <v>#REF!</v>
      </c>
      <c r="BP18" s="1" t="e">
        <f>VLOOKUP($BN18,$Y15:$AG18,3,FALSE)</f>
        <v>#REF!</v>
      </c>
      <c r="BQ18" s="1" t="e">
        <f>VLOOKUP($BN18,$Y15:$AG18,4,FALSE)</f>
        <v>#REF!</v>
      </c>
      <c r="BR18" s="1" t="e">
        <f>VLOOKUP($BN18,$Y15:$AG18,5,FALSE)</f>
        <v>#REF!</v>
      </c>
      <c r="BS18" s="1" t="e">
        <f>VLOOKUP($BN18,$Y15:$AG18,6,FALSE)</f>
        <v>#REF!</v>
      </c>
      <c r="BT18" s="1" t="e">
        <f>VLOOKUP($BN18,$Y15:$AG18,7,FALSE)</f>
        <v>#REF!</v>
      </c>
      <c r="BU18" s="1" t="e">
        <f>VLOOKUP($BN18,$Y15:$AG18,8,FALSE)</f>
        <v>#REF!</v>
      </c>
      <c r="BV18" s="1" t="e">
        <f>VLOOKUP($BN18,$Y15:$AG18,9,FALSE)</f>
        <v>#REF!</v>
      </c>
      <c r="BZ18" s="38" t="s">
        <v>54</v>
      </c>
      <c r="CC18" s="27" t="s">
        <v>27</v>
      </c>
      <c r="CD18" s="27" t="e">
        <f t="shared" si="43"/>
        <v>#N/A</v>
      </c>
      <c r="CE18" s="27" t="s">
        <v>27</v>
      </c>
      <c r="CF18" s="27" t="e">
        <f t="shared" si="43"/>
        <v>#N/A</v>
      </c>
      <c r="CG18" s="27" t="s">
        <v>27</v>
      </c>
      <c r="CH18" s="27" t="e">
        <f t="shared" ref="CH18:CJ18" si="51">FIND(CG18,$CC$15)</f>
        <v>#N/A</v>
      </c>
      <c r="CI18" s="27" t="s">
        <v>16</v>
      </c>
      <c r="CJ18" s="27" t="e">
        <f t="shared" si="51"/>
        <v>#N/A</v>
      </c>
      <c r="CK18" s="27" t="s">
        <v>16</v>
      </c>
      <c r="CL18" s="27" t="e">
        <f t="shared" ref="CL18:CN18" si="52">FIND(CK18,$CC$15)</f>
        <v>#N/A</v>
      </c>
      <c r="CM18" s="27" t="s">
        <v>24</v>
      </c>
      <c r="CN18" s="27" t="e">
        <f t="shared" si="52"/>
        <v>#N/A</v>
      </c>
      <c r="CO18" s="27" t="s">
        <v>16</v>
      </c>
      <c r="CP18" s="27" t="e">
        <f t="shared" ref="CP18:CR18" si="53">FIND(CO18,$CC$15)</f>
        <v>#N/A</v>
      </c>
      <c r="CQ18" s="27" t="s">
        <v>16</v>
      </c>
      <c r="CR18" s="27" t="e">
        <f t="shared" si="53"/>
        <v>#N/A</v>
      </c>
      <c r="CS18" s="27" t="s">
        <v>24</v>
      </c>
      <c r="CT18" s="27" t="e">
        <f t="shared" ref="CT18:CV18" si="54">FIND(CS18,$CC$15)</f>
        <v>#N/A</v>
      </c>
      <c r="CU18" s="27" t="s">
        <v>24</v>
      </c>
      <c r="CV18" s="27" t="e">
        <f t="shared" si="54"/>
        <v>#N/A</v>
      </c>
      <c r="CW18" s="27" t="s">
        <v>16</v>
      </c>
      <c r="CX18" s="27" t="e">
        <f t="shared" ref="CX18:CZ18" si="55">FIND(CW18,$CC$15)</f>
        <v>#N/A</v>
      </c>
      <c r="CY18" s="27" t="s">
        <v>16</v>
      </c>
      <c r="CZ18" s="27" t="e">
        <f t="shared" si="55"/>
        <v>#N/A</v>
      </c>
      <c r="DA18" s="27" t="s">
        <v>24</v>
      </c>
      <c r="DB18" s="27" t="e">
        <f t="shared" ref="DB18:DD18" si="56">FIND(DA18,$CC$15)</f>
        <v>#N/A</v>
      </c>
      <c r="DC18" s="27" t="s">
        <v>24</v>
      </c>
      <c r="DD18" s="27" t="e">
        <f t="shared" si="56"/>
        <v>#N/A</v>
      </c>
      <c r="DE18" s="27" t="s">
        <v>24</v>
      </c>
      <c r="DF18" s="27" t="e">
        <f t="shared" ref="DF18" si="57">FIND(DE18,$CC$15)</f>
        <v>#N/A</v>
      </c>
    </row>
    <row r="19" spans="2:110" ht="13.5" thickBot="1" x14ac:dyDescent="0.25">
      <c r="B19" s="44">
        <v>42536</v>
      </c>
      <c r="C19" s="71">
        <v>0.66666666666666663</v>
      </c>
      <c r="D19" s="31">
        <v>13</v>
      </c>
      <c r="E19" s="33" t="s">
        <v>46</v>
      </c>
      <c r="F19" s="63"/>
      <c r="G19" s="63"/>
      <c r="H19" s="36" t="s">
        <v>70</v>
      </c>
      <c r="I19" s="36" t="e">
        <f t="shared" si="1"/>
        <v>#N/A</v>
      </c>
      <c r="J19" s="50" t="s">
        <v>82</v>
      </c>
      <c r="K19" s="20" t="e">
        <f t="shared" si="2"/>
        <v>#REF!</v>
      </c>
      <c r="L19" s="1" t="str">
        <f t="shared" ref="L19:L33" si="58">IF(F19&lt;&gt;"",IF(F19&gt;G19,E19,IF(G19&gt;F19,H19,"Draw")),"")</f>
        <v/>
      </c>
      <c r="M19" s="1" t="str">
        <f t="shared" ref="M19:M33" si="59">IF(F19&lt;&gt;"",IF(F19&lt;G19,E19,IF(G19&lt;F19,H19,"Draw")),"")</f>
        <v/>
      </c>
      <c r="O19" s="9"/>
      <c r="P19" s="10" t="s">
        <v>13</v>
      </c>
      <c r="Q19" s="10" t="s">
        <v>14</v>
      </c>
      <c r="R19" s="10" t="s">
        <v>15</v>
      </c>
      <c r="S19" s="10" t="s">
        <v>16</v>
      </c>
      <c r="T19" s="10" t="s">
        <v>17</v>
      </c>
      <c r="U19" s="10" t="s">
        <v>18</v>
      </c>
      <c r="V19" s="10" t="s">
        <v>19</v>
      </c>
      <c r="W19" s="11" t="s">
        <v>20</v>
      </c>
      <c r="BZ19" s="38" t="s">
        <v>46</v>
      </c>
      <c r="CC19" s="27" t="s">
        <v>16</v>
      </c>
      <c r="CD19" s="27" t="e">
        <f t="shared" si="43"/>
        <v>#N/A</v>
      </c>
      <c r="CE19" s="27" t="s">
        <v>24</v>
      </c>
      <c r="CF19" s="27" t="e">
        <f t="shared" si="43"/>
        <v>#N/A</v>
      </c>
      <c r="CG19" s="27" t="s">
        <v>17</v>
      </c>
      <c r="CH19" s="27" t="e">
        <f t="shared" ref="CH19:CJ19" si="60">FIND(CG19,$CC$15)</f>
        <v>#N/A</v>
      </c>
      <c r="CI19" s="27" t="s">
        <v>24</v>
      </c>
      <c r="CJ19" s="27" t="e">
        <f t="shared" si="60"/>
        <v>#N/A</v>
      </c>
      <c r="CK19" s="27" t="s">
        <v>17</v>
      </c>
      <c r="CL19" s="27" t="e">
        <f t="shared" ref="CL19:CN19" si="61">FIND(CK19,$CC$15)</f>
        <v>#N/A</v>
      </c>
      <c r="CM19" s="27" t="s">
        <v>17</v>
      </c>
      <c r="CN19" s="27" t="e">
        <f t="shared" si="61"/>
        <v>#N/A</v>
      </c>
      <c r="CO19" s="27" t="s">
        <v>24</v>
      </c>
      <c r="CP19" s="27" t="e">
        <f t="shared" ref="CP19:CR19" si="62">FIND(CO19,$CC$15)</f>
        <v>#N/A</v>
      </c>
      <c r="CQ19" s="27" t="s">
        <v>17</v>
      </c>
      <c r="CR19" s="27" t="e">
        <f t="shared" si="62"/>
        <v>#N/A</v>
      </c>
      <c r="CS19" s="27" t="s">
        <v>17</v>
      </c>
      <c r="CT19" s="27" t="e">
        <f t="shared" ref="CT19:CV19" si="63">FIND(CS19,$CC$15)</f>
        <v>#N/A</v>
      </c>
      <c r="CU19" s="27" t="s">
        <v>17</v>
      </c>
      <c r="CV19" s="27" t="e">
        <f t="shared" si="63"/>
        <v>#N/A</v>
      </c>
      <c r="CW19" s="27" t="s">
        <v>24</v>
      </c>
      <c r="CX19" s="27" t="e">
        <f t="shared" ref="CX19:CZ19" si="64">FIND(CW19,$CC$15)</f>
        <v>#N/A</v>
      </c>
      <c r="CY19" s="27" t="s">
        <v>17</v>
      </c>
      <c r="CZ19" s="27" t="e">
        <f t="shared" si="64"/>
        <v>#N/A</v>
      </c>
      <c r="DA19" s="27" t="s">
        <v>17</v>
      </c>
      <c r="DB19" s="27" t="e">
        <f t="shared" ref="DB19:DD19" si="65">FIND(DA19,$CC$15)</f>
        <v>#N/A</v>
      </c>
      <c r="DC19" s="27" t="s">
        <v>17</v>
      </c>
      <c r="DD19" s="27" t="e">
        <f t="shared" si="65"/>
        <v>#N/A</v>
      </c>
      <c r="DE19" s="27" t="s">
        <v>17</v>
      </c>
      <c r="DF19" s="27" t="e">
        <f t="shared" ref="DF19" si="66">FIND(DE19,$CC$15)</f>
        <v>#N/A</v>
      </c>
    </row>
    <row r="20" spans="2:110" ht="13.5" thickBot="1" x14ac:dyDescent="0.25">
      <c r="B20" s="44">
        <v>42536</v>
      </c>
      <c r="C20" s="71">
        <v>0.79166666666666663</v>
      </c>
      <c r="D20" s="31">
        <v>14</v>
      </c>
      <c r="E20" s="33" t="s">
        <v>67</v>
      </c>
      <c r="F20" s="57"/>
      <c r="G20" s="57"/>
      <c r="H20" s="36" t="s">
        <v>51</v>
      </c>
      <c r="I20" s="36" t="e">
        <f t="shared" si="1"/>
        <v>#N/A</v>
      </c>
      <c r="J20" s="50" t="s">
        <v>79</v>
      </c>
      <c r="K20" s="20" t="e">
        <f t="shared" si="2"/>
        <v>#REF!</v>
      </c>
      <c r="L20" s="1" t="str">
        <f t="shared" si="58"/>
        <v/>
      </c>
      <c r="M20" s="1" t="str">
        <f t="shared" si="59"/>
        <v/>
      </c>
      <c r="O20" s="16" t="e">
        <f>#REF!</f>
        <v>#REF!</v>
      </c>
      <c r="P20" s="17" t="e">
        <f>#REF!</f>
        <v>#REF!</v>
      </c>
      <c r="Q20" s="17" t="e">
        <f>#REF!</f>
        <v>#REF!</v>
      </c>
      <c r="R20" s="17" t="e">
        <f>#REF!</f>
        <v>#REF!</v>
      </c>
      <c r="S20" s="17" t="e">
        <f>#REF!</f>
        <v>#REF!</v>
      </c>
      <c r="T20" s="17" t="e">
        <f>#REF!</f>
        <v>#REF!</v>
      </c>
      <c r="U20" s="17" t="e">
        <f>#REF!</f>
        <v>#REF!</v>
      </c>
      <c r="V20" s="17" t="e">
        <f>#REF!</f>
        <v>#REF!</v>
      </c>
      <c r="W20" s="18" t="e">
        <f>#REF!</f>
        <v>#REF!</v>
      </c>
      <c r="Y20" s="1" t="s">
        <v>28</v>
      </c>
      <c r="BZ20" s="38" t="s">
        <v>67</v>
      </c>
      <c r="CC20" s="27"/>
      <c r="CD20" s="27">
        <f>COUNT(CD16:CD19)</f>
        <v>0</v>
      </c>
      <c r="CE20" s="27"/>
      <c r="CF20" s="27">
        <f>COUNT(CF16:CF19)</f>
        <v>0</v>
      </c>
      <c r="CG20" s="27"/>
      <c r="CH20" s="27">
        <f>COUNT(CH16:CH19)</f>
        <v>0</v>
      </c>
      <c r="CI20" s="27"/>
      <c r="CJ20" s="27">
        <f>COUNT(CJ16:CJ19)</f>
        <v>0</v>
      </c>
      <c r="CL20" s="27">
        <f>COUNT(CL16:CL19)</f>
        <v>0</v>
      </c>
      <c r="CN20" s="27">
        <f>COUNT(CN16:CN19)</f>
        <v>0</v>
      </c>
      <c r="CP20" s="27">
        <f>COUNT(CP16:CP19)</f>
        <v>0</v>
      </c>
      <c r="CR20" s="27">
        <f>COUNT(CR16:CR19)</f>
        <v>0</v>
      </c>
      <c r="CS20" s="27"/>
      <c r="CT20" s="27">
        <f>COUNT(CT16:CT19)</f>
        <v>0</v>
      </c>
      <c r="CU20" s="27"/>
      <c r="CV20" s="27">
        <f>COUNT(CV16:CV19)</f>
        <v>0</v>
      </c>
      <c r="CX20" s="27">
        <f>COUNT(CX16:CX19)</f>
        <v>0</v>
      </c>
      <c r="CZ20" s="27">
        <f>COUNT(CZ16:CZ19)</f>
        <v>0</v>
      </c>
      <c r="DB20" s="27">
        <f>COUNT(DB16:DB19)</f>
        <v>0</v>
      </c>
      <c r="DD20" s="27">
        <f>COUNT(DD16:DD19)</f>
        <v>0</v>
      </c>
      <c r="DF20" s="27">
        <f>COUNT(DF16:DF19)</f>
        <v>0</v>
      </c>
    </row>
    <row r="21" spans="2:110" ht="15.75" thickBot="1" x14ac:dyDescent="0.3">
      <c r="B21" s="44">
        <v>42536</v>
      </c>
      <c r="C21" s="71">
        <v>0.91666666666666663</v>
      </c>
      <c r="D21" s="31">
        <v>15</v>
      </c>
      <c r="E21" s="33" t="s">
        <v>52</v>
      </c>
      <c r="F21" s="57"/>
      <c r="G21" s="57"/>
      <c r="H21" s="36" t="s">
        <v>68</v>
      </c>
      <c r="I21" s="36" t="e">
        <f t="shared" si="1"/>
        <v>#N/A</v>
      </c>
      <c r="J21" s="50" t="s">
        <v>86</v>
      </c>
      <c r="K21" s="20" t="e">
        <f t="shared" si="2"/>
        <v>#REF!</v>
      </c>
      <c r="L21" s="1" t="str">
        <f t="shared" si="58"/>
        <v/>
      </c>
      <c r="M21" s="1" t="str">
        <f t="shared" si="59"/>
        <v/>
      </c>
      <c r="O21" s="16" t="e">
        <f>#REF!</f>
        <v>#REF!</v>
      </c>
      <c r="P21" s="17" t="e">
        <f>#REF!</f>
        <v>#REF!</v>
      </c>
      <c r="Q21" s="17" t="e">
        <f>#REF!</f>
        <v>#REF!</v>
      </c>
      <c r="R21" s="17" t="e">
        <f>#REF!</f>
        <v>#REF!</v>
      </c>
      <c r="S21" s="17" t="e">
        <f>#REF!</f>
        <v>#REF!</v>
      </c>
      <c r="T21" s="17" t="e">
        <f>#REF!</f>
        <v>#REF!</v>
      </c>
      <c r="U21" s="17" t="e">
        <f>#REF!</f>
        <v>#REF!</v>
      </c>
      <c r="V21" s="17" t="e">
        <f>#REF!</f>
        <v>#REF!</v>
      </c>
      <c r="W21" s="18" t="e">
        <f>#REF!</f>
        <v>#REF!</v>
      </c>
      <c r="Z21" s="1" t="s">
        <v>21</v>
      </c>
      <c r="AA21" s="1" t="s">
        <v>14</v>
      </c>
      <c r="AB21" s="1" t="s">
        <v>15</v>
      </c>
      <c r="AC21" s="1" t="s">
        <v>16</v>
      </c>
      <c r="AD21" s="1" t="s">
        <v>17</v>
      </c>
      <c r="AE21" s="1" t="s">
        <v>18</v>
      </c>
      <c r="AF21" s="1" t="s">
        <v>19</v>
      </c>
      <c r="AG21" s="1" t="s">
        <v>22</v>
      </c>
      <c r="BZ21" s="38" t="s">
        <v>77</v>
      </c>
      <c r="CC21" s="27"/>
      <c r="CD21" s="27"/>
      <c r="CE21" s="27"/>
      <c r="CF21" s="27"/>
      <c r="CG21" s="27"/>
      <c r="CH21" s="27"/>
      <c r="CI21" s="27"/>
      <c r="CJ21" s="27"/>
      <c r="CL21" s="27"/>
      <c r="CN21" s="27"/>
      <c r="CP21" s="83">
        <v>3</v>
      </c>
      <c r="CR21" s="83">
        <v>2</v>
      </c>
      <c r="CS21" s="83">
        <v>1</v>
      </c>
      <c r="CV21" s="82"/>
    </row>
    <row r="22" spans="2:110" ht="13.5" thickBot="1" x14ac:dyDescent="0.25">
      <c r="B22" s="44">
        <v>42537</v>
      </c>
      <c r="C22" s="71">
        <v>0.66666666666666663</v>
      </c>
      <c r="D22" s="31">
        <v>16</v>
      </c>
      <c r="E22" s="33" t="s">
        <v>50</v>
      </c>
      <c r="F22" s="57"/>
      <c r="G22" s="57"/>
      <c r="H22" s="36" t="s">
        <v>66</v>
      </c>
      <c r="I22" s="36" t="e">
        <f t="shared" si="1"/>
        <v>#N/A</v>
      </c>
      <c r="J22" s="50" t="s">
        <v>80</v>
      </c>
      <c r="K22" s="20" t="e">
        <f t="shared" si="2"/>
        <v>#REF!</v>
      </c>
      <c r="L22" s="1" t="str">
        <f t="shared" si="58"/>
        <v/>
      </c>
      <c r="M22" s="1" t="str">
        <f t="shared" si="59"/>
        <v/>
      </c>
      <c r="O22" s="16" t="e">
        <f>#REF!</f>
        <v>#REF!</v>
      </c>
      <c r="P22" s="17" t="e">
        <f>#REF!</f>
        <v>#REF!</v>
      </c>
      <c r="Q22" s="17" t="e">
        <f>#REF!</f>
        <v>#REF!</v>
      </c>
      <c r="R22" s="17" t="e">
        <f>#REF!</f>
        <v>#REF!</v>
      </c>
      <c r="S22" s="17" t="e">
        <f>#REF!</f>
        <v>#REF!</v>
      </c>
      <c r="T22" s="17" t="e">
        <f>#REF!</f>
        <v>#REF!</v>
      </c>
      <c r="U22" s="17" t="e">
        <f>#REF!</f>
        <v>#REF!</v>
      </c>
      <c r="V22" s="17" t="e">
        <f>#REF!</f>
        <v>#REF!</v>
      </c>
      <c r="W22" s="18" t="e">
        <f>#REF!</f>
        <v>#REF!</v>
      </c>
      <c r="Y22" s="1" t="s">
        <v>53</v>
      </c>
      <c r="Z22" s="1">
        <f>COUNT(Германия_Played)</f>
        <v>0</v>
      </c>
      <c r="AA22" s="1">
        <f>COUNTIF(Groupstage_Winners,"Германия")</f>
        <v>0</v>
      </c>
      <c r="AB22" s="1">
        <f>COUNTIF(Groupstage_Losers,"Германия")</f>
        <v>0</v>
      </c>
      <c r="AC22" s="1">
        <f>Z22-(AA22+AB22)</f>
        <v>0</v>
      </c>
      <c r="AD22" s="1">
        <f>SUM(Германия_Played)</f>
        <v>0</v>
      </c>
      <c r="AE22" s="1">
        <f>SUM(Германия_Against)</f>
        <v>0</v>
      </c>
      <c r="AF22" s="1">
        <f>AD22-AE22</f>
        <v>0</v>
      </c>
      <c r="AG22" s="1" t="e">
        <f>AA22*Winpoints+AC22*Drawpoints</f>
        <v>#REF!</v>
      </c>
      <c r="AH22" s="1" t="e">
        <f>IF($AG22&gt;=$AG23,$Y22,$Y23)</f>
        <v>#REF!</v>
      </c>
      <c r="AI22" s="1" t="e">
        <f>VLOOKUP($AH22,$Y22:$AG25,9,FALSE)</f>
        <v>#REF!</v>
      </c>
      <c r="AJ22" s="1" t="e">
        <f>IF($AI22&gt;=$AI24,$AH22,$AH24)</f>
        <v>#REF!</v>
      </c>
      <c r="AK22" s="1" t="e">
        <f>VLOOKUP($AJ22,$Y22:$AG25,9,FALSE)</f>
        <v>#REF!</v>
      </c>
      <c r="AL22" s="1" t="e">
        <f>IF($AK22&gt;=$AK25,$AJ22,$AJ25)</f>
        <v>#REF!</v>
      </c>
      <c r="AM22" s="1" t="e">
        <f>VLOOKUP($AL22,$Y22:$AG25,9,FALSE)</f>
        <v>#REF!</v>
      </c>
      <c r="AN22" s="1" t="e">
        <f>VLOOKUP($AL22,$Y22:$AG25,8,FALSE)</f>
        <v>#REF!</v>
      </c>
      <c r="AO22" s="1" t="e">
        <f>IF(AND($AM22=$AM23,$AN23&gt;$AN22),$AL23,$AL22)</f>
        <v>#REF!</v>
      </c>
      <c r="AP22" s="1" t="e">
        <f>VLOOKUP($AO22,$Y22:$AG25,9,FALSE)</f>
        <v>#REF!</v>
      </c>
      <c r="AQ22" s="1" t="e">
        <f>VLOOKUP($AO22,$Y22:$AG25,8,FALSE)</f>
        <v>#REF!</v>
      </c>
      <c r="AR22" s="1" t="e">
        <f>IF(AND($AP22=$AP24,$AQ24&gt;$AQ22),$AO24,$AO22)</f>
        <v>#REF!</v>
      </c>
      <c r="AS22" s="1" t="e">
        <f>VLOOKUP($AR22,$Y22:$AG25,9,FALSE)</f>
        <v>#REF!</v>
      </c>
      <c r="AT22" s="1" t="e">
        <f>VLOOKUP($AR22,$Y22:$AG25,8,FALSE)</f>
        <v>#REF!</v>
      </c>
      <c r="AU22" s="1" t="e">
        <f>IF(AND($AS22=$AS25,$AT25&gt;$AT22),$AR25,$AR22)</f>
        <v>#REF!</v>
      </c>
      <c r="AV22" s="1" t="e">
        <f>VLOOKUP($AU22,$Y22:$AG25,9,FALSE)</f>
        <v>#REF!</v>
      </c>
      <c r="AW22" s="1" t="e">
        <f>VLOOKUP($AU22,$Y22:$AG25,8,FALSE)</f>
        <v>#REF!</v>
      </c>
      <c r="AX22" s="1" t="e">
        <f>VLOOKUP($AU22,$Y22:$AG25,6,FALSE)</f>
        <v>#REF!</v>
      </c>
      <c r="AY22" s="1" t="e">
        <f>IF(AND($AV22=$AV23,$AW22=$AW23,$AX23&gt;$AX22),$AU23,$AU22)</f>
        <v>#REF!</v>
      </c>
      <c r="AZ22" s="1" t="e">
        <f>VLOOKUP($AY22,$Y22:$AG25,9,FALSE)</f>
        <v>#REF!</v>
      </c>
      <c r="BA22" s="1" t="e">
        <f>VLOOKUP($AY22,$Y22:$AG25,8,FALSE)</f>
        <v>#REF!</v>
      </c>
      <c r="BB22" s="1" t="e">
        <f>VLOOKUP($AY22,$Y22:$AG25,6,FALSE)</f>
        <v>#REF!</v>
      </c>
      <c r="BC22" s="1" t="e">
        <f>IF(AND($AZ22=$AZ24,$BA22=$BA24,$BB24&gt;$BB22),$AY24,$AY22)</f>
        <v>#REF!</v>
      </c>
      <c r="BD22" s="1" t="e">
        <f>VLOOKUP($BC22,$Y22:$AG25,9,FALSE)</f>
        <v>#REF!</v>
      </c>
      <c r="BE22" s="1" t="e">
        <f>VLOOKUP($BC22,$Y22:$AG25,8,FALSE)</f>
        <v>#REF!</v>
      </c>
      <c r="BF22" s="1" t="e">
        <f>VLOOKUP($BC22,$Y22:$AG25,6,FALSE)</f>
        <v>#REF!</v>
      </c>
      <c r="BG22" s="1" t="e">
        <f>IF(AND($BD22=$BD25,$BE22=$BE25,$BF25&gt;$BF22),$BC25,$BC22)</f>
        <v>#REF!</v>
      </c>
      <c r="BH22" s="1" t="e">
        <f>VLOOKUP($BG22,$Y22:$AG25,9,FALSE)</f>
        <v>#REF!</v>
      </c>
      <c r="BI22" s="1" t="e">
        <f>VLOOKUP($BG22,$Y22:$AG25,8,FALSE)</f>
        <v>#REF!</v>
      </c>
      <c r="BJ22" s="1" t="e">
        <f>VLOOKUP($BG22,$Y22:$AG25,6,FALSE)</f>
        <v>#REF!</v>
      </c>
      <c r="BN22" s="1" t="e">
        <f>BG22</f>
        <v>#REF!</v>
      </c>
      <c r="BO22" s="1" t="e">
        <f>VLOOKUP($BN22,$Y22:$AG25,2,FALSE)</f>
        <v>#REF!</v>
      </c>
      <c r="BP22" s="1" t="e">
        <f>VLOOKUP($BN22,$Y22:$AG25,3,FALSE)</f>
        <v>#REF!</v>
      </c>
      <c r="BQ22" s="1" t="e">
        <f>VLOOKUP($BN22,$Y22:$AG25,4,FALSE)</f>
        <v>#REF!</v>
      </c>
      <c r="BR22" s="1" t="e">
        <f>VLOOKUP($BN22,$Y22:$AG25,5,FALSE)</f>
        <v>#REF!</v>
      </c>
      <c r="BS22" s="1" t="e">
        <f>VLOOKUP($BN22,$Y22:$AG25,6,FALSE)</f>
        <v>#REF!</v>
      </c>
      <c r="BT22" s="1" t="e">
        <f>VLOOKUP($BN22,$Y22:$AG25,7,FALSE)</f>
        <v>#REF!</v>
      </c>
      <c r="BU22" s="1" t="e">
        <f>VLOOKUP($BN22,$Y22:$AG25,8,FALSE)</f>
        <v>#REF!</v>
      </c>
      <c r="BV22" s="1" t="e">
        <f>VLOOKUP($BN22,$Y22:$AG25,9,FALSE)</f>
        <v>#REF!</v>
      </c>
      <c r="BZ22" s="38" t="s">
        <v>70</v>
      </c>
      <c r="CB22" s="79" t="s">
        <v>131</v>
      </c>
      <c r="CC22" s="74" t="s">
        <v>106</v>
      </c>
      <c r="CD22" s="74" t="s">
        <v>107</v>
      </c>
      <c r="CE22" s="74" t="s">
        <v>108</v>
      </c>
      <c r="CF22" s="74" t="s">
        <v>109</v>
      </c>
      <c r="CG22" s="27"/>
      <c r="CH22" s="49" t="s">
        <v>92</v>
      </c>
      <c r="CI22" s="49"/>
      <c r="CJ22" s="49"/>
      <c r="CL22" s="27" t="s">
        <v>96</v>
      </c>
      <c r="CM22" s="27" t="s">
        <v>97</v>
      </c>
      <c r="CN22" s="27" t="s">
        <v>98</v>
      </c>
      <c r="CO22" s="27" t="s">
        <v>99</v>
      </c>
      <c r="CP22" s="27" t="s">
        <v>102</v>
      </c>
      <c r="CQ22" s="27" t="s">
        <v>103</v>
      </c>
      <c r="CR22" s="27" t="s">
        <v>101</v>
      </c>
      <c r="CS22" s="27" t="s">
        <v>100</v>
      </c>
      <c r="CV22" s="27" t="s">
        <v>132</v>
      </c>
      <c r="CY22" s="27" t="s">
        <v>105</v>
      </c>
      <c r="CZ22" s="27"/>
      <c r="DA22" s="27" t="s">
        <v>104</v>
      </c>
    </row>
    <row r="23" spans="2:110" ht="13.5" thickBot="1" x14ac:dyDescent="0.25">
      <c r="B23" s="44">
        <v>42537</v>
      </c>
      <c r="C23" s="71">
        <v>0.79166666666666663</v>
      </c>
      <c r="D23" s="31">
        <v>17</v>
      </c>
      <c r="E23" s="33" t="s">
        <v>75</v>
      </c>
      <c r="F23" s="57"/>
      <c r="G23" s="57"/>
      <c r="H23" s="36" t="s">
        <v>77</v>
      </c>
      <c r="I23" s="36" t="e">
        <f t="shared" si="1"/>
        <v>#N/A</v>
      </c>
      <c r="J23" s="50" t="s">
        <v>81</v>
      </c>
      <c r="K23" s="20" t="e">
        <f t="shared" si="2"/>
        <v>#REF!</v>
      </c>
      <c r="L23" s="1" t="str">
        <f t="shared" si="58"/>
        <v/>
      </c>
      <c r="M23" s="1" t="str">
        <f t="shared" si="59"/>
        <v/>
      </c>
      <c r="O23" s="22" t="e">
        <f>#REF!</f>
        <v>#REF!</v>
      </c>
      <c r="P23" s="23" t="e">
        <f>#REF!</f>
        <v>#REF!</v>
      </c>
      <c r="Q23" s="23" t="e">
        <f>#REF!</f>
        <v>#REF!</v>
      </c>
      <c r="R23" s="23" t="e">
        <f>#REF!</f>
        <v>#REF!</v>
      </c>
      <c r="S23" s="23" t="e">
        <f>#REF!</f>
        <v>#REF!</v>
      </c>
      <c r="T23" s="23" t="e">
        <f>#REF!</f>
        <v>#REF!</v>
      </c>
      <c r="U23" s="23" t="e">
        <f>#REF!</f>
        <v>#REF!</v>
      </c>
      <c r="V23" s="23" t="e">
        <f>#REF!</f>
        <v>#REF!</v>
      </c>
      <c r="W23" s="24" t="e">
        <f>#REF!</f>
        <v>#REF!</v>
      </c>
      <c r="Y23" s="1" t="s">
        <v>75</v>
      </c>
      <c r="Z23" s="1">
        <f>COUNT(Украина_Played)</f>
        <v>0</v>
      </c>
      <c r="AA23" s="1">
        <f>COUNTIF(Groupstage_Winners,"Украина")</f>
        <v>0</v>
      </c>
      <c r="AB23" s="1">
        <f>COUNTIF(Groupstage_Losers,"Украина")</f>
        <v>0</v>
      </c>
      <c r="AC23" s="1">
        <f>Z23-(AA23+AB23)</f>
        <v>0</v>
      </c>
      <c r="AD23" s="1">
        <f>SUM(Украина_Played)</f>
        <v>0</v>
      </c>
      <c r="AE23" s="1">
        <f>SUM(Украина_Against)</f>
        <v>0</v>
      </c>
      <c r="AF23" s="1">
        <f>AD23-AE23</f>
        <v>0</v>
      </c>
      <c r="AG23" s="1" t="e">
        <f>AA23*Winpoints+AC23*Drawpoints</f>
        <v>#REF!</v>
      </c>
      <c r="AH23" s="1" t="e">
        <f>IF($AG23&lt;=$AG22,$Y23,$Y22)</f>
        <v>#REF!</v>
      </c>
      <c r="AI23" s="1" t="e">
        <f>VLOOKUP($AH23,$Y22:$AG25,9,FALSE)</f>
        <v>#REF!</v>
      </c>
      <c r="AJ23" s="1" t="e">
        <f>IF(AI23&gt;=AI25,AH23,AH25)</f>
        <v>#REF!</v>
      </c>
      <c r="AK23" s="1" t="e">
        <f>VLOOKUP($AJ23,$Y22:$AG25,9,FALSE)</f>
        <v>#REF!</v>
      </c>
      <c r="AL23" s="1" t="e">
        <f>IF($AK23&gt;=$AK24,$AJ23,$AJ24)</f>
        <v>#REF!</v>
      </c>
      <c r="AM23" s="1" t="e">
        <f>VLOOKUP($AL23,$Y22:$AG25,9,FALSE)</f>
        <v>#REF!</v>
      </c>
      <c r="AN23" s="1" t="e">
        <f>VLOOKUP($AL23,$Y22:$AG25,8,FALSE)</f>
        <v>#REF!</v>
      </c>
      <c r="AO23" s="1" t="e">
        <f>IF(AND($AM22=$AM23,$AN23&gt;$AN22),$AL22,$AL23)</f>
        <v>#REF!</v>
      </c>
      <c r="AP23" s="1" t="e">
        <f>VLOOKUP($AO23,$Y22:$AG25,9,FALSE)</f>
        <v>#REF!</v>
      </c>
      <c r="AQ23" s="1" t="e">
        <f>VLOOKUP($AO23,$Y22:$AG25,8,FALSE)</f>
        <v>#REF!</v>
      </c>
      <c r="AR23" s="1" t="e">
        <f>IF(AND($AP23=$AP25,$AQ25&gt;$AQ23),$AO25,$AO23)</f>
        <v>#REF!</v>
      </c>
      <c r="AS23" s="1" t="e">
        <f>VLOOKUP($AR23,$Y22:$AG25,9,FALSE)</f>
        <v>#REF!</v>
      </c>
      <c r="AT23" s="1" t="e">
        <f>VLOOKUP($AR23,$Y22:$AG25,8,FALSE)</f>
        <v>#REF!</v>
      </c>
      <c r="AU23" s="1" t="e">
        <f>IF(AND($AS23=$AS24,$AT24&gt;$AT23),$AR24,$AR23)</f>
        <v>#REF!</v>
      </c>
      <c r="AV23" s="1" t="e">
        <f>VLOOKUP($AU23,$Y22:$AG25,9,FALSE)</f>
        <v>#REF!</v>
      </c>
      <c r="AW23" s="1" t="e">
        <f>VLOOKUP($AU23,$Y22:$AG25,8,FALSE)</f>
        <v>#REF!</v>
      </c>
      <c r="AX23" s="1" t="e">
        <f>VLOOKUP($AU23,$Y22:$AG25,6,FALSE)</f>
        <v>#REF!</v>
      </c>
      <c r="AY23" s="1" t="e">
        <f>IF(AND($AV22=$AV23,$AW22=$AW23,$AX23&gt;$AX22),$AU22,$AU23)</f>
        <v>#REF!</v>
      </c>
      <c r="AZ23" s="1" t="e">
        <f>VLOOKUP($AY23,$Y22:$AG25,9,FALSE)</f>
        <v>#REF!</v>
      </c>
      <c r="BA23" s="1" t="e">
        <f>VLOOKUP($AY23,$Y22:$AG25,8,FALSE)</f>
        <v>#REF!</v>
      </c>
      <c r="BB23" s="1" t="e">
        <f>VLOOKUP($AY23,$Y22:$AG25,6,FALSE)</f>
        <v>#REF!</v>
      </c>
      <c r="BC23" s="1" t="e">
        <f>IF(AND($AZ23=$AZ25,$BA23=$BA25,$BB25&gt;$BB23),$AY25,$AY23)</f>
        <v>#REF!</v>
      </c>
      <c r="BD23" s="1" t="e">
        <f>VLOOKUP($BC23,$Y22:$AG25,9,FALSE)</f>
        <v>#REF!</v>
      </c>
      <c r="BE23" s="1" t="e">
        <f>VLOOKUP($BC23,$Y22:$AG25,8,FALSE)</f>
        <v>#REF!</v>
      </c>
      <c r="BF23" s="1" t="e">
        <f>VLOOKUP($BC23,$Y22:$AG25,6,FALSE)</f>
        <v>#REF!</v>
      </c>
      <c r="BG23" s="1" t="e">
        <f>IF(AND($BD23=$BD24,$BE23=$BE24,$BF24&gt;$BF23),$BC24,$BC23)</f>
        <v>#REF!</v>
      </c>
      <c r="BH23" s="1" t="e">
        <f>VLOOKUP($BG23,$Y22:$AG25,9,FALSE)</f>
        <v>#REF!</v>
      </c>
      <c r="BI23" s="1" t="e">
        <f>VLOOKUP($BG23,$Y22:$AG25,8,FALSE)</f>
        <v>#REF!</v>
      </c>
      <c r="BJ23" s="1" t="e">
        <f>VLOOKUP($BG23,$Y22:$AG25,6,FALSE)</f>
        <v>#REF!</v>
      </c>
      <c r="BN23" s="1" t="e">
        <f>BG23</f>
        <v>#REF!</v>
      </c>
      <c r="BO23" s="1" t="e">
        <f>VLOOKUP($BN23,$Y22:$AG25,2,FALSE)</f>
        <v>#REF!</v>
      </c>
      <c r="BP23" s="1" t="e">
        <f>VLOOKUP($BN23,$Y22:$AG25,3,FALSE)</f>
        <v>#REF!</v>
      </c>
      <c r="BQ23" s="1" t="e">
        <f>VLOOKUP($BN23,$Y22:$AG25,4,FALSE)</f>
        <v>#REF!</v>
      </c>
      <c r="BR23" s="1" t="e">
        <f>VLOOKUP($BN23,$Y22:$AG25,5,FALSE)</f>
        <v>#REF!</v>
      </c>
      <c r="BS23" s="1" t="e">
        <f>VLOOKUP($BN23,$Y22:$AG25,6,FALSE)</f>
        <v>#REF!</v>
      </c>
      <c r="BT23" s="1" t="e">
        <f>VLOOKUP($BN23,$Y22:$AG25,7,FALSE)</f>
        <v>#REF!</v>
      </c>
      <c r="BU23" s="1" t="e">
        <f>VLOOKUP($BN23,$Y22:$AG25,8,FALSE)</f>
        <v>#REF!</v>
      </c>
      <c r="BV23" s="1" t="e">
        <f>VLOOKUP($BN23,$Y22:$AG25,9,FALSE)</f>
        <v>#REF!</v>
      </c>
      <c r="BZ23" s="38" t="s">
        <v>71</v>
      </c>
      <c r="CB23" s="77" t="s">
        <v>110</v>
      </c>
      <c r="CC23" s="75" t="s">
        <v>111</v>
      </c>
      <c r="CD23" s="75" t="s">
        <v>112</v>
      </c>
      <c r="CE23" s="75" t="s">
        <v>113</v>
      </c>
      <c r="CF23" s="75" t="s">
        <v>114</v>
      </c>
      <c r="CI23" s="27" t="s">
        <v>18</v>
      </c>
      <c r="CJ23" s="91" t="e">
        <f>O8</f>
        <v>#REF!</v>
      </c>
      <c r="CK23" s="91"/>
      <c r="CL23" s="27" t="e">
        <f>P$8</f>
        <v>#REF!</v>
      </c>
      <c r="CM23" s="27" t="e">
        <f t="shared" ref="CM23:CS23" si="67">Q$8</f>
        <v>#REF!</v>
      </c>
      <c r="CN23" s="27" t="e">
        <f t="shared" si="67"/>
        <v>#REF!</v>
      </c>
      <c r="CO23" s="27" t="e">
        <f t="shared" si="67"/>
        <v>#REF!</v>
      </c>
      <c r="CP23" s="27" t="e">
        <f t="shared" si="67"/>
        <v>#REF!</v>
      </c>
      <c r="CQ23" s="27" t="e">
        <f t="shared" si="67"/>
        <v>#REF!</v>
      </c>
      <c r="CR23" s="27" t="e">
        <f t="shared" si="67"/>
        <v>#REF!</v>
      </c>
      <c r="CS23" s="27" t="e">
        <f t="shared" si="67"/>
        <v>#REF!</v>
      </c>
      <c r="CU23" s="99" t="e">
        <f>VLOOKUP($CJ23,#REF!,34,FALSE)+VLOOKUP($CJ23,#REF!,5,FALSE)*30+VLOOKUP($CJ23,#REF!,9,FALSE)</f>
        <v>#REF!</v>
      </c>
      <c r="CV23" s="99"/>
      <c r="CW23" s="99"/>
      <c r="CY23" s="27" t="e">
        <f>RANK(CU23,$CU$23:$CW$28,0)</f>
        <v>#REF!</v>
      </c>
      <c r="CZ23" s="27" t="s">
        <v>18</v>
      </c>
      <c r="DA23" s="27">
        <v>1</v>
      </c>
      <c r="DB23" s="80" t="e">
        <f>VLOOKUP($DA23,$CY$23:$CZ$28,2,FALSE)</f>
        <v>#N/A</v>
      </c>
    </row>
    <row r="24" spans="2:110" ht="13.5" thickBot="1" x14ac:dyDescent="0.25">
      <c r="B24" s="44">
        <v>42537</v>
      </c>
      <c r="C24" s="71">
        <v>0.91666666666666663</v>
      </c>
      <c r="D24" s="31">
        <v>18</v>
      </c>
      <c r="E24" s="33" t="s">
        <v>53</v>
      </c>
      <c r="F24" s="57"/>
      <c r="G24" s="57"/>
      <c r="H24" s="36" t="s">
        <v>69</v>
      </c>
      <c r="I24" s="36" t="e">
        <f t="shared" si="1"/>
        <v>#N/A</v>
      </c>
      <c r="J24" s="50" t="s">
        <v>84</v>
      </c>
      <c r="K24" s="20" t="e">
        <f t="shared" si="2"/>
        <v>#REF!</v>
      </c>
      <c r="L24" s="1" t="str">
        <f t="shared" si="58"/>
        <v/>
      </c>
      <c r="M24" s="1" t="str">
        <f t="shared" si="59"/>
        <v/>
      </c>
      <c r="Y24" s="1" t="s">
        <v>69</v>
      </c>
      <c r="Z24" s="1">
        <f>COUNT(Польша_Played)</f>
        <v>0</v>
      </c>
      <c r="AA24" s="1">
        <f>COUNTIF(Groupstage_Winners,"Польша")</f>
        <v>0</v>
      </c>
      <c r="AB24" s="1">
        <f>COUNTIF(Groupstage_Losers,"Польша")</f>
        <v>0</v>
      </c>
      <c r="AC24" s="1">
        <f>Z24-(AA24+AB24)</f>
        <v>0</v>
      </c>
      <c r="AD24" s="1">
        <f>SUM(Польша_Played)</f>
        <v>0</v>
      </c>
      <c r="AE24" s="1">
        <f>SUM(Польша_Against)</f>
        <v>0</v>
      </c>
      <c r="AF24" s="1">
        <f>AD24-AE24</f>
        <v>0</v>
      </c>
      <c r="AG24" s="1" t="e">
        <f>AA24*Winpoints+AC24*Drawpoints</f>
        <v>#REF!</v>
      </c>
      <c r="AH24" s="1" t="e">
        <f>IF($AG24&gt;=$AG25,$Y24,$Y25)</f>
        <v>#REF!</v>
      </c>
      <c r="AI24" s="1" t="e">
        <f>VLOOKUP($AH24,$Y22:$AG25,9,FALSE)</f>
        <v>#REF!</v>
      </c>
      <c r="AJ24" s="1" t="e">
        <f>IF($AI24&lt;=$AI22,$AH24,$AH22)</f>
        <v>#REF!</v>
      </c>
      <c r="AK24" s="1" t="e">
        <f>VLOOKUP($AJ24,$Y22:$AG25,9,FALSE)</f>
        <v>#REF!</v>
      </c>
      <c r="AL24" s="1" t="e">
        <f>IF($AK24&lt;=$AK23,$AJ24,$AJ23)</f>
        <v>#REF!</v>
      </c>
      <c r="AM24" s="1" t="e">
        <f>VLOOKUP($AL24,$Y22:$AG25,9,FALSE)</f>
        <v>#REF!</v>
      </c>
      <c r="AN24" s="1" t="e">
        <f>VLOOKUP($AL24,$Y22:$AG25,8,FALSE)</f>
        <v>#REF!</v>
      </c>
      <c r="AO24" s="1" t="e">
        <f>IF(AND($AM24=$AM25,$AN25&gt;$AN24),$AL25,$AL24)</f>
        <v>#REF!</v>
      </c>
      <c r="AP24" s="1" t="e">
        <f>VLOOKUP($AO24,$Y22:$AG25,9,FALSE)</f>
        <v>#REF!</v>
      </c>
      <c r="AQ24" s="1" t="e">
        <f>VLOOKUP($AO24,$Y22:$AG25,8,FALSE)</f>
        <v>#REF!</v>
      </c>
      <c r="AR24" s="1" t="e">
        <f>IF(AND($AP22=$AP24,$AQ24&gt;$AQ22),$AO22,$AO24)</f>
        <v>#REF!</v>
      </c>
      <c r="AS24" s="1" t="e">
        <f>VLOOKUP($AR24,$Y22:$AG25,9,FALSE)</f>
        <v>#REF!</v>
      </c>
      <c r="AT24" s="1" t="e">
        <f>VLOOKUP($AR24,$Y22:$AG25,8,FALSE)</f>
        <v>#REF!</v>
      </c>
      <c r="AU24" s="1" t="e">
        <f>IF(AND($AS23=$AS24,$AT24&gt;$AT23),$AR23,$AR24)</f>
        <v>#REF!</v>
      </c>
      <c r="AV24" s="1" t="e">
        <f>VLOOKUP($AU24,$Y22:$AG25,9,FALSE)</f>
        <v>#REF!</v>
      </c>
      <c r="AW24" s="1" t="e">
        <f>VLOOKUP($AU24,$Y22:$AG25,8,FALSE)</f>
        <v>#REF!</v>
      </c>
      <c r="AX24" s="1" t="e">
        <f>VLOOKUP($AU24,$Y22:$AG25,6,FALSE)</f>
        <v>#REF!</v>
      </c>
      <c r="AY24" s="1" t="e">
        <f>IF(AND($AV24=$AV25,$AW24=$AW25,$AX25&gt;$AX24),$AU25,$AU24)</f>
        <v>#REF!</v>
      </c>
      <c r="AZ24" s="1" t="e">
        <f>VLOOKUP($AY24,$Y22:$AG25,9,FALSE)</f>
        <v>#REF!</v>
      </c>
      <c r="BA24" s="1" t="e">
        <f>VLOOKUP($AY24,$Y22:$AG25,8,FALSE)</f>
        <v>#REF!</v>
      </c>
      <c r="BB24" s="1" t="e">
        <f>VLOOKUP($AY24,$Y22:$AG25,6,FALSE)</f>
        <v>#REF!</v>
      </c>
      <c r="BC24" s="1" t="e">
        <f>IF(AND($AZ22=$AZ24,$BA22=$BA24,$BB24&gt;$BB22),$AY22,$AY24)</f>
        <v>#REF!</v>
      </c>
      <c r="BD24" s="1" t="e">
        <f>VLOOKUP($BC24,$Y22:$AG25,9,FALSE)</f>
        <v>#REF!</v>
      </c>
      <c r="BE24" s="1" t="e">
        <f>VLOOKUP($BC24,$Y22:$AG25,8,FALSE)</f>
        <v>#REF!</v>
      </c>
      <c r="BF24" s="1" t="e">
        <f>VLOOKUP($BC24,$Y22:$AG25,6,FALSE)</f>
        <v>#REF!</v>
      </c>
      <c r="BG24" s="1" t="e">
        <f>IF(AND($BD23=$BD24,$BE23=$BE24,$BF24&gt;$BF23),$BC23,$BC24)</f>
        <v>#REF!</v>
      </c>
      <c r="BH24" s="1" t="e">
        <f>VLOOKUP($BG24,$Y22:$AG25,9,FALSE)</f>
        <v>#REF!</v>
      </c>
      <c r="BI24" s="1" t="e">
        <f>VLOOKUP($BG24,$Y22:$AG25,8,FALSE)</f>
        <v>#REF!</v>
      </c>
      <c r="BJ24" s="1" t="e">
        <f>VLOOKUP($BG24,$Y22:$AG25,6,FALSE)</f>
        <v>#REF!</v>
      </c>
      <c r="BN24" s="1" t="e">
        <f>BG24</f>
        <v>#REF!</v>
      </c>
      <c r="BO24" s="1" t="e">
        <f>VLOOKUP($BN24,$Y22:$AG25,2,FALSE)</f>
        <v>#REF!</v>
      </c>
      <c r="BP24" s="1" t="e">
        <f>VLOOKUP($BN24,$Y22:$AG25,3,FALSE)</f>
        <v>#REF!</v>
      </c>
      <c r="BQ24" s="1" t="e">
        <f>VLOOKUP($BN24,$Y22:$AG25,4,FALSE)</f>
        <v>#REF!</v>
      </c>
      <c r="BR24" s="1" t="e">
        <f>VLOOKUP($BN24,$Y22:$AG25,5,FALSE)</f>
        <v>#REF!</v>
      </c>
      <c r="BS24" s="1" t="e">
        <f>VLOOKUP($BN24,$Y22:$AG25,6,FALSE)</f>
        <v>#REF!</v>
      </c>
      <c r="BT24" s="1" t="e">
        <f>VLOOKUP($BN24,$Y22:$AG25,7,FALSE)</f>
        <v>#REF!</v>
      </c>
      <c r="BU24" s="1" t="e">
        <f>VLOOKUP($BN24,$Y22:$AG25,8,FALSE)</f>
        <v>#REF!</v>
      </c>
      <c r="BV24" s="1" t="e">
        <f>VLOOKUP($BN24,$Y22:$AG25,9,FALSE)</f>
        <v>#REF!</v>
      </c>
      <c r="BZ24" s="38" t="s">
        <v>75</v>
      </c>
      <c r="CB24" s="77" t="s">
        <v>115</v>
      </c>
      <c r="CC24" s="75" t="s">
        <v>111</v>
      </c>
      <c r="CD24" s="75" t="s">
        <v>113</v>
      </c>
      <c r="CE24" s="75" t="s">
        <v>114</v>
      </c>
      <c r="CF24" s="75" t="s">
        <v>116</v>
      </c>
      <c r="CI24" s="27" t="s">
        <v>26</v>
      </c>
      <c r="CJ24" s="91" t="e">
        <f>O15</f>
        <v>#REF!</v>
      </c>
      <c r="CK24" s="91"/>
      <c r="CL24" s="27" t="e">
        <f>P$15</f>
        <v>#REF!</v>
      </c>
      <c r="CM24" s="27" t="e">
        <f t="shared" ref="CM24:CS24" si="68">Q$15</f>
        <v>#REF!</v>
      </c>
      <c r="CN24" s="27" t="e">
        <f t="shared" si="68"/>
        <v>#REF!</v>
      </c>
      <c r="CO24" s="27" t="e">
        <f t="shared" si="68"/>
        <v>#REF!</v>
      </c>
      <c r="CP24" s="27" t="e">
        <f t="shared" si="68"/>
        <v>#REF!</v>
      </c>
      <c r="CQ24" s="27" t="e">
        <f t="shared" si="68"/>
        <v>#REF!</v>
      </c>
      <c r="CR24" s="27" t="e">
        <f t="shared" si="68"/>
        <v>#REF!</v>
      </c>
      <c r="CS24" s="27" t="e">
        <f t="shared" si="68"/>
        <v>#REF!</v>
      </c>
      <c r="CU24" s="99" t="e">
        <f>VLOOKUP($CJ24,#REF!,34,FALSE)+VLOOKUP($CJ24,#REF!,5,FALSE)*30+VLOOKUP($CJ24,#REF!,9,FALSE)</f>
        <v>#REF!</v>
      </c>
      <c r="CV24" s="99"/>
      <c r="CW24" s="99"/>
      <c r="CY24" s="27" t="e">
        <f t="shared" ref="CY24:CY28" si="69">RANK(CU24,$CU$23:$CW$28,0)</f>
        <v>#REF!</v>
      </c>
      <c r="CZ24" s="27" t="s">
        <v>26</v>
      </c>
      <c r="DA24" s="27">
        <v>2</v>
      </c>
      <c r="DB24" s="80" t="e">
        <f t="shared" ref="DB24:DB28" si="70">VLOOKUP($DA24,$CY$23:$CZ$28,2,FALSE)</f>
        <v>#N/A</v>
      </c>
    </row>
    <row r="25" spans="2:110" ht="15.75" thickBot="1" x14ac:dyDescent="0.25">
      <c r="B25" s="44">
        <v>42538</v>
      </c>
      <c r="C25" s="71">
        <v>0.66666666666666663</v>
      </c>
      <c r="D25" s="31">
        <v>19</v>
      </c>
      <c r="E25" s="33" t="s">
        <v>48</v>
      </c>
      <c r="F25" s="57"/>
      <c r="G25" s="57"/>
      <c r="H25" s="36" t="s">
        <v>74</v>
      </c>
      <c r="I25" s="36" t="e">
        <f t="shared" si="1"/>
        <v>#N/A</v>
      </c>
      <c r="J25" s="50" t="s">
        <v>83</v>
      </c>
      <c r="K25" s="20" t="e">
        <f t="shared" si="2"/>
        <v>#REF!</v>
      </c>
      <c r="L25" s="1" t="str">
        <f t="shared" si="58"/>
        <v/>
      </c>
      <c r="M25" s="1" t="str">
        <f t="shared" si="59"/>
        <v/>
      </c>
      <c r="O25" s="46" t="s">
        <v>38</v>
      </c>
      <c r="P25" s="47"/>
      <c r="Q25" s="47"/>
      <c r="R25" s="47"/>
      <c r="S25" s="47"/>
      <c r="T25" s="47"/>
      <c r="U25" s="47"/>
      <c r="V25" s="47"/>
      <c r="W25" s="48"/>
      <c r="Y25" s="1" t="s">
        <v>77</v>
      </c>
      <c r="Z25" s="1">
        <f>COUNT(Сев.Ирландия_Played)</f>
        <v>0</v>
      </c>
      <c r="AA25" s="1">
        <f>COUNTIF(Groupstage_Winners,"Сев.Ирландия")</f>
        <v>0</v>
      </c>
      <c r="AB25" s="1">
        <f>COUNTIF(Groupstage_Losers,"Сев.Ирландия")</f>
        <v>0</v>
      </c>
      <c r="AC25" s="1">
        <f>Z25-(AA25+AB25)</f>
        <v>0</v>
      </c>
      <c r="AD25" s="1">
        <f>SUM(Сев.Ирландия_Played)</f>
        <v>0</v>
      </c>
      <c r="AE25" s="1">
        <f>SUM(Сев.Ирландия_Against)</f>
        <v>0</v>
      </c>
      <c r="AF25" s="1">
        <f>AD25-AE25</f>
        <v>0</v>
      </c>
      <c r="AG25" s="1" t="e">
        <f>AA25*Winpoints+AC25*Drawpoints</f>
        <v>#REF!</v>
      </c>
      <c r="AH25" s="1" t="e">
        <f>IF($AG25&lt;=$AG24,$Y25,$Y24)</f>
        <v>#REF!</v>
      </c>
      <c r="AI25" s="1" t="e">
        <f>VLOOKUP($AH25,$Y22:$AG25,9,FALSE)</f>
        <v>#REF!</v>
      </c>
      <c r="AJ25" s="1" t="e">
        <f>IF(AI25&lt;=AI23,AH25,AH23)</f>
        <v>#REF!</v>
      </c>
      <c r="AK25" s="1" t="e">
        <f>VLOOKUP($AJ25,$Y22:$AG25,9,FALSE)</f>
        <v>#REF!</v>
      </c>
      <c r="AL25" s="1" t="e">
        <f>IF($AK25&lt;=$AK22,$AJ25,$AJ22)</f>
        <v>#REF!</v>
      </c>
      <c r="AM25" s="1" t="e">
        <f>VLOOKUP($AL25,$Y22:$AG25,9,FALSE)</f>
        <v>#REF!</v>
      </c>
      <c r="AN25" s="1" t="e">
        <f>VLOOKUP($AL25,$Y22:$AG25,8,FALSE)</f>
        <v>#REF!</v>
      </c>
      <c r="AO25" s="1" t="e">
        <f>IF(AND($AM24=$AM25,$AN25&gt;$AN24),$AL24,$AL25)</f>
        <v>#REF!</v>
      </c>
      <c r="AP25" s="1" t="e">
        <f>VLOOKUP($AO25,$Y22:$AG25,9,FALSE)</f>
        <v>#REF!</v>
      </c>
      <c r="AQ25" s="1" t="e">
        <f>VLOOKUP($AO25,$Y22:$AG25,8,FALSE)</f>
        <v>#REF!</v>
      </c>
      <c r="AR25" s="1" t="e">
        <f>IF(AND($AP23=$AP25,$AQ25&gt;$AQ23),$AO23,$AO25)</f>
        <v>#REF!</v>
      </c>
      <c r="AS25" s="1" t="e">
        <f>VLOOKUP($AR25,$Y22:$AG25,9,FALSE)</f>
        <v>#REF!</v>
      </c>
      <c r="AT25" s="1" t="e">
        <f>VLOOKUP($AR25,$Y22:$AG25,8,FALSE)</f>
        <v>#REF!</v>
      </c>
      <c r="AU25" s="1" t="e">
        <f>IF(AND($AS22=$AS25,$AT25&gt;$AT22),$AR22,$AR25)</f>
        <v>#REF!</v>
      </c>
      <c r="AV25" s="1" t="e">
        <f>VLOOKUP($AU25,$Y22:$AG25,9,FALSE)</f>
        <v>#REF!</v>
      </c>
      <c r="AW25" s="1" t="e">
        <f>VLOOKUP($AU25,$Y22:$AG25,8,FALSE)</f>
        <v>#REF!</v>
      </c>
      <c r="AX25" s="1" t="e">
        <f>VLOOKUP($AU25,$Y22:$AG25,6,FALSE)</f>
        <v>#REF!</v>
      </c>
      <c r="AY25" s="1" t="e">
        <f>IF(AND($AV24=$AV25,$AW24=$AW25,$AX25&gt;$AX24),$AU24,$AU25)</f>
        <v>#REF!</v>
      </c>
      <c r="AZ25" s="1" t="e">
        <f>VLOOKUP($AY25,$Y22:$AG25,9,FALSE)</f>
        <v>#REF!</v>
      </c>
      <c r="BA25" s="1" t="e">
        <f>VLOOKUP($AY25,$Y22:$AG25,8,FALSE)</f>
        <v>#REF!</v>
      </c>
      <c r="BB25" s="1" t="e">
        <f>VLOOKUP($AY25,$Y22:$AG25,6,FALSE)</f>
        <v>#REF!</v>
      </c>
      <c r="BC25" s="1" t="e">
        <f>IF(AND($AZ23=$AZ25,$BA23=$BA25,$BB25&gt;$BB23),$AY23,$AY25)</f>
        <v>#REF!</v>
      </c>
      <c r="BD25" s="1" t="e">
        <f>VLOOKUP($BC25,$Y22:$AG25,9,FALSE)</f>
        <v>#REF!</v>
      </c>
      <c r="BE25" s="1" t="e">
        <f>VLOOKUP($BC25,$Y22:$AG25,8,FALSE)</f>
        <v>#REF!</v>
      </c>
      <c r="BF25" s="1" t="e">
        <f>VLOOKUP($BC25,$Y22:$AG25,6,FALSE)</f>
        <v>#REF!</v>
      </c>
      <c r="BG25" s="1" t="e">
        <f>IF(AND($BD22=$BD25,$BE22=$BE25,$BF25&gt;$BF22),$BC22,$BC25)</f>
        <v>#REF!</v>
      </c>
      <c r="BH25" s="1" t="e">
        <f>VLOOKUP($BG25,$Y22:$AG25,9,FALSE)</f>
        <v>#REF!</v>
      </c>
      <c r="BI25" s="1" t="e">
        <f>VLOOKUP($BG25,$Y22:$AG25,8,FALSE)</f>
        <v>#REF!</v>
      </c>
      <c r="BJ25" s="1" t="e">
        <f>VLOOKUP($BG25,$Y22:$AG25,6,FALSE)</f>
        <v>#REF!</v>
      </c>
      <c r="BN25" s="1" t="e">
        <f>BG25</f>
        <v>#REF!</v>
      </c>
      <c r="BO25" s="1" t="e">
        <f>VLOOKUP($BN25,$Y22:$AG25,2,FALSE)</f>
        <v>#REF!</v>
      </c>
      <c r="BP25" s="1" t="e">
        <f>VLOOKUP($BN25,$Y22:$AG25,3,FALSE)</f>
        <v>#REF!</v>
      </c>
      <c r="BQ25" s="1" t="e">
        <f>VLOOKUP($BN25,$Y22:$AG25,4,FALSE)</f>
        <v>#REF!</v>
      </c>
      <c r="BR25" s="1" t="e">
        <f>VLOOKUP($BN25,$Y22:$AG25,5,FALSE)</f>
        <v>#REF!</v>
      </c>
      <c r="BS25" s="1" t="e">
        <f>VLOOKUP($BN25,$Y22:$AG25,6,FALSE)</f>
        <v>#REF!</v>
      </c>
      <c r="BT25" s="1" t="e">
        <f>VLOOKUP($BN25,$Y22:$AG25,7,FALSE)</f>
        <v>#REF!</v>
      </c>
      <c r="BU25" s="1" t="e">
        <f>VLOOKUP($BN25,$Y22:$AG25,8,FALSE)</f>
        <v>#REF!</v>
      </c>
      <c r="BV25" s="1" t="e">
        <f>VLOOKUP($BN25,$Y22:$AG25,9,FALSE)</f>
        <v>#REF!</v>
      </c>
      <c r="BZ25" s="38" t="s">
        <v>66</v>
      </c>
      <c r="CB25" s="77" t="s">
        <v>117</v>
      </c>
      <c r="CC25" s="75" t="s">
        <v>111</v>
      </c>
      <c r="CD25" s="75" t="s">
        <v>113</v>
      </c>
      <c r="CE25" s="75" t="s">
        <v>114</v>
      </c>
      <c r="CF25" s="75" t="s">
        <v>118</v>
      </c>
      <c r="CI25" s="27" t="s">
        <v>27</v>
      </c>
      <c r="CJ25" s="91" t="e">
        <f>O22</f>
        <v>#REF!</v>
      </c>
      <c r="CK25" s="91"/>
      <c r="CL25" s="27" t="e">
        <f>P$22</f>
        <v>#REF!</v>
      </c>
      <c r="CM25" s="27" t="e">
        <f t="shared" ref="CM25:CS25" si="71">Q$22</f>
        <v>#REF!</v>
      </c>
      <c r="CN25" s="27" t="e">
        <f t="shared" si="71"/>
        <v>#REF!</v>
      </c>
      <c r="CO25" s="27" t="e">
        <f t="shared" si="71"/>
        <v>#REF!</v>
      </c>
      <c r="CP25" s="27" t="e">
        <f t="shared" si="71"/>
        <v>#REF!</v>
      </c>
      <c r="CQ25" s="27" t="e">
        <f t="shared" si="71"/>
        <v>#REF!</v>
      </c>
      <c r="CR25" s="27" t="e">
        <f t="shared" si="71"/>
        <v>#REF!</v>
      </c>
      <c r="CS25" s="27" t="e">
        <f t="shared" si="71"/>
        <v>#REF!</v>
      </c>
      <c r="CU25" s="99" t="e">
        <f>VLOOKUP($CJ25,#REF!,34,FALSE)+VLOOKUP($CJ25,#REF!,5,FALSE)*30+VLOOKUP($CJ25,#REF!,9,FALSE)</f>
        <v>#REF!</v>
      </c>
      <c r="CV25" s="99"/>
      <c r="CW25" s="99"/>
      <c r="CY25" s="27" t="e">
        <f t="shared" si="69"/>
        <v>#REF!</v>
      </c>
      <c r="CZ25" s="27" t="s">
        <v>27</v>
      </c>
      <c r="DA25" s="27">
        <v>3</v>
      </c>
      <c r="DB25" s="80" t="e">
        <f t="shared" si="70"/>
        <v>#N/A</v>
      </c>
    </row>
    <row r="26" spans="2:110" ht="13.5" thickBot="1" x14ac:dyDescent="0.25">
      <c r="B26" s="44">
        <v>42538</v>
      </c>
      <c r="C26" s="71">
        <v>0.79166666666666663</v>
      </c>
      <c r="D26" s="31">
        <v>20</v>
      </c>
      <c r="E26" s="33" t="s">
        <v>63</v>
      </c>
      <c r="F26" s="57"/>
      <c r="G26" s="57"/>
      <c r="H26" s="36" t="s">
        <v>49</v>
      </c>
      <c r="I26" s="36" t="e">
        <f t="shared" si="1"/>
        <v>#N/A</v>
      </c>
      <c r="J26" s="50" t="s">
        <v>78</v>
      </c>
      <c r="K26" s="20" t="e">
        <f t="shared" si="2"/>
        <v>#REF!</v>
      </c>
      <c r="L26" s="1" t="str">
        <f t="shared" si="58"/>
        <v/>
      </c>
      <c r="M26" s="1" t="str">
        <f t="shared" si="59"/>
        <v/>
      </c>
      <c r="O26" s="9"/>
      <c r="P26" s="10" t="s">
        <v>13</v>
      </c>
      <c r="Q26" s="10" t="s">
        <v>14</v>
      </c>
      <c r="R26" s="10" t="s">
        <v>15</v>
      </c>
      <c r="S26" s="10" t="s">
        <v>16</v>
      </c>
      <c r="T26" s="10" t="s">
        <v>17</v>
      </c>
      <c r="U26" s="10" t="s">
        <v>18</v>
      </c>
      <c r="V26" s="10" t="s">
        <v>19</v>
      </c>
      <c r="W26" s="11" t="s">
        <v>20</v>
      </c>
      <c r="BZ26" s="38" t="s">
        <v>52</v>
      </c>
      <c r="CB26" s="77" t="s">
        <v>119</v>
      </c>
      <c r="CC26" s="75" t="s">
        <v>112</v>
      </c>
      <c r="CD26" s="75" t="s">
        <v>113</v>
      </c>
      <c r="CE26" s="75" t="s">
        <v>114</v>
      </c>
      <c r="CF26" s="75" t="s">
        <v>116</v>
      </c>
      <c r="CI26" s="27" t="s">
        <v>16</v>
      </c>
      <c r="CJ26" s="91" t="e">
        <f>O29</f>
        <v>#REF!</v>
      </c>
      <c r="CK26" s="91"/>
      <c r="CL26" s="27" t="e">
        <f>P$29</f>
        <v>#REF!</v>
      </c>
      <c r="CM26" s="27" t="e">
        <f t="shared" ref="CM26:CS26" si="72">Q$29</f>
        <v>#REF!</v>
      </c>
      <c r="CN26" s="27" t="e">
        <f t="shared" si="72"/>
        <v>#REF!</v>
      </c>
      <c r="CO26" s="27" t="e">
        <f t="shared" si="72"/>
        <v>#REF!</v>
      </c>
      <c r="CP26" s="27" t="e">
        <f t="shared" si="72"/>
        <v>#REF!</v>
      </c>
      <c r="CQ26" s="27" t="e">
        <f t="shared" si="72"/>
        <v>#REF!</v>
      </c>
      <c r="CR26" s="27" t="e">
        <f t="shared" si="72"/>
        <v>#REF!</v>
      </c>
      <c r="CS26" s="27" t="e">
        <f t="shared" si="72"/>
        <v>#REF!</v>
      </c>
      <c r="CU26" s="99" t="e">
        <f>VLOOKUP($CJ26,#REF!,34,FALSE)+VLOOKUP($CJ26,#REF!,5,FALSE)*30+VLOOKUP($CJ26,#REF!,9,FALSE)</f>
        <v>#REF!</v>
      </c>
      <c r="CV26" s="99"/>
      <c r="CW26" s="99"/>
      <c r="CY26" s="27" t="e">
        <f t="shared" si="69"/>
        <v>#REF!</v>
      </c>
      <c r="CZ26" s="27" t="s">
        <v>16</v>
      </c>
      <c r="DA26" s="27">
        <v>4</v>
      </c>
      <c r="DB26" s="80" t="e">
        <f t="shared" si="70"/>
        <v>#N/A</v>
      </c>
    </row>
    <row r="27" spans="2:110" ht="13.5" thickBot="1" x14ac:dyDescent="0.25">
      <c r="B27" s="44">
        <v>42538</v>
      </c>
      <c r="C27" s="71">
        <v>0.91666666666666663</v>
      </c>
      <c r="D27" s="31">
        <v>21</v>
      </c>
      <c r="E27" s="33" t="s">
        <v>47</v>
      </c>
      <c r="F27" s="57"/>
      <c r="G27" s="57"/>
      <c r="H27" s="36" t="s">
        <v>71</v>
      </c>
      <c r="I27" s="36" t="e">
        <f t="shared" si="1"/>
        <v>#N/A</v>
      </c>
      <c r="J27" s="50" t="s">
        <v>85</v>
      </c>
      <c r="K27" s="20" t="e">
        <f t="shared" si="2"/>
        <v>#REF!</v>
      </c>
      <c r="L27" s="1" t="str">
        <f t="shared" si="58"/>
        <v/>
      </c>
      <c r="M27" s="1" t="str">
        <f t="shared" si="59"/>
        <v/>
      </c>
      <c r="O27" s="16" t="e">
        <f>#REF!</f>
        <v>#REF!</v>
      </c>
      <c r="P27" s="17" t="e">
        <f>#REF!</f>
        <v>#REF!</v>
      </c>
      <c r="Q27" s="17" t="e">
        <f>#REF!</f>
        <v>#REF!</v>
      </c>
      <c r="R27" s="17" t="e">
        <f>#REF!</f>
        <v>#REF!</v>
      </c>
      <c r="S27" s="17" t="e">
        <f>#REF!</f>
        <v>#REF!</v>
      </c>
      <c r="T27" s="17" t="e">
        <f>#REF!</f>
        <v>#REF!</v>
      </c>
      <c r="U27" s="17" t="e">
        <f>#REF!</f>
        <v>#REF!</v>
      </c>
      <c r="V27" s="17" t="e">
        <f>#REF!</f>
        <v>#REF!</v>
      </c>
      <c r="W27" s="18" t="e">
        <f>#REF!</f>
        <v>#REF!</v>
      </c>
      <c r="Y27" s="1" t="s">
        <v>29</v>
      </c>
      <c r="BZ27" s="38" t="s">
        <v>49</v>
      </c>
      <c r="CB27" s="77" t="s">
        <v>120</v>
      </c>
      <c r="CC27" s="75" t="s">
        <v>112</v>
      </c>
      <c r="CD27" s="75" t="s">
        <v>113</v>
      </c>
      <c r="CE27" s="75" t="s">
        <v>114</v>
      </c>
      <c r="CF27" s="75" t="s">
        <v>118</v>
      </c>
      <c r="CI27" s="27" t="s">
        <v>24</v>
      </c>
      <c r="CJ27" s="91" t="e">
        <f>O36</f>
        <v>#REF!</v>
      </c>
      <c r="CK27" s="91"/>
      <c r="CL27" s="27" t="e">
        <f t="shared" ref="CL27:CS27" si="73">P$36</f>
        <v>#REF!</v>
      </c>
      <c r="CM27" s="27" t="e">
        <f t="shared" si="73"/>
        <v>#REF!</v>
      </c>
      <c r="CN27" s="27" t="e">
        <f t="shared" si="73"/>
        <v>#REF!</v>
      </c>
      <c r="CO27" s="27" t="e">
        <f t="shared" si="73"/>
        <v>#REF!</v>
      </c>
      <c r="CP27" s="27" t="e">
        <f t="shared" si="73"/>
        <v>#REF!</v>
      </c>
      <c r="CQ27" s="27" t="e">
        <f t="shared" si="73"/>
        <v>#REF!</v>
      </c>
      <c r="CR27" s="27" t="e">
        <f t="shared" si="73"/>
        <v>#REF!</v>
      </c>
      <c r="CS27" s="27" t="e">
        <f t="shared" si="73"/>
        <v>#REF!</v>
      </c>
      <c r="CU27" s="99" t="e">
        <f>VLOOKUP($CJ27,#REF!,34,FALSE)+VLOOKUP($CJ27,#REF!,5,FALSE)*30+VLOOKUP($CJ27,#REF!,9,FALSE)</f>
        <v>#REF!</v>
      </c>
      <c r="CV27" s="99"/>
      <c r="CW27" s="99"/>
      <c r="CY27" s="27" t="e">
        <f t="shared" si="69"/>
        <v>#REF!</v>
      </c>
      <c r="CZ27" s="27" t="s">
        <v>24</v>
      </c>
      <c r="DA27" s="27">
        <v>5</v>
      </c>
      <c r="DB27" s="27" t="e">
        <f t="shared" si="70"/>
        <v>#N/A</v>
      </c>
    </row>
    <row r="28" spans="2:110" ht="13.5" thickBot="1" x14ac:dyDescent="0.25">
      <c r="B28" s="44">
        <v>42539</v>
      </c>
      <c r="C28" s="71">
        <v>0.66666666666666663</v>
      </c>
      <c r="D28" s="31">
        <v>22</v>
      </c>
      <c r="E28" s="33" t="s">
        <v>55</v>
      </c>
      <c r="F28" s="57"/>
      <c r="G28" s="57"/>
      <c r="H28" s="36" t="s">
        <v>73</v>
      </c>
      <c r="I28" s="36" t="e">
        <f t="shared" si="1"/>
        <v>#N/A</v>
      </c>
      <c r="J28" s="50" t="s">
        <v>87</v>
      </c>
      <c r="K28" s="20" t="e">
        <f t="shared" si="2"/>
        <v>#REF!</v>
      </c>
      <c r="L28" s="1" t="str">
        <f t="shared" si="58"/>
        <v/>
      </c>
      <c r="M28" s="1" t="str">
        <f t="shared" si="59"/>
        <v/>
      </c>
      <c r="O28" s="16" t="e">
        <f>#REF!</f>
        <v>#REF!</v>
      </c>
      <c r="P28" s="17" t="e">
        <f>#REF!</f>
        <v>#REF!</v>
      </c>
      <c r="Q28" s="17" t="e">
        <f>#REF!</f>
        <v>#REF!</v>
      </c>
      <c r="R28" s="17" t="e">
        <f>#REF!</f>
        <v>#REF!</v>
      </c>
      <c r="S28" s="17" t="e">
        <f>#REF!</f>
        <v>#REF!</v>
      </c>
      <c r="T28" s="17" t="e">
        <f>#REF!</f>
        <v>#REF!</v>
      </c>
      <c r="U28" s="17" t="e">
        <f>#REF!</f>
        <v>#REF!</v>
      </c>
      <c r="V28" s="17" t="e">
        <f>#REF!</f>
        <v>#REF!</v>
      </c>
      <c r="W28" s="18" t="e">
        <f>#REF!</f>
        <v>#REF!</v>
      </c>
      <c r="Z28" s="1" t="s">
        <v>21</v>
      </c>
      <c r="AA28" s="1" t="s">
        <v>14</v>
      </c>
      <c r="AB28" s="1" t="s">
        <v>15</v>
      </c>
      <c r="AC28" s="1" t="s">
        <v>16</v>
      </c>
      <c r="AD28" s="1" t="s">
        <v>17</v>
      </c>
      <c r="AE28" s="1" t="s">
        <v>18</v>
      </c>
      <c r="AF28" s="1" t="s">
        <v>19</v>
      </c>
      <c r="AG28" s="1" t="s">
        <v>22</v>
      </c>
      <c r="BZ28" s="38" t="s">
        <v>63</v>
      </c>
      <c r="CB28" s="77" t="s">
        <v>121</v>
      </c>
      <c r="CC28" s="75" t="s">
        <v>116</v>
      </c>
      <c r="CD28" s="75" t="s">
        <v>113</v>
      </c>
      <c r="CE28" s="75" t="s">
        <v>114</v>
      </c>
      <c r="CF28" s="75" t="s">
        <v>118</v>
      </c>
      <c r="CI28" s="27" t="s">
        <v>17</v>
      </c>
      <c r="CJ28" s="91" t="e">
        <f>O43</f>
        <v>#REF!</v>
      </c>
      <c r="CK28" s="91"/>
      <c r="CL28" s="27" t="e">
        <f t="shared" ref="CL28:CS28" si="74">P$43</f>
        <v>#REF!</v>
      </c>
      <c r="CM28" s="27" t="e">
        <f t="shared" si="74"/>
        <v>#REF!</v>
      </c>
      <c r="CN28" s="27" t="e">
        <f t="shared" si="74"/>
        <v>#REF!</v>
      </c>
      <c r="CO28" s="27" t="e">
        <f t="shared" si="74"/>
        <v>#REF!</v>
      </c>
      <c r="CP28" s="27" t="e">
        <f t="shared" si="74"/>
        <v>#REF!</v>
      </c>
      <c r="CQ28" s="27" t="e">
        <f t="shared" si="74"/>
        <v>#REF!</v>
      </c>
      <c r="CR28" s="27" t="e">
        <f t="shared" si="74"/>
        <v>#REF!</v>
      </c>
      <c r="CS28" s="27" t="e">
        <f t="shared" si="74"/>
        <v>#REF!</v>
      </c>
      <c r="CU28" s="99" t="e">
        <f>VLOOKUP($CJ28,#REF!,34,FALSE)+VLOOKUP($CJ28,#REF!,5,FALSE)*30+VLOOKUP($CJ28,#REF!,9,FALSE)</f>
        <v>#REF!</v>
      </c>
      <c r="CV28" s="99"/>
      <c r="CW28" s="99"/>
      <c r="CY28" s="27" t="e">
        <f t="shared" si="69"/>
        <v>#REF!</v>
      </c>
      <c r="CZ28" s="27" t="s">
        <v>17</v>
      </c>
      <c r="DA28" s="27">
        <v>6</v>
      </c>
      <c r="DB28" s="27" t="e">
        <f t="shared" si="70"/>
        <v>#N/A</v>
      </c>
    </row>
    <row r="29" spans="2:110" ht="13.5" thickBot="1" x14ac:dyDescent="0.25">
      <c r="B29" s="44">
        <v>42539</v>
      </c>
      <c r="C29" s="71">
        <v>0.79166666666666663</v>
      </c>
      <c r="D29" s="31">
        <v>23</v>
      </c>
      <c r="E29" s="33" t="s">
        <v>64</v>
      </c>
      <c r="F29" s="57"/>
      <c r="G29" s="57"/>
      <c r="H29" s="36" t="s">
        <v>72</v>
      </c>
      <c r="I29" s="36" t="e">
        <f t="shared" si="1"/>
        <v>#N/A</v>
      </c>
      <c r="J29" s="50" t="s">
        <v>86</v>
      </c>
      <c r="K29" s="20" t="e">
        <f t="shared" si="2"/>
        <v>#REF!</v>
      </c>
      <c r="L29" s="1" t="str">
        <f t="shared" si="58"/>
        <v/>
      </c>
      <c r="M29" s="1" t="str">
        <f t="shared" si="59"/>
        <v/>
      </c>
      <c r="O29" s="16" t="e">
        <f>#REF!</f>
        <v>#REF!</v>
      </c>
      <c r="P29" s="17" t="e">
        <f>#REF!</f>
        <v>#REF!</v>
      </c>
      <c r="Q29" s="17" t="e">
        <f>#REF!</f>
        <v>#REF!</v>
      </c>
      <c r="R29" s="17" t="e">
        <f>#REF!</f>
        <v>#REF!</v>
      </c>
      <c r="S29" s="17" t="e">
        <f>#REF!</f>
        <v>#REF!</v>
      </c>
      <c r="T29" s="17" t="e">
        <f>#REF!</f>
        <v>#REF!</v>
      </c>
      <c r="U29" s="17" t="e">
        <f>#REF!</f>
        <v>#REF!</v>
      </c>
      <c r="V29" s="17" t="e">
        <f>#REF!</f>
        <v>#REF!</v>
      </c>
      <c r="W29" s="18" t="e">
        <f>#REF!</f>
        <v>#REF!</v>
      </c>
      <c r="Y29" s="1" t="s">
        <v>47</v>
      </c>
      <c r="Z29" s="1">
        <f>COUNT(Испания_Played)</f>
        <v>0</v>
      </c>
      <c r="AA29" s="1">
        <f>COUNTIF(Groupstage_Winners,"Испания")</f>
        <v>0</v>
      </c>
      <c r="AB29" s="1">
        <f>COUNTIF(Groupstage_Losers,"Испания")</f>
        <v>0</v>
      </c>
      <c r="AC29" s="1">
        <f>Z29-(AA29+AB29)</f>
        <v>0</v>
      </c>
      <c r="AD29" s="1">
        <f>SUM(Испания_Played)</f>
        <v>0</v>
      </c>
      <c r="AE29" s="1">
        <f>SUM(Испания_Against)</f>
        <v>0</v>
      </c>
      <c r="AF29" s="1">
        <f>AD29-AE29</f>
        <v>0</v>
      </c>
      <c r="AG29" s="1" t="e">
        <f>AA29*Winpoints+AC29*Drawpoints</f>
        <v>#REF!</v>
      </c>
      <c r="AH29" s="1" t="e">
        <f>IF($AG29&gt;=$AG30,$Y29,$Y30)</f>
        <v>#REF!</v>
      </c>
      <c r="AI29" s="1" t="e">
        <f>VLOOKUP($AH29,$Y29:$AG32,9,FALSE)</f>
        <v>#REF!</v>
      </c>
      <c r="AJ29" s="1" t="e">
        <f>IF($AI29&gt;=$AI31,$AH29,$AH31)</f>
        <v>#REF!</v>
      </c>
      <c r="AK29" s="1" t="e">
        <f>VLOOKUP($AJ29,$Y29:$AG32,9,FALSE)</f>
        <v>#REF!</v>
      </c>
      <c r="AL29" s="1" t="e">
        <f>IF($AK29&gt;=$AK32,$AJ29,$AJ32)</f>
        <v>#REF!</v>
      </c>
      <c r="AM29" s="1" t="e">
        <f>VLOOKUP($AL29,$Y29:$AG32,9,FALSE)</f>
        <v>#REF!</v>
      </c>
      <c r="AN29" s="1" t="e">
        <f>VLOOKUP($AL29,$Y29:$AG32,8,FALSE)</f>
        <v>#REF!</v>
      </c>
      <c r="AO29" s="1" t="e">
        <f>IF(AND($AM29=$AM30,$AN30&gt;$AN29),$AL30,$AL29)</f>
        <v>#REF!</v>
      </c>
      <c r="AP29" s="1" t="e">
        <f>VLOOKUP($AO29,$Y29:$AG32,9,FALSE)</f>
        <v>#REF!</v>
      </c>
      <c r="AQ29" s="1" t="e">
        <f>VLOOKUP($AO29,$Y29:$AG32,8,FALSE)</f>
        <v>#REF!</v>
      </c>
      <c r="AR29" s="1" t="e">
        <f>IF(AND($AP29=$AP31,$AQ31&gt;$AQ29),$AO31,$AO29)</f>
        <v>#REF!</v>
      </c>
      <c r="AS29" s="1" t="e">
        <f>VLOOKUP($AR29,$Y29:$AG32,9,FALSE)</f>
        <v>#REF!</v>
      </c>
      <c r="AT29" s="1" t="e">
        <f>VLOOKUP($AR29,$Y29:$AG32,8,FALSE)</f>
        <v>#REF!</v>
      </c>
      <c r="AU29" s="1" t="e">
        <f>IF(AND($AS29=$AS32,$AT32&gt;$AT29),$AR32,$AR29)</f>
        <v>#REF!</v>
      </c>
      <c r="AV29" s="1" t="e">
        <f>VLOOKUP($AU29,$Y29:$AG32,9,FALSE)</f>
        <v>#REF!</v>
      </c>
      <c r="AW29" s="1" t="e">
        <f>VLOOKUP($AU29,$Y29:$AG32,8,FALSE)</f>
        <v>#REF!</v>
      </c>
      <c r="AX29" s="1" t="e">
        <f>VLOOKUP($AU29,$Y29:$AG32,6,FALSE)</f>
        <v>#REF!</v>
      </c>
      <c r="AY29" s="1" t="e">
        <f>IF(AND($AV29=$AV30,$AW29=$AW30,$AX30&gt;$AX29),$AU30,$AU29)</f>
        <v>#REF!</v>
      </c>
      <c r="AZ29" s="1" t="e">
        <f>VLOOKUP($AY29,$Y29:$AG32,9,FALSE)</f>
        <v>#REF!</v>
      </c>
      <c r="BA29" s="1" t="e">
        <f>VLOOKUP($AY29,$Y29:$AG32,8,FALSE)</f>
        <v>#REF!</v>
      </c>
      <c r="BB29" s="1" t="e">
        <f>VLOOKUP($AY29,$Y29:$AG32,6,FALSE)</f>
        <v>#REF!</v>
      </c>
      <c r="BC29" s="1" t="e">
        <f>IF(AND($AZ29=$AZ31,$BA29=$BA31,$BB31&gt;$BB29),$AY31,$AY29)</f>
        <v>#REF!</v>
      </c>
      <c r="BD29" s="1" t="e">
        <f>VLOOKUP($BC29,$Y29:$AG32,9,FALSE)</f>
        <v>#REF!</v>
      </c>
      <c r="BE29" s="1" t="e">
        <f>VLOOKUP($BC29,$Y29:$AG32,8,FALSE)</f>
        <v>#REF!</v>
      </c>
      <c r="BF29" s="1" t="e">
        <f>VLOOKUP($BC29,$Y29:$AG32,6,FALSE)</f>
        <v>#REF!</v>
      </c>
      <c r="BG29" s="1" t="e">
        <f>IF(AND($BD29=$BD32,$BE29=$BE32,$BF32&gt;$BF29),$BC32,$BC29)</f>
        <v>#REF!</v>
      </c>
      <c r="BH29" s="1" t="e">
        <f>VLOOKUP($BG29,$Y29:$AG32,9,FALSE)</f>
        <v>#REF!</v>
      </c>
      <c r="BI29" s="1" t="e">
        <f>VLOOKUP($BG29,$Y29:$AG32,8,FALSE)</f>
        <v>#REF!</v>
      </c>
      <c r="BJ29" s="1" t="e">
        <f>VLOOKUP($BG29,$Y29:$AG32,6,FALSE)</f>
        <v>#REF!</v>
      </c>
      <c r="BN29" s="1" t="e">
        <f>BG29</f>
        <v>#REF!</v>
      </c>
      <c r="BO29" s="1" t="e">
        <f>VLOOKUP($BN29,$Y29:$AG32,2,FALSE)</f>
        <v>#REF!</v>
      </c>
      <c r="BP29" s="1" t="e">
        <f>VLOOKUP($BN29,$Y29:$AG32,3,FALSE)</f>
        <v>#REF!</v>
      </c>
      <c r="BQ29" s="1" t="e">
        <f>VLOOKUP($BN29,$Y29:$AG32,4,FALSE)</f>
        <v>#REF!</v>
      </c>
      <c r="BR29" s="1" t="e">
        <f>VLOOKUP($BN29,$Y29:$AG32,5,FALSE)</f>
        <v>#REF!</v>
      </c>
      <c r="BS29" s="1" t="e">
        <f>VLOOKUP($BN29,$Y29:$AG32,6,FALSE)</f>
        <v>#REF!</v>
      </c>
      <c r="BT29" s="1" t="e">
        <f>VLOOKUP($BN29,$Y29:$AG32,7,FALSE)</f>
        <v>#REF!</v>
      </c>
      <c r="BU29" s="1" t="e">
        <f>VLOOKUP($BN29,$Y29:$AG32,8,FALSE)</f>
        <v>#REF!</v>
      </c>
      <c r="BV29" s="1" t="e">
        <f>VLOOKUP($BN29,$Y29:$AG32,9,FALSE)</f>
        <v>#REF!</v>
      </c>
      <c r="BZ29" s="38" t="s">
        <v>51</v>
      </c>
      <c r="CB29" s="77" t="s">
        <v>122</v>
      </c>
      <c r="CC29" s="78" t="s">
        <v>111</v>
      </c>
      <c r="CD29" s="78" t="s">
        <v>112</v>
      </c>
      <c r="CE29" s="78" t="s">
        <v>113</v>
      </c>
      <c r="CF29" s="78" t="s">
        <v>116</v>
      </c>
    </row>
    <row r="30" spans="2:110" ht="13.5" thickBot="1" x14ac:dyDescent="0.25">
      <c r="B30" s="64">
        <v>42539</v>
      </c>
      <c r="C30" s="73">
        <v>0.91666666666666663</v>
      </c>
      <c r="D30" s="65">
        <v>24</v>
      </c>
      <c r="E30" s="66" t="s">
        <v>54</v>
      </c>
      <c r="F30" s="57"/>
      <c r="G30" s="57"/>
      <c r="H30" s="67" t="s">
        <v>65</v>
      </c>
      <c r="I30" s="67" t="e">
        <f t="shared" si="1"/>
        <v>#N/A</v>
      </c>
      <c r="J30" s="68" t="s">
        <v>79</v>
      </c>
      <c r="K30" s="69" t="e">
        <f t="shared" si="2"/>
        <v>#REF!</v>
      </c>
      <c r="L30" s="1" t="str">
        <f t="shared" si="58"/>
        <v/>
      </c>
      <c r="M30" s="1" t="str">
        <f t="shared" si="59"/>
        <v/>
      </c>
      <c r="O30" s="22" t="e">
        <f>#REF!</f>
        <v>#REF!</v>
      </c>
      <c r="P30" s="23" t="e">
        <f>#REF!</f>
        <v>#REF!</v>
      </c>
      <c r="Q30" s="23" t="e">
        <f>#REF!</f>
        <v>#REF!</v>
      </c>
      <c r="R30" s="23" t="e">
        <f>#REF!</f>
        <v>#REF!</v>
      </c>
      <c r="S30" s="23" t="e">
        <f>#REF!</f>
        <v>#REF!</v>
      </c>
      <c r="T30" s="23" t="e">
        <f>#REF!</f>
        <v>#REF!</v>
      </c>
      <c r="U30" s="23" t="e">
        <f>#REF!</f>
        <v>#REF!</v>
      </c>
      <c r="V30" s="23" t="e">
        <f>#REF!</f>
        <v>#REF!</v>
      </c>
      <c r="W30" s="24" t="e">
        <f>#REF!</f>
        <v>#REF!</v>
      </c>
      <c r="Y30" s="1" t="s">
        <v>63</v>
      </c>
      <c r="Z30" s="1">
        <f>COUNT(Чехия_Played)</f>
        <v>0</v>
      </c>
      <c r="AA30" s="1">
        <f>COUNTIF(Groupstage_Winners,"Чехия")</f>
        <v>0</v>
      </c>
      <c r="AB30" s="1">
        <f>COUNTIF(Groupstage_Losers,"Чехия")</f>
        <v>0</v>
      </c>
      <c r="AC30" s="1">
        <f>Z30-(AA30+AB30)</f>
        <v>0</v>
      </c>
      <c r="AD30" s="1">
        <f>SUM(Чехия_Played)</f>
        <v>0</v>
      </c>
      <c r="AE30" s="1">
        <f>SUM(Чехия_Against)</f>
        <v>0</v>
      </c>
      <c r="AF30" s="1">
        <f>AD30-AE30</f>
        <v>0</v>
      </c>
      <c r="AG30" s="1" t="e">
        <f>AA30*Winpoints+AC30*Drawpoints</f>
        <v>#REF!</v>
      </c>
      <c r="AH30" s="1" t="e">
        <f>IF($AG30&lt;=$AG29,$Y30,$Y29)</f>
        <v>#REF!</v>
      </c>
      <c r="AI30" s="1" t="e">
        <f>VLOOKUP($AH30,$Y29:$AG32,9,FALSE)</f>
        <v>#REF!</v>
      </c>
      <c r="AJ30" s="1" t="e">
        <f>IF(AI30&gt;=AI32,AH30,AH32)</f>
        <v>#REF!</v>
      </c>
      <c r="AK30" s="1" t="e">
        <f>VLOOKUP($AJ30,$Y29:$AG32,9,FALSE)</f>
        <v>#REF!</v>
      </c>
      <c r="AL30" s="1" t="e">
        <f>IF($AK30&gt;=$AK31,$AJ30,$AJ31)</f>
        <v>#REF!</v>
      </c>
      <c r="AM30" s="1" t="e">
        <f>VLOOKUP($AL30,$Y29:$AG32,9,FALSE)</f>
        <v>#REF!</v>
      </c>
      <c r="AN30" s="1" t="e">
        <f>VLOOKUP($AL30,$Y29:$AG32,8,FALSE)</f>
        <v>#REF!</v>
      </c>
      <c r="AO30" s="1" t="e">
        <f>IF(AND($AM29=$AM30,$AN30&gt;$AN29),$AL29,$AL30)</f>
        <v>#REF!</v>
      </c>
      <c r="AP30" s="1" t="e">
        <f>VLOOKUP($AO30,$Y29:$AG32,9,FALSE)</f>
        <v>#REF!</v>
      </c>
      <c r="AQ30" s="1" t="e">
        <f>VLOOKUP($AO30,$Y29:$AG32,8,FALSE)</f>
        <v>#REF!</v>
      </c>
      <c r="AR30" s="1" t="e">
        <f>IF(AND($AP30=$AP32,$AQ32&gt;$AQ30),$AO32,$AO30)</f>
        <v>#REF!</v>
      </c>
      <c r="AS30" s="1" t="e">
        <f>VLOOKUP($AR30,$Y29:$AG32,9,FALSE)</f>
        <v>#REF!</v>
      </c>
      <c r="AT30" s="1" t="e">
        <f>VLOOKUP($AR30,$Y29:$AG32,8,FALSE)</f>
        <v>#REF!</v>
      </c>
      <c r="AU30" s="1" t="e">
        <f>IF(AND($AS30=$AS31,$AT31&gt;$AT30),$AR31,$AR30)</f>
        <v>#REF!</v>
      </c>
      <c r="AV30" s="1" t="e">
        <f>VLOOKUP($AU30,$Y29:$AG32,9,FALSE)</f>
        <v>#REF!</v>
      </c>
      <c r="AW30" s="1" t="e">
        <f>VLOOKUP($AU30,$Y29:$AG32,8,FALSE)</f>
        <v>#REF!</v>
      </c>
      <c r="AX30" s="1" t="e">
        <f>VLOOKUP($AU30,$Y29:$AG32,6,FALSE)</f>
        <v>#REF!</v>
      </c>
      <c r="AY30" s="1" t="e">
        <f>IF(AND($AV29=$AV30,$AW29=$AW30,$AX30&gt;$AX29),$AU29,$AU30)</f>
        <v>#REF!</v>
      </c>
      <c r="AZ30" s="1" t="e">
        <f>VLOOKUP($AY30,$Y29:$AG32,9,FALSE)</f>
        <v>#REF!</v>
      </c>
      <c r="BA30" s="1" t="e">
        <f>VLOOKUP($AY30,$Y29:$AG32,8,FALSE)</f>
        <v>#REF!</v>
      </c>
      <c r="BB30" s="1" t="e">
        <f>VLOOKUP($AY30,$Y29:$AG32,6,FALSE)</f>
        <v>#REF!</v>
      </c>
      <c r="BC30" s="1" t="e">
        <f>IF(AND($AZ30=$AZ32,$BA30=$BA32,$BB32&gt;$BB30),$AY32,$AY30)</f>
        <v>#REF!</v>
      </c>
      <c r="BD30" s="1" t="e">
        <f>VLOOKUP($BC30,$Y29:$AG32,9,FALSE)</f>
        <v>#REF!</v>
      </c>
      <c r="BE30" s="1" t="e">
        <f>VLOOKUP($BC30,$Y29:$AG32,8,FALSE)</f>
        <v>#REF!</v>
      </c>
      <c r="BF30" s="1" t="e">
        <f>VLOOKUP($BC30,$Y29:$AG32,6,FALSE)</f>
        <v>#REF!</v>
      </c>
      <c r="BG30" s="1" t="e">
        <f>IF(AND($BD30=$BD31,$BE30=$BE31,$BF31&gt;$BF30),$BC31,$BC30)</f>
        <v>#REF!</v>
      </c>
      <c r="BH30" s="1" t="e">
        <f>VLOOKUP($BG30,$Y29:$AG32,9,FALSE)</f>
        <v>#REF!</v>
      </c>
      <c r="BI30" s="1" t="e">
        <f>VLOOKUP($BG30,$Y29:$AG32,8,FALSE)</f>
        <v>#REF!</v>
      </c>
      <c r="BJ30" s="1" t="e">
        <f>VLOOKUP($BG30,$Y29:$AG32,6,FALSE)</f>
        <v>#REF!</v>
      </c>
      <c r="BN30" s="1" t="e">
        <f>BG30</f>
        <v>#REF!</v>
      </c>
      <c r="BO30" s="1" t="e">
        <f>VLOOKUP($BN30,$Y29:$AG32,2,FALSE)</f>
        <v>#REF!</v>
      </c>
      <c r="BP30" s="1" t="e">
        <f>VLOOKUP($BN30,$Y29:$AG32,3,FALSE)</f>
        <v>#REF!</v>
      </c>
      <c r="BQ30" s="1" t="e">
        <f>VLOOKUP($BN30,$Y29:$AG32,4,FALSE)</f>
        <v>#REF!</v>
      </c>
      <c r="BR30" s="1" t="e">
        <f>VLOOKUP($BN30,$Y29:$AG32,5,FALSE)</f>
        <v>#REF!</v>
      </c>
      <c r="BS30" s="1" t="e">
        <f>VLOOKUP($BN30,$Y29:$AG32,6,FALSE)</f>
        <v>#REF!</v>
      </c>
      <c r="BT30" s="1" t="e">
        <f>VLOOKUP($BN30,$Y29:$AG32,7,FALSE)</f>
        <v>#REF!</v>
      </c>
      <c r="BU30" s="1" t="e">
        <f>VLOOKUP($BN30,$Y29:$AG32,8,FALSE)</f>
        <v>#REF!</v>
      </c>
      <c r="BV30" s="1" t="e">
        <f>VLOOKUP($BN30,$Y29:$AG32,9,FALSE)</f>
        <v>#REF!</v>
      </c>
      <c r="BZ30" s="38" t="s">
        <v>74</v>
      </c>
      <c r="CB30" s="77" t="s">
        <v>123</v>
      </c>
      <c r="CC30" s="75" t="s">
        <v>111</v>
      </c>
      <c r="CD30" s="75" t="s">
        <v>112</v>
      </c>
      <c r="CE30" s="75" t="s">
        <v>113</v>
      </c>
      <c r="CF30" s="75" t="s">
        <v>118</v>
      </c>
    </row>
    <row r="31" spans="2:110" ht="13.5" thickBot="1" x14ac:dyDescent="0.25">
      <c r="B31" s="44">
        <v>42540</v>
      </c>
      <c r="C31" s="71">
        <v>0.91666666666666663</v>
      </c>
      <c r="D31" s="31">
        <v>25</v>
      </c>
      <c r="E31" s="33" t="s">
        <v>67</v>
      </c>
      <c r="F31" s="63"/>
      <c r="G31" s="63"/>
      <c r="H31" s="36" t="s">
        <v>68</v>
      </c>
      <c r="I31" s="36" t="e">
        <f t="shared" si="1"/>
        <v>#N/A</v>
      </c>
      <c r="J31" s="50" t="s">
        <v>81</v>
      </c>
      <c r="K31" s="20" t="e">
        <f t="shared" si="2"/>
        <v>#REF!</v>
      </c>
      <c r="L31" s="1" t="str">
        <f t="shared" si="58"/>
        <v/>
      </c>
      <c r="M31" s="1" t="str">
        <f t="shared" si="59"/>
        <v/>
      </c>
      <c r="Y31" s="1" t="s">
        <v>71</v>
      </c>
      <c r="Z31" s="1">
        <f>COUNT(Турция_Played)</f>
        <v>0</v>
      </c>
      <c r="AA31" s="1">
        <f>COUNTIF(Groupstage_Winners,"Турция")</f>
        <v>0</v>
      </c>
      <c r="AB31" s="1">
        <f>COUNTIF(Groupstage_Losers,"Турция")</f>
        <v>0</v>
      </c>
      <c r="AC31" s="1">
        <f>Z31-(AA31+AB31)</f>
        <v>0</v>
      </c>
      <c r="AD31" s="1">
        <f>SUM(Турция_Played)</f>
        <v>0</v>
      </c>
      <c r="AE31" s="1">
        <f>SUM(Турция_Against)</f>
        <v>0</v>
      </c>
      <c r="AF31" s="1">
        <f>AD31-AE31</f>
        <v>0</v>
      </c>
      <c r="AG31" s="1" t="e">
        <f>AA31*Winpoints+AC31*Drawpoints</f>
        <v>#REF!</v>
      </c>
      <c r="AH31" s="1" t="e">
        <f>IF($AG31&gt;=$AG32,$Y31,$Y32)</f>
        <v>#REF!</v>
      </c>
      <c r="AI31" s="1" t="e">
        <f>VLOOKUP($AH31,$Y29:$AG32,9,FALSE)</f>
        <v>#REF!</v>
      </c>
      <c r="AJ31" s="1" t="e">
        <f>IF($AI31&lt;=$AI29,$AH31,$AH29)</f>
        <v>#REF!</v>
      </c>
      <c r="AK31" s="1" t="e">
        <f>VLOOKUP($AJ31,$Y29:$AG32,9,FALSE)</f>
        <v>#REF!</v>
      </c>
      <c r="AL31" s="1" t="e">
        <f>IF($AK31&lt;=$AK30,$AJ31,$AJ30)</f>
        <v>#REF!</v>
      </c>
      <c r="AM31" s="1" t="e">
        <f>VLOOKUP($AL31,$Y29:$AG32,9,FALSE)</f>
        <v>#REF!</v>
      </c>
      <c r="AN31" s="1" t="e">
        <f>VLOOKUP($AL31,$Y29:$AG32,8,FALSE)</f>
        <v>#REF!</v>
      </c>
      <c r="AO31" s="1" t="e">
        <f>IF(AND($AM31=$AM32,$AN32&gt;$AN31),$AL32,$AL31)</f>
        <v>#REF!</v>
      </c>
      <c r="AP31" s="1" t="e">
        <f>VLOOKUP($AO31,$Y29:$AG32,9,FALSE)</f>
        <v>#REF!</v>
      </c>
      <c r="AQ31" s="1" t="e">
        <f>VLOOKUP($AO31,$Y29:$AG32,8,FALSE)</f>
        <v>#REF!</v>
      </c>
      <c r="AR31" s="1" t="e">
        <f>IF(AND($AP29=$AP31,$AQ31&gt;$AQ29),$AO29,$AO31)</f>
        <v>#REF!</v>
      </c>
      <c r="AS31" s="1" t="e">
        <f>VLOOKUP($AR31,$Y29:$AG32,9,FALSE)</f>
        <v>#REF!</v>
      </c>
      <c r="AT31" s="1" t="e">
        <f>VLOOKUP($AR31,$Y29:$AG32,8,FALSE)</f>
        <v>#REF!</v>
      </c>
      <c r="AU31" s="1" t="e">
        <f>IF(AND($AS30=$AS31,$AT31&gt;$AT30),$AR30,$AR31)</f>
        <v>#REF!</v>
      </c>
      <c r="AV31" s="1" t="e">
        <f>VLOOKUP($AU31,$Y29:$AG32,9,FALSE)</f>
        <v>#REF!</v>
      </c>
      <c r="AW31" s="1" t="e">
        <f>VLOOKUP($AU31,$Y29:$AG32,8,FALSE)</f>
        <v>#REF!</v>
      </c>
      <c r="AX31" s="1" t="e">
        <f>VLOOKUP($AU31,$Y29:$AG32,6,FALSE)</f>
        <v>#REF!</v>
      </c>
      <c r="AY31" s="1" t="e">
        <f>IF(AND($AV31=$AV32,$AW31=$AW32,$AX32&gt;$AX31),$AU32,$AU31)</f>
        <v>#REF!</v>
      </c>
      <c r="AZ31" s="1" t="e">
        <f>VLOOKUP($AY31,$Y29:$AG32,9,FALSE)</f>
        <v>#REF!</v>
      </c>
      <c r="BA31" s="1" t="e">
        <f>VLOOKUP($AY31,$Y29:$AG32,8,FALSE)</f>
        <v>#REF!</v>
      </c>
      <c r="BB31" s="1" t="e">
        <f>VLOOKUP($AY31,$Y29:$AG32,6,FALSE)</f>
        <v>#REF!</v>
      </c>
      <c r="BC31" s="1" t="e">
        <f>IF(AND($AZ29=$AZ31,$BA29=$BA31,$BB31&gt;$BB29),$AY29,$AY31)</f>
        <v>#REF!</v>
      </c>
      <c r="BD31" s="1" t="e">
        <f>VLOOKUP($BC31,$Y29:$AG32,9,FALSE)</f>
        <v>#REF!</v>
      </c>
      <c r="BE31" s="1" t="e">
        <f>VLOOKUP($BC31,$Y29:$AG32,8,FALSE)</f>
        <v>#REF!</v>
      </c>
      <c r="BF31" s="1" t="e">
        <f>VLOOKUP($BC31,$Y29:$AG32,6,FALSE)</f>
        <v>#REF!</v>
      </c>
      <c r="BG31" s="1" t="e">
        <f>IF(AND($BD30=$BD31,$BE30=$BE31,$BF31&gt;$BF30),$BC30,$BC31)</f>
        <v>#REF!</v>
      </c>
      <c r="BH31" s="1" t="e">
        <f>VLOOKUP($BG31,$Y29:$AG32,9,FALSE)</f>
        <v>#REF!</v>
      </c>
      <c r="BI31" s="1" t="e">
        <f>VLOOKUP($BG31,$Y29:$AG32,8,FALSE)</f>
        <v>#REF!</v>
      </c>
      <c r="BJ31" s="1" t="e">
        <f>VLOOKUP($BG31,$Y29:$AG32,6,FALSE)</f>
        <v>#REF!</v>
      </c>
      <c r="BN31" s="1" t="e">
        <f>BG31</f>
        <v>#REF!</v>
      </c>
      <c r="BO31" s="1" t="e">
        <f>VLOOKUP($BN31,$Y29:$AG32,2,FALSE)</f>
        <v>#REF!</v>
      </c>
      <c r="BP31" s="1" t="e">
        <f>VLOOKUP($BN31,$Y29:$AG32,3,FALSE)</f>
        <v>#REF!</v>
      </c>
      <c r="BQ31" s="1" t="e">
        <f>VLOOKUP($BN31,$Y29:$AG32,4,FALSE)</f>
        <v>#REF!</v>
      </c>
      <c r="BR31" s="1" t="e">
        <f>VLOOKUP($BN31,$Y29:$AG32,5,FALSE)</f>
        <v>#REF!</v>
      </c>
      <c r="BS31" s="1" t="e">
        <f>VLOOKUP($BN31,$Y29:$AG32,6,FALSE)</f>
        <v>#REF!</v>
      </c>
      <c r="BT31" s="1" t="e">
        <f>VLOOKUP($BN31,$Y29:$AG32,7,FALSE)</f>
        <v>#REF!</v>
      </c>
      <c r="BU31" s="1" t="e">
        <f>VLOOKUP($BN31,$Y29:$AG32,8,FALSE)</f>
        <v>#REF!</v>
      </c>
      <c r="BV31" s="1" t="e">
        <f>VLOOKUP($BN31,$Y29:$AG32,9,FALSE)</f>
        <v>#REF!</v>
      </c>
      <c r="BZ31" s="38"/>
      <c r="CB31" s="77" t="s">
        <v>124</v>
      </c>
      <c r="CC31" s="75" t="s">
        <v>111</v>
      </c>
      <c r="CD31" s="75" t="s">
        <v>113</v>
      </c>
      <c r="CE31" s="75" t="s">
        <v>118</v>
      </c>
      <c r="CF31" s="75" t="s">
        <v>116</v>
      </c>
    </row>
    <row r="32" spans="2:110" ht="15.75" thickBot="1" x14ac:dyDescent="0.25">
      <c r="B32" s="44">
        <v>42540</v>
      </c>
      <c r="C32" s="71">
        <v>0.91666666666666663</v>
      </c>
      <c r="D32" s="31">
        <v>26</v>
      </c>
      <c r="E32" s="33" t="s">
        <v>51</v>
      </c>
      <c r="F32" s="57"/>
      <c r="G32" s="57"/>
      <c r="H32" s="36" t="s">
        <v>52</v>
      </c>
      <c r="I32" s="36" t="e">
        <f t="shared" si="1"/>
        <v>#N/A</v>
      </c>
      <c r="J32" s="50" t="s">
        <v>82</v>
      </c>
      <c r="K32" s="20" t="e">
        <f t="shared" si="2"/>
        <v>#REF!</v>
      </c>
      <c r="L32" s="1" t="str">
        <f t="shared" si="58"/>
        <v/>
      </c>
      <c r="M32" s="1" t="str">
        <f t="shared" si="59"/>
        <v/>
      </c>
      <c r="O32" s="54" t="s">
        <v>39</v>
      </c>
      <c r="P32" s="55"/>
      <c r="Q32" s="55"/>
      <c r="R32" s="55"/>
      <c r="S32" s="55"/>
      <c r="T32" s="55"/>
      <c r="U32" s="55"/>
      <c r="V32" s="55"/>
      <c r="W32" s="56"/>
      <c r="Y32" s="1" t="s">
        <v>49</v>
      </c>
      <c r="Z32" s="1">
        <f>COUNT(Хорватия_Played)</f>
        <v>0</v>
      </c>
      <c r="AA32" s="1">
        <f>COUNTIF(Groupstage_Winners,"Хорватия")</f>
        <v>0</v>
      </c>
      <c r="AB32" s="1">
        <f>COUNTIF(Groupstage_Losers,"Хорватия")</f>
        <v>0</v>
      </c>
      <c r="AC32" s="1">
        <f>Z32-(AA32+AB32)</f>
        <v>0</v>
      </c>
      <c r="AD32" s="1">
        <f>SUM(Хорватия_Played)</f>
        <v>0</v>
      </c>
      <c r="AE32" s="1">
        <f>SUM(Хорватия_Against)</f>
        <v>0</v>
      </c>
      <c r="AF32" s="1">
        <f>AD32-AE32</f>
        <v>0</v>
      </c>
      <c r="AG32" s="1" t="e">
        <f>AA32*Winpoints+AC32*Drawpoints</f>
        <v>#REF!</v>
      </c>
      <c r="AH32" s="1" t="e">
        <f>IF($AG32&lt;=$AG31,$Y32,$Y31)</f>
        <v>#REF!</v>
      </c>
      <c r="AI32" s="1" t="e">
        <f>VLOOKUP($AH32,$Y29:$AG32,9,FALSE)</f>
        <v>#REF!</v>
      </c>
      <c r="AJ32" s="1" t="e">
        <f>IF(AI32&lt;=AI30,AH32,AH30)</f>
        <v>#REF!</v>
      </c>
      <c r="AK32" s="1" t="e">
        <f>VLOOKUP($AJ32,$Y29:$AG32,9,FALSE)</f>
        <v>#REF!</v>
      </c>
      <c r="AL32" s="1" t="e">
        <f>IF($AK32&lt;=$AK29,$AJ32,$AJ29)</f>
        <v>#REF!</v>
      </c>
      <c r="AM32" s="1" t="e">
        <f>VLOOKUP($AL32,$Y29:$AG32,9,FALSE)</f>
        <v>#REF!</v>
      </c>
      <c r="AN32" s="1" t="e">
        <f>VLOOKUP($AL32,$Y29:$AG32,8,FALSE)</f>
        <v>#REF!</v>
      </c>
      <c r="AO32" s="1" t="e">
        <f>IF(AND($AM31=$AM32,$AN32&gt;$AN31),$AL31,$AL32)</f>
        <v>#REF!</v>
      </c>
      <c r="AP32" s="1" t="e">
        <f>VLOOKUP($AO32,$Y29:$AG32,9,FALSE)</f>
        <v>#REF!</v>
      </c>
      <c r="AQ32" s="1" t="e">
        <f>VLOOKUP($AO32,$Y29:$AG32,8,FALSE)</f>
        <v>#REF!</v>
      </c>
      <c r="AR32" s="1" t="e">
        <f>IF(AND($AP30=$AP32,$AQ32&gt;$AQ30),$AO30,$AO32)</f>
        <v>#REF!</v>
      </c>
      <c r="AS32" s="1" t="e">
        <f>VLOOKUP($AR32,$Y29:$AG32,9,FALSE)</f>
        <v>#REF!</v>
      </c>
      <c r="AT32" s="1" t="e">
        <f>VLOOKUP($AR32,$Y29:$AG32,8,FALSE)</f>
        <v>#REF!</v>
      </c>
      <c r="AU32" s="1" t="e">
        <f>IF(AND($AS29=$AS32,$AT32&gt;$AT29),$AR29,$AR32)</f>
        <v>#REF!</v>
      </c>
      <c r="AV32" s="1" t="e">
        <f>VLOOKUP($AU32,$Y29:$AG32,9,FALSE)</f>
        <v>#REF!</v>
      </c>
      <c r="AW32" s="1" t="e">
        <f>VLOOKUP($AU32,$Y29:$AG32,8,FALSE)</f>
        <v>#REF!</v>
      </c>
      <c r="AX32" s="1" t="e">
        <f>VLOOKUP($AU32,$Y29:$AG32,6,FALSE)</f>
        <v>#REF!</v>
      </c>
      <c r="AY32" s="1" t="e">
        <f>IF(AND($AV31=$AV32,$AW31=$AW32,$AX32&gt;$AX31),$AU31,$AU32)</f>
        <v>#REF!</v>
      </c>
      <c r="AZ32" s="1" t="e">
        <f>VLOOKUP($AY32,$Y29:$AG32,9,FALSE)</f>
        <v>#REF!</v>
      </c>
      <c r="BA32" s="1" t="e">
        <f>VLOOKUP($AY32,$Y29:$AG32,8,FALSE)</f>
        <v>#REF!</v>
      </c>
      <c r="BB32" s="1" t="e">
        <f>VLOOKUP($AY32,$Y29:$AG32,6,FALSE)</f>
        <v>#REF!</v>
      </c>
      <c r="BC32" s="1" t="e">
        <f>IF(AND($AZ30=$AZ32,$BA30=$BA32,$BB32&gt;$BB30),$AY30,$AY32)</f>
        <v>#REF!</v>
      </c>
      <c r="BD32" s="1" t="e">
        <f>VLOOKUP($BC32,$Y29:$AG32,9,FALSE)</f>
        <v>#REF!</v>
      </c>
      <c r="BE32" s="1" t="e">
        <f>VLOOKUP($BC32,$Y29:$AG32,8,FALSE)</f>
        <v>#REF!</v>
      </c>
      <c r="BF32" s="1" t="e">
        <f>VLOOKUP($BC32,$Y29:$AG32,6,FALSE)</f>
        <v>#REF!</v>
      </c>
      <c r="BG32" s="1" t="e">
        <f>IF(AND($BD29=$BD32,$BE29=$BE32,$BF32&gt;$BF29),$BC29,$BC32)</f>
        <v>#REF!</v>
      </c>
      <c r="BH32" s="1" t="e">
        <f>VLOOKUP($BG32,$Y29:$AG32,9,FALSE)</f>
        <v>#REF!</v>
      </c>
      <c r="BI32" s="1" t="e">
        <f>VLOOKUP($BG32,$Y29:$AG32,8,FALSE)</f>
        <v>#REF!</v>
      </c>
      <c r="BJ32" s="1" t="e">
        <f>VLOOKUP($BG32,$Y29:$AG32,6,FALSE)</f>
        <v>#REF!</v>
      </c>
      <c r="BN32" s="1" t="e">
        <f>BG32</f>
        <v>#REF!</v>
      </c>
      <c r="BO32" s="1" t="e">
        <f>VLOOKUP($BN32,$Y29:$AG32,2,FALSE)</f>
        <v>#REF!</v>
      </c>
      <c r="BP32" s="1" t="e">
        <f>VLOOKUP($BN32,$Y29:$AG32,3,FALSE)</f>
        <v>#REF!</v>
      </c>
      <c r="BQ32" s="1" t="e">
        <f>VLOOKUP($BN32,$Y29:$AG32,4,FALSE)</f>
        <v>#REF!</v>
      </c>
      <c r="BR32" s="1" t="e">
        <f>VLOOKUP($BN32,$Y29:$AG32,5,FALSE)</f>
        <v>#REF!</v>
      </c>
      <c r="BS32" s="1" t="e">
        <f>VLOOKUP($BN32,$Y29:$AG32,6,FALSE)</f>
        <v>#REF!</v>
      </c>
      <c r="BT32" s="1" t="e">
        <f>VLOOKUP($BN32,$Y29:$AG32,7,FALSE)</f>
        <v>#REF!</v>
      </c>
      <c r="BU32" s="1" t="e">
        <f>VLOOKUP($BN32,$Y29:$AG32,8,FALSE)</f>
        <v>#REF!</v>
      </c>
      <c r="BV32" s="1" t="e">
        <f>VLOOKUP($BN32,$Y29:$AG32,9,FALSE)</f>
        <v>#REF!</v>
      </c>
      <c r="BZ32" s="38"/>
      <c r="CB32" s="77" t="s">
        <v>125</v>
      </c>
      <c r="CC32" s="75" t="s">
        <v>112</v>
      </c>
      <c r="CD32" s="75" t="s">
        <v>113</v>
      </c>
      <c r="CE32" s="76" t="s">
        <v>118</v>
      </c>
      <c r="CF32" s="75" t="s">
        <v>116</v>
      </c>
    </row>
    <row r="33" spans="2:84" ht="13.5" thickBot="1" x14ac:dyDescent="0.25">
      <c r="B33" s="44">
        <v>42541</v>
      </c>
      <c r="C33" s="71">
        <v>0.91666666666666663</v>
      </c>
      <c r="D33" s="31">
        <v>27</v>
      </c>
      <c r="E33" s="33" t="s">
        <v>46</v>
      </c>
      <c r="F33" s="57"/>
      <c r="G33" s="57"/>
      <c r="H33" s="36" t="s">
        <v>66</v>
      </c>
      <c r="I33" s="36" t="e">
        <f t="shared" si="1"/>
        <v>#N/A</v>
      </c>
      <c r="J33" s="50" t="s">
        <v>83</v>
      </c>
      <c r="K33" s="20" t="e">
        <f t="shared" si="2"/>
        <v>#REF!</v>
      </c>
      <c r="L33" s="1" t="str">
        <f t="shared" si="58"/>
        <v/>
      </c>
      <c r="M33" s="1" t="str">
        <f t="shared" si="59"/>
        <v/>
      </c>
      <c r="O33" s="9"/>
      <c r="P33" s="10" t="s">
        <v>13</v>
      </c>
      <c r="Q33" s="10" t="s">
        <v>14</v>
      </c>
      <c r="R33" s="10" t="s">
        <v>15</v>
      </c>
      <c r="S33" s="10" t="s">
        <v>16</v>
      </c>
      <c r="T33" s="10" t="s">
        <v>17</v>
      </c>
      <c r="U33" s="10" t="s">
        <v>18</v>
      </c>
      <c r="V33" s="10" t="s">
        <v>19</v>
      </c>
      <c r="W33" s="11" t="s">
        <v>20</v>
      </c>
      <c r="BZ33" s="38"/>
      <c r="CB33" s="77" t="s">
        <v>126</v>
      </c>
      <c r="CC33" s="75" t="s">
        <v>111</v>
      </c>
      <c r="CD33" s="75" t="s">
        <v>112</v>
      </c>
      <c r="CE33" s="75" t="s">
        <v>114</v>
      </c>
      <c r="CF33" s="75" t="s">
        <v>116</v>
      </c>
    </row>
    <row r="34" spans="2:84" ht="13.5" thickBot="1" x14ac:dyDescent="0.25">
      <c r="B34" s="44">
        <v>42541</v>
      </c>
      <c r="C34" s="71">
        <v>0.91666666666666663</v>
      </c>
      <c r="D34" s="31">
        <v>28</v>
      </c>
      <c r="E34" s="33" t="s">
        <v>70</v>
      </c>
      <c r="F34" s="57"/>
      <c r="G34" s="57"/>
      <c r="H34" s="36" t="s">
        <v>50</v>
      </c>
      <c r="I34" s="36" t="e">
        <f t="shared" si="1"/>
        <v>#N/A</v>
      </c>
      <c r="J34" s="50" t="s">
        <v>78</v>
      </c>
      <c r="K34" s="20" t="e">
        <f t="shared" si="2"/>
        <v>#REF!</v>
      </c>
      <c r="L34" s="1" t="str">
        <f t="shared" ref="L34:L42" si="75">IF(F34&lt;&gt;"",IF(F34&gt;G34,E34,IF(G34&gt;F34,H34,"Draw")),"")</f>
        <v/>
      </c>
      <c r="M34" s="1" t="str">
        <f t="shared" ref="M34:M42" si="76">IF(F34&lt;&gt;"",IF(F34&lt;G34,E34,IF(G34&lt;F34,H34,"Draw")),"")</f>
        <v/>
      </c>
      <c r="O34" s="16" t="e">
        <f>#REF!</f>
        <v>#REF!</v>
      </c>
      <c r="P34" s="17" t="e">
        <f>#REF!</f>
        <v>#REF!</v>
      </c>
      <c r="Q34" s="17" t="e">
        <f>#REF!</f>
        <v>#REF!</v>
      </c>
      <c r="R34" s="17" t="e">
        <f>#REF!</f>
        <v>#REF!</v>
      </c>
      <c r="S34" s="17" t="e">
        <f>#REF!</f>
        <v>#REF!</v>
      </c>
      <c r="T34" s="17" t="e">
        <f>#REF!</f>
        <v>#REF!</v>
      </c>
      <c r="U34" s="17" t="e">
        <f>#REF!</f>
        <v>#REF!</v>
      </c>
      <c r="V34" s="17" t="e">
        <f>#REF!</f>
        <v>#REF!</v>
      </c>
      <c r="W34" s="18" t="e">
        <f>#REF!</f>
        <v>#REF!</v>
      </c>
      <c r="Y34" s="1" t="s">
        <v>30</v>
      </c>
      <c r="BZ34" s="38"/>
      <c r="CB34" s="77" t="s">
        <v>127</v>
      </c>
      <c r="CC34" s="75" t="s">
        <v>111</v>
      </c>
      <c r="CD34" s="75" t="s">
        <v>112</v>
      </c>
      <c r="CE34" s="75" t="s">
        <v>114</v>
      </c>
      <c r="CF34" s="75" t="s">
        <v>118</v>
      </c>
    </row>
    <row r="35" spans="2:84" ht="13.5" thickBot="1" x14ac:dyDescent="0.25">
      <c r="B35" s="44">
        <v>42542</v>
      </c>
      <c r="C35" s="71">
        <v>0.79166666666666663</v>
      </c>
      <c r="D35" s="31">
        <v>29</v>
      </c>
      <c r="E35" s="33" t="s">
        <v>75</v>
      </c>
      <c r="F35" s="57"/>
      <c r="G35" s="57"/>
      <c r="H35" s="36" t="s">
        <v>69</v>
      </c>
      <c r="I35" s="36" t="e">
        <f t="shared" si="1"/>
        <v>#N/A</v>
      </c>
      <c r="J35" s="50" t="s">
        <v>86</v>
      </c>
      <c r="K35" s="20" t="e">
        <f t="shared" si="2"/>
        <v>#REF!</v>
      </c>
      <c r="L35" s="1" t="str">
        <f>IF(F35&lt;&gt;"",IF(F35&gt;G35,E35,IF(G35&gt;F35,H35,"Draw")),"")</f>
        <v/>
      </c>
      <c r="M35" s="1" t="str">
        <f>IF(F35&lt;&gt;"",IF(F35&lt;G35,E35,IF(G35&lt;F35,H35,"Draw")),"")</f>
        <v/>
      </c>
      <c r="O35" s="16" t="e">
        <f>#REF!</f>
        <v>#REF!</v>
      </c>
      <c r="P35" s="17" t="e">
        <f>#REF!</f>
        <v>#REF!</v>
      </c>
      <c r="Q35" s="17" t="e">
        <f>#REF!</f>
        <v>#REF!</v>
      </c>
      <c r="R35" s="17" t="e">
        <f>#REF!</f>
        <v>#REF!</v>
      </c>
      <c r="S35" s="17" t="e">
        <f>#REF!</f>
        <v>#REF!</v>
      </c>
      <c r="T35" s="17" t="e">
        <f>#REF!</f>
        <v>#REF!</v>
      </c>
      <c r="U35" s="17" t="e">
        <f>#REF!</f>
        <v>#REF!</v>
      </c>
      <c r="V35" s="17" t="e">
        <f>#REF!</f>
        <v>#REF!</v>
      </c>
      <c r="W35" s="18" t="e">
        <f>#REF!</f>
        <v>#REF!</v>
      </c>
      <c r="Z35" s="1" t="s">
        <v>21</v>
      </c>
      <c r="AA35" s="1" t="s">
        <v>14</v>
      </c>
      <c r="AB35" s="1" t="s">
        <v>15</v>
      </c>
      <c r="AC35" s="1" t="s">
        <v>16</v>
      </c>
      <c r="AD35" s="1" t="s">
        <v>17</v>
      </c>
      <c r="AE35" s="1" t="s">
        <v>18</v>
      </c>
      <c r="AF35" s="1" t="s">
        <v>19</v>
      </c>
      <c r="AG35" s="1" t="s">
        <v>22</v>
      </c>
      <c r="AH35" s="1" t="s">
        <v>23</v>
      </c>
      <c r="AI35" s="21" t="s">
        <v>22</v>
      </c>
      <c r="AJ35" s="1" t="s">
        <v>23</v>
      </c>
      <c r="AK35" s="21" t="s">
        <v>22</v>
      </c>
      <c r="AL35" s="1" t="s">
        <v>23</v>
      </c>
      <c r="AM35" s="21" t="s">
        <v>22</v>
      </c>
      <c r="AN35" s="21" t="s">
        <v>19</v>
      </c>
      <c r="AO35" s="1" t="s">
        <v>23</v>
      </c>
      <c r="AP35" s="1" t="s">
        <v>22</v>
      </c>
      <c r="AQ35" s="21" t="s">
        <v>19</v>
      </c>
      <c r="AR35" s="1" t="s">
        <v>23</v>
      </c>
      <c r="AS35" s="1" t="s">
        <v>22</v>
      </c>
      <c r="AT35" s="21" t="s">
        <v>19</v>
      </c>
      <c r="AU35" s="1" t="s">
        <v>23</v>
      </c>
      <c r="AV35" s="1" t="s">
        <v>22</v>
      </c>
      <c r="AW35" s="21" t="s">
        <v>19</v>
      </c>
      <c r="AX35" s="21" t="s">
        <v>17</v>
      </c>
      <c r="AY35" s="1" t="s">
        <v>23</v>
      </c>
      <c r="AZ35" s="1" t="s">
        <v>22</v>
      </c>
      <c r="BA35" s="21" t="s">
        <v>19</v>
      </c>
      <c r="BB35" s="21" t="s">
        <v>17</v>
      </c>
      <c r="BC35" s="1" t="s">
        <v>23</v>
      </c>
      <c r="BD35" s="1" t="s">
        <v>22</v>
      </c>
      <c r="BE35" s="21" t="s">
        <v>19</v>
      </c>
      <c r="BF35" s="21" t="s">
        <v>17</v>
      </c>
      <c r="BG35" s="1" t="s">
        <v>23</v>
      </c>
      <c r="BH35" s="21" t="s">
        <v>22</v>
      </c>
      <c r="BI35" s="21" t="s">
        <v>19</v>
      </c>
      <c r="BJ35" s="21" t="s">
        <v>17</v>
      </c>
      <c r="BO35" s="21" t="s">
        <v>13</v>
      </c>
      <c r="BP35" s="21" t="s">
        <v>14</v>
      </c>
      <c r="BQ35" s="21" t="s">
        <v>15</v>
      </c>
      <c r="BR35" s="21" t="s">
        <v>16</v>
      </c>
      <c r="BS35" s="21" t="s">
        <v>17</v>
      </c>
      <c r="BT35" s="21" t="s">
        <v>18</v>
      </c>
      <c r="BU35" s="21" t="s">
        <v>19</v>
      </c>
      <c r="BV35" s="21" t="s">
        <v>22</v>
      </c>
      <c r="BZ35" s="38"/>
      <c r="CB35" s="77" t="s">
        <v>128</v>
      </c>
      <c r="CC35" s="75" t="s">
        <v>116</v>
      </c>
      <c r="CD35" s="75" t="s">
        <v>111</v>
      </c>
      <c r="CE35" s="75" t="s">
        <v>114</v>
      </c>
      <c r="CF35" s="75" t="s">
        <v>118</v>
      </c>
    </row>
    <row r="36" spans="2:84" ht="13.5" thickBot="1" x14ac:dyDescent="0.25">
      <c r="B36" s="44">
        <v>42542</v>
      </c>
      <c r="C36" s="71">
        <v>0.79166666666666663</v>
      </c>
      <c r="D36" s="31">
        <v>30</v>
      </c>
      <c r="E36" s="33" t="s">
        <v>77</v>
      </c>
      <c r="F36" s="57"/>
      <c r="G36" s="57"/>
      <c r="H36" s="36" t="s">
        <v>53</v>
      </c>
      <c r="I36" s="36" t="e">
        <f t="shared" si="1"/>
        <v>#N/A</v>
      </c>
      <c r="J36" s="50" t="s">
        <v>79</v>
      </c>
      <c r="K36" s="20" t="e">
        <f t="shared" si="2"/>
        <v>#REF!</v>
      </c>
      <c r="L36" s="1" t="str">
        <f t="shared" si="75"/>
        <v/>
      </c>
      <c r="M36" s="1" t="str">
        <f t="shared" si="76"/>
        <v/>
      </c>
      <c r="O36" s="16" t="e">
        <f>#REF!</f>
        <v>#REF!</v>
      </c>
      <c r="P36" s="17" t="e">
        <f>#REF!</f>
        <v>#REF!</v>
      </c>
      <c r="Q36" s="17" t="e">
        <f>#REF!</f>
        <v>#REF!</v>
      </c>
      <c r="R36" s="17" t="e">
        <f>#REF!</f>
        <v>#REF!</v>
      </c>
      <c r="S36" s="17" t="e">
        <f>#REF!</f>
        <v>#REF!</v>
      </c>
      <c r="T36" s="17" t="e">
        <f>#REF!</f>
        <v>#REF!</v>
      </c>
      <c r="U36" s="17" t="e">
        <f>#REF!</f>
        <v>#REF!</v>
      </c>
      <c r="V36" s="17" t="e">
        <f>#REF!</f>
        <v>#REF!</v>
      </c>
      <c r="W36" s="18" t="e">
        <f>#REF!</f>
        <v>#REF!</v>
      </c>
      <c r="Y36" s="1" t="s">
        <v>55</v>
      </c>
      <c r="Z36" s="1">
        <f>COUNT(Бельгия_Played)</f>
        <v>0</v>
      </c>
      <c r="AA36" s="1">
        <f>COUNTIF(Groupstage_Winners,"Бельгия")</f>
        <v>0</v>
      </c>
      <c r="AB36" s="1">
        <f>COUNTIF(Groupstage_Losers,"Бельгия")</f>
        <v>0</v>
      </c>
      <c r="AC36" s="1">
        <f>Z36-(AA36+AB36)</f>
        <v>0</v>
      </c>
      <c r="AD36" s="1">
        <f>SUM(Бельгия_Played)</f>
        <v>0</v>
      </c>
      <c r="AE36" s="1">
        <f>SUM(Бельгия_Against)</f>
        <v>0</v>
      </c>
      <c r="AF36" s="1">
        <f>AD36-AE36</f>
        <v>0</v>
      </c>
      <c r="AG36" s="1" t="e">
        <f>AA36*Winpoints+AC36*Drawpoints</f>
        <v>#REF!</v>
      </c>
      <c r="AH36" s="1" t="e">
        <f>IF($AG36&gt;=$AG37,$Y36,$Y37)</f>
        <v>#REF!</v>
      </c>
      <c r="AI36" s="1" t="e">
        <f>VLOOKUP($AH36,$Y36:$AG39,9,FALSE)</f>
        <v>#REF!</v>
      </c>
      <c r="AJ36" s="1" t="e">
        <f>IF($AI36&gt;=$AI38,$AH36,$AH38)</f>
        <v>#REF!</v>
      </c>
      <c r="AK36" s="1" t="e">
        <f>VLOOKUP($AJ36,$Y36:$AG39,9,FALSE)</f>
        <v>#REF!</v>
      </c>
      <c r="AL36" s="1" t="e">
        <f>IF($AK36&gt;=$AK39,$AJ36,$AJ39)</f>
        <v>#REF!</v>
      </c>
      <c r="AM36" s="1" t="e">
        <f>VLOOKUP($AL36,$Y36:$AG39,9,FALSE)</f>
        <v>#REF!</v>
      </c>
      <c r="AN36" s="1" t="e">
        <f>VLOOKUP($AL36,$Y36:$AG39,8,FALSE)</f>
        <v>#REF!</v>
      </c>
      <c r="AO36" s="1" t="e">
        <f>IF(AND($AM36=$AM37,$AN37&gt;$AN36),$AL37,$AL36)</f>
        <v>#REF!</v>
      </c>
      <c r="AP36" s="1" t="e">
        <f>VLOOKUP($AO36,$Y36:$AG39,9,FALSE)</f>
        <v>#REF!</v>
      </c>
      <c r="AQ36" s="1" t="e">
        <f>VLOOKUP($AO36,$Y36:$AG39,8,FALSE)</f>
        <v>#REF!</v>
      </c>
      <c r="AR36" s="1" t="e">
        <f>IF(AND($AP36=$AP38,$AQ38&gt;$AQ36),$AO38,$AO36)</f>
        <v>#REF!</v>
      </c>
      <c r="AS36" s="1" t="e">
        <f>VLOOKUP($AR36,$Y36:$AG39,9,FALSE)</f>
        <v>#REF!</v>
      </c>
      <c r="AT36" s="1" t="e">
        <f>VLOOKUP($AR36,$Y36:$AG39,8,FALSE)</f>
        <v>#REF!</v>
      </c>
      <c r="AU36" s="1" t="e">
        <f>IF(AND($AS36=$AS39,$AT39&gt;$AT36),$AR39,$AR36)</f>
        <v>#REF!</v>
      </c>
      <c r="AV36" s="1" t="e">
        <f>VLOOKUP($AU36,$Y36:$AG39,9,FALSE)</f>
        <v>#REF!</v>
      </c>
      <c r="AW36" s="1" t="e">
        <f>VLOOKUP($AU36,$Y36:$AG39,8,FALSE)</f>
        <v>#REF!</v>
      </c>
      <c r="AX36" s="1" t="e">
        <f>VLOOKUP($AU36,$Y36:$AG39,6,FALSE)</f>
        <v>#REF!</v>
      </c>
      <c r="AY36" s="1" t="e">
        <f>IF(AND($AV36=$AV37,$AW36=$AW37,$AX37&gt;$AX36),$AU37,$AU36)</f>
        <v>#REF!</v>
      </c>
      <c r="AZ36" s="1" t="e">
        <f>VLOOKUP($AY36,$Y36:$AG39,9,FALSE)</f>
        <v>#REF!</v>
      </c>
      <c r="BA36" s="1" t="e">
        <f>VLOOKUP($AY36,$Y36:$AG39,8,FALSE)</f>
        <v>#REF!</v>
      </c>
      <c r="BB36" s="1" t="e">
        <f>VLOOKUP($AY36,$Y36:$AG39,6,FALSE)</f>
        <v>#REF!</v>
      </c>
      <c r="BC36" s="1" t="e">
        <f>IF(AND($AZ36=$AZ38,$BA36=$BA38,$BB38&gt;$BB36),$AY38,$AY36)</f>
        <v>#REF!</v>
      </c>
      <c r="BD36" s="1" t="e">
        <f>VLOOKUP($BC36,$Y36:$AG39,9,FALSE)</f>
        <v>#REF!</v>
      </c>
      <c r="BE36" s="1" t="e">
        <f>VLOOKUP($BC36,$Y36:$AG39,8,FALSE)</f>
        <v>#REF!</v>
      </c>
      <c r="BF36" s="1" t="e">
        <f>VLOOKUP($BC36,$Y36:$AG39,6,FALSE)</f>
        <v>#REF!</v>
      </c>
      <c r="BG36" s="1" t="e">
        <f>IF(AND($BD36=$BD39,$BE36=$BE39,$BF39&gt;$BF36),$BC39,$BC36)</f>
        <v>#REF!</v>
      </c>
      <c r="BH36" s="1" t="e">
        <f>VLOOKUP($BG36,$Y36:$AG39,9,FALSE)</f>
        <v>#REF!</v>
      </c>
      <c r="BI36" s="1" t="e">
        <f>VLOOKUP($BG36,$Y36:$AG39,8,FALSE)</f>
        <v>#REF!</v>
      </c>
      <c r="BJ36" s="1" t="e">
        <f>VLOOKUP($BG36,$Y36:$AG39,6,FALSE)</f>
        <v>#REF!</v>
      </c>
      <c r="BN36" s="1" t="e">
        <f>BG36</f>
        <v>#REF!</v>
      </c>
      <c r="BO36" s="1" t="e">
        <f>VLOOKUP($BN36,$Y36:$AG39,2,FALSE)</f>
        <v>#REF!</v>
      </c>
      <c r="BP36" s="1" t="e">
        <f>VLOOKUP($BN36,$Y36:$AG39,3,FALSE)</f>
        <v>#REF!</v>
      </c>
      <c r="BQ36" s="1" t="e">
        <f>VLOOKUP($BN36,$Y36:$AG39,4,FALSE)</f>
        <v>#REF!</v>
      </c>
      <c r="BR36" s="1" t="e">
        <f>VLOOKUP($BN36,$Y36:$AG39,5,FALSE)</f>
        <v>#REF!</v>
      </c>
      <c r="BS36" s="1" t="e">
        <f>VLOOKUP($BN36,$Y36:$AG39,6,FALSE)</f>
        <v>#REF!</v>
      </c>
      <c r="BT36" s="1" t="e">
        <f>VLOOKUP($BN36,$Y36:$AG39,7,FALSE)</f>
        <v>#REF!</v>
      </c>
      <c r="BU36" s="1" t="e">
        <f>VLOOKUP($BN36,$Y36:$AG39,8,FALSE)</f>
        <v>#REF!</v>
      </c>
      <c r="BV36" s="1" t="e">
        <f>VLOOKUP($BN36,$Y36:$AG39,9,FALSE)</f>
        <v>#REF!</v>
      </c>
      <c r="BZ36" s="38"/>
      <c r="CB36" s="77" t="s">
        <v>129</v>
      </c>
      <c r="CC36" s="75" t="s">
        <v>116</v>
      </c>
      <c r="CD36" s="75" t="s">
        <v>112</v>
      </c>
      <c r="CE36" s="75" t="s">
        <v>114</v>
      </c>
      <c r="CF36" s="75" t="s">
        <v>118</v>
      </c>
    </row>
    <row r="37" spans="2:84" ht="13.5" thickBot="1" x14ac:dyDescent="0.25">
      <c r="B37" s="44">
        <v>42542</v>
      </c>
      <c r="C37" s="71">
        <v>0.91666666666666663</v>
      </c>
      <c r="D37" s="31">
        <v>31</v>
      </c>
      <c r="E37" s="33" t="s">
        <v>63</v>
      </c>
      <c r="F37" s="57"/>
      <c r="G37" s="57"/>
      <c r="H37" s="36" t="s">
        <v>71</v>
      </c>
      <c r="I37" s="36" t="e">
        <f t="shared" si="1"/>
        <v>#N/A</v>
      </c>
      <c r="J37" s="50" t="s">
        <v>80</v>
      </c>
      <c r="K37" s="20" t="e">
        <f t="shared" si="2"/>
        <v>#REF!</v>
      </c>
      <c r="L37" s="1" t="str">
        <f t="shared" si="75"/>
        <v/>
      </c>
      <c r="M37" s="1" t="str">
        <f t="shared" si="76"/>
        <v/>
      </c>
      <c r="O37" s="22" t="e">
        <f>#REF!</f>
        <v>#REF!</v>
      </c>
      <c r="P37" s="23" t="e">
        <f>#REF!</f>
        <v>#REF!</v>
      </c>
      <c r="Q37" s="23" t="e">
        <f>#REF!</f>
        <v>#REF!</v>
      </c>
      <c r="R37" s="23" t="e">
        <f>#REF!</f>
        <v>#REF!</v>
      </c>
      <c r="S37" s="23" t="e">
        <f>#REF!</f>
        <v>#REF!</v>
      </c>
      <c r="T37" s="23" t="e">
        <f>#REF!</f>
        <v>#REF!</v>
      </c>
      <c r="U37" s="23" t="e">
        <f>#REF!</f>
        <v>#REF!</v>
      </c>
      <c r="V37" s="23" t="e">
        <f>#REF!</f>
        <v>#REF!</v>
      </c>
      <c r="W37" s="24" t="e">
        <f>#REF!</f>
        <v>#REF!</v>
      </c>
      <c r="Y37" s="1" t="s">
        <v>48</v>
      </c>
      <c r="Z37" s="1">
        <f>COUNT(Италия_Played)</f>
        <v>0</v>
      </c>
      <c r="AA37" s="1">
        <f>COUNTIF(Groupstage_Winners,"Италия")</f>
        <v>0</v>
      </c>
      <c r="AB37" s="1">
        <f>COUNTIF(Groupstage_Losers,"Италия")</f>
        <v>0</v>
      </c>
      <c r="AC37" s="1">
        <f>Z37-(AA37+AB37)</f>
        <v>0</v>
      </c>
      <c r="AD37" s="1">
        <f>SUM(Италия_Played)</f>
        <v>0</v>
      </c>
      <c r="AE37" s="1">
        <f>SUM(Италия_Against)</f>
        <v>0</v>
      </c>
      <c r="AF37" s="1">
        <f>AD37-AE37</f>
        <v>0</v>
      </c>
      <c r="AG37" s="1" t="e">
        <f>AA37*Winpoints+AC37*Drawpoints</f>
        <v>#REF!</v>
      </c>
      <c r="AH37" s="1" t="e">
        <f>IF($AG37&lt;=$AG36,$Y37,$Y36)</f>
        <v>#REF!</v>
      </c>
      <c r="AI37" s="1" t="e">
        <f>VLOOKUP($AH37,$Y36:$AG39,9,FALSE)</f>
        <v>#REF!</v>
      </c>
      <c r="AJ37" s="1" t="e">
        <f>IF(AI37&gt;=AI39,AH37,AH39)</f>
        <v>#REF!</v>
      </c>
      <c r="AK37" s="1" t="e">
        <f>VLOOKUP($AJ37,$Y36:$AG39,9,FALSE)</f>
        <v>#REF!</v>
      </c>
      <c r="AL37" s="1" t="e">
        <f>IF($AK37&gt;=$AK38,$AJ37,$AJ38)</f>
        <v>#REF!</v>
      </c>
      <c r="AM37" s="1" t="e">
        <f>VLOOKUP($AL37,$Y36:$AG39,9,FALSE)</f>
        <v>#REF!</v>
      </c>
      <c r="AN37" s="1" t="e">
        <f>VLOOKUP($AL37,$Y36:$AG39,8,FALSE)</f>
        <v>#REF!</v>
      </c>
      <c r="AO37" s="1" t="e">
        <f>IF(AND($AM36=$AM37,$AN37&gt;$AN36),$AL36,$AL37)</f>
        <v>#REF!</v>
      </c>
      <c r="AP37" s="1" t="e">
        <f>VLOOKUP($AO37,$Y36:$AG39,9,FALSE)</f>
        <v>#REF!</v>
      </c>
      <c r="AQ37" s="1" t="e">
        <f>VLOOKUP($AO37,$Y36:$AG39,8,FALSE)</f>
        <v>#REF!</v>
      </c>
      <c r="AR37" s="1" t="e">
        <f>IF(AND($AP37=$AP39,$AQ39&gt;$AQ37),$AO39,$AO37)</f>
        <v>#REF!</v>
      </c>
      <c r="AS37" s="1" t="e">
        <f>VLOOKUP($AR37,$Y36:$AG39,9,FALSE)</f>
        <v>#REF!</v>
      </c>
      <c r="AT37" s="1" t="e">
        <f>VLOOKUP($AR37,$Y36:$AG39,8,FALSE)</f>
        <v>#REF!</v>
      </c>
      <c r="AU37" s="1" t="e">
        <f>IF(AND($AS37=$AS38,$AT38&gt;$AT37),$AR38,$AR37)</f>
        <v>#REF!</v>
      </c>
      <c r="AV37" s="1" t="e">
        <f>VLOOKUP($AU37,$Y36:$AG39,9,FALSE)</f>
        <v>#REF!</v>
      </c>
      <c r="AW37" s="1" t="e">
        <f>VLOOKUP($AU37,$Y36:$AG39,8,FALSE)</f>
        <v>#REF!</v>
      </c>
      <c r="AX37" s="1" t="e">
        <f>VLOOKUP($AU37,$Y36:$AG39,6,FALSE)</f>
        <v>#REF!</v>
      </c>
      <c r="AY37" s="1" t="e">
        <f>IF(AND($AV36=$AV37,$AW36=$AW37,$AX37&gt;$AX36),$AU36,$AU37)</f>
        <v>#REF!</v>
      </c>
      <c r="AZ37" s="1" t="e">
        <f>VLOOKUP($AY37,$Y36:$AG39,9,FALSE)</f>
        <v>#REF!</v>
      </c>
      <c r="BA37" s="1" t="e">
        <f>VLOOKUP($AY37,$Y36:$AG39,8,FALSE)</f>
        <v>#REF!</v>
      </c>
      <c r="BB37" s="1" t="e">
        <f>VLOOKUP($AY37,$Y36:$AG39,6,FALSE)</f>
        <v>#REF!</v>
      </c>
      <c r="BC37" s="1" t="e">
        <f>IF(AND($AZ37=$AZ39,$BA37=$BA39,$BB39&gt;$BB37),$AY39,$AY37)</f>
        <v>#REF!</v>
      </c>
      <c r="BD37" s="1" t="e">
        <f>VLOOKUP($BC37,$Y36:$AG39,9,FALSE)</f>
        <v>#REF!</v>
      </c>
      <c r="BE37" s="1" t="e">
        <f>VLOOKUP($BC37,$Y36:$AG39,8,FALSE)</f>
        <v>#REF!</v>
      </c>
      <c r="BF37" s="1" t="e">
        <f>VLOOKUP($BC37,$Y36:$AG39,6,FALSE)</f>
        <v>#REF!</v>
      </c>
      <c r="BG37" s="1" t="e">
        <f>IF(AND($BD37=$BD38,$BE37=$BE38,$BF38&gt;$BF37),$BC38,$BC37)</f>
        <v>#REF!</v>
      </c>
      <c r="BH37" s="1" t="e">
        <f>VLOOKUP($BG37,$Y36:$AG39,9,FALSE)</f>
        <v>#REF!</v>
      </c>
      <c r="BI37" s="1" t="e">
        <f>VLOOKUP($BG37,$Y36:$AG39,8,FALSE)</f>
        <v>#REF!</v>
      </c>
      <c r="BJ37" s="1" t="e">
        <f>VLOOKUP($BG37,$Y36:$AG39,6,FALSE)</f>
        <v>#REF!</v>
      </c>
      <c r="BN37" s="1" t="e">
        <f>BG37</f>
        <v>#REF!</v>
      </c>
      <c r="BO37" s="1" t="e">
        <f>VLOOKUP($BN37,$Y36:$AG39,2,FALSE)</f>
        <v>#REF!</v>
      </c>
      <c r="BP37" s="1" t="e">
        <f>VLOOKUP($BN37,$Y36:$AG39,3,FALSE)</f>
        <v>#REF!</v>
      </c>
      <c r="BQ37" s="1" t="e">
        <f>VLOOKUP($BN37,$Y36:$AG39,4,FALSE)</f>
        <v>#REF!</v>
      </c>
      <c r="BR37" s="1" t="e">
        <f>VLOOKUP($BN37,$Y36:$AG39,5,FALSE)</f>
        <v>#REF!</v>
      </c>
      <c r="BS37" s="1" t="e">
        <f>VLOOKUP($BN37,$Y36:$AG39,6,FALSE)</f>
        <v>#REF!</v>
      </c>
      <c r="BT37" s="1" t="e">
        <f>VLOOKUP($BN37,$Y36:$AG39,7,FALSE)</f>
        <v>#REF!</v>
      </c>
      <c r="BU37" s="1" t="e">
        <f>VLOOKUP($BN37,$Y36:$AG39,8,FALSE)</f>
        <v>#REF!</v>
      </c>
      <c r="BV37" s="1" t="e">
        <f>VLOOKUP($BN37,$Y36:$AG39,9,FALSE)</f>
        <v>#REF!</v>
      </c>
      <c r="BZ37" s="38"/>
      <c r="CB37" s="77" t="s">
        <v>130</v>
      </c>
      <c r="CC37" s="75" t="s">
        <v>111</v>
      </c>
      <c r="CD37" s="75" t="s">
        <v>112</v>
      </c>
      <c r="CE37" s="75" t="s">
        <v>118</v>
      </c>
      <c r="CF37" s="75" t="s">
        <v>116</v>
      </c>
    </row>
    <row r="38" spans="2:84" ht="13.5" thickBot="1" x14ac:dyDescent="0.25">
      <c r="B38" s="44">
        <v>42542</v>
      </c>
      <c r="C38" s="71">
        <v>0.91666666666666663</v>
      </c>
      <c r="D38" s="31">
        <v>32</v>
      </c>
      <c r="E38" s="33" t="s">
        <v>49</v>
      </c>
      <c r="F38" s="57"/>
      <c r="G38" s="57"/>
      <c r="H38" s="36" t="s">
        <v>47</v>
      </c>
      <c r="I38" s="36" t="e">
        <f t="shared" si="1"/>
        <v>#N/A</v>
      </c>
      <c r="J38" s="50" t="s">
        <v>87</v>
      </c>
      <c r="K38" s="20" t="e">
        <f t="shared" si="2"/>
        <v>#REF!</v>
      </c>
      <c r="L38" s="1" t="str">
        <f t="shared" si="75"/>
        <v/>
      </c>
      <c r="M38" s="1" t="str">
        <f t="shared" si="76"/>
        <v/>
      </c>
      <c r="X38" s="1" t="s">
        <v>31</v>
      </c>
      <c r="Y38" s="1" t="s">
        <v>73</v>
      </c>
      <c r="Z38" s="1">
        <f>COUNT(Ирландия_Played)</f>
        <v>0</v>
      </c>
      <c r="AA38" s="1">
        <f>COUNTIF(Groupstage_Winners,"Ирландия")</f>
        <v>0</v>
      </c>
      <c r="AB38" s="1">
        <f>COUNTIF(Groupstage_Losers,"Ирландия")</f>
        <v>0</v>
      </c>
      <c r="AC38" s="1">
        <f>Z38-(AA38+AB38)</f>
        <v>0</v>
      </c>
      <c r="AD38" s="1">
        <f>SUM(Ирландия_Played)</f>
        <v>0</v>
      </c>
      <c r="AE38" s="1">
        <f>SUM(Ирландия_Against)</f>
        <v>0</v>
      </c>
      <c r="AF38" s="1">
        <f>AD38-AE38</f>
        <v>0</v>
      </c>
      <c r="AG38" s="1" t="e">
        <f>AA38*Winpoints+AC38*Drawpoints</f>
        <v>#REF!</v>
      </c>
      <c r="AH38" s="1" t="e">
        <f>IF($AG38&gt;=$AG39,$Y38,$Y39)</f>
        <v>#REF!</v>
      </c>
      <c r="AI38" s="1" t="e">
        <f>VLOOKUP($AH38,$Y36:$AG39,9,FALSE)</f>
        <v>#REF!</v>
      </c>
      <c r="AJ38" s="1" t="e">
        <f>IF($AI38&lt;=$AI36,$AH38,$AH36)</f>
        <v>#REF!</v>
      </c>
      <c r="AK38" s="1" t="e">
        <f>VLOOKUP($AJ38,$Y36:$AG39,9,FALSE)</f>
        <v>#REF!</v>
      </c>
      <c r="AL38" s="1" t="e">
        <f>IF($AK38&lt;=$AK37,$AJ38,$AJ37)</f>
        <v>#REF!</v>
      </c>
      <c r="AM38" s="1" t="e">
        <f>VLOOKUP($AL38,$Y36:$AG39,9,FALSE)</f>
        <v>#REF!</v>
      </c>
      <c r="AN38" s="1" t="e">
        <f>VLOOKUP($AL38,$Y36:$AG39,8,FALSE)</f>
        <v>#REF!</v>
      </c>
      <c r="AO38" s="1" t="e">
        <f>IF(AND($AM38=$AM39,$AN39&gt;$AN38),$AL39,$AL38)</f>
        <v>#REF!</v>
      </c>
      <c r="AP38" s="1" t="e">
        <f>VLOOKUP($AO38,$Y36:$AG39,9,FALSE)</f>
        <v>#REF!</v>
      </c>
      <c r="AQ38" s="1" t="e">
        <f>VLOOKUP($AO38,$Y36:$AG39,8,FALSE)</f>
        <v>#REF!</v>
      </c>
      <c r="AR38" s="1" t="e">
        <f>IF(AND($AP36=$AP38,$AQ38&gt;$AQ36),$AO36,$AO38)</f>
        <v>#REF!</v>
      </c>
      <c r="AS38" s="1" t="e">
        <f>VLOOKUP($AR38,$Y36:$AG39,9,FALSE)</f>
        <v>#REF!</v>
      </c>
      <c r="AT38" s="1" t="e">
        <f>VLOOKUP($AR38,$Y36:$AG39,8,FALSE)</f>
        <v>#REF!</v>
      </c>
      <c r="AU38" s="1" t="e">
        <f>IF(AND($AS37=$AS38,$AT38&gt;$AT37),$AR37,$AR38)</f>
        <v>#REF!</v>
      </c>
      <c r="AV38" s="1" t="e">
        <f>VLOOKUP($AU38,$Y36:$AG39,9,FALSE)</f>
        <v>#REF!</v>
      </c>
      <c r="AW38" s="1" t="e">
        <f>VLOOKUP($AU38,$Y36:$AG39,8,FALSE)</f>
        <v>#REF!</v>
      </c>
      <c r="AX38" s="1" t="e">
        <f>VLOOKUP($AU38,$Y36:$AG39,6,FALSE)</f>
        <v>#REF!</v>
      </c>
      <c r="AY38" s="1" t="e">
        <f>IF(AND($AV38=$AV39,$AW38=$AW39,$AX39&gt;$AX38),$AU39,$AU38)</f>
        <v>#REF!</v>
      </c>
      <c r="AZ38" s="1" t="e">
        <f>VLOOKUP($AY38,$Y36:$AG39,9,FALSE)</f>
        <v>#REF!</v>
      </c>
      <c r="BA38" s="1" t="e">
        <f>VLOOKUP($AY38,$Y36:$AG39,8,FALSE)</f>
        <v>#REF!</v>
      </c>
      <c r="BB38" s="1" t="e">
        <f>VLOOKUP($AY38,$Y36:$AG39,6,FALSE)</f>
        <v>#REF!</v>
      </c>
      <c r="BC38" s="1" t="e">
        <f>IF(AND($AZ36=$AZ38,$BA36=$BA38,$BB38&gt;$BB36),$AY36,$AY38)</f>
        <v>#REF!</v>
      </c>
      <c r="BD38" s="1" t="e">
        <f>VLOOKUP($BC38,$Y36:$AG39,9,FALSE)</f>
        <v>#REF!</v>
      </c>
      <c r="BE38" s="1" t="e">
        <f>VLOOKUP($BC38,$Y36:$AG39,8,FALSE)</f>
        <v>#REF!</v>
      </c>
      <c r="BF38" s="1" t="e">
        <f>VLOOKUP($BC38,$Y36:$AG39,6,FALSE)</f>
        <v>#REF!</v>
      </c>
      <c r="BG38" s="1" t="e">
        <f>IF(AND($BD37=$BD38,$BE37=$BE38,$BF38&gt;$BF37),$BC37,$BC38)</f>
        <v>#REF!</v>
      </c>
      <c r="BH38" s="1" t="e">
        <f>VLOOKUP($BG38,$Y36:$AG39,9,FALSE)</f>
        <v>#REF!</v>
      </c>
      <c r="BI38" s="1" t="e">
        <f>VLOOKUP($BG38,$Y36:$AG39,8,FALSE)</f>
        <v>#REF!</v>
      </c>
      <c r="BJ38" s="1" t="e">
        <f>VLOOKUP($BG38,$Y36:$AG39,6,FALSE)</f>
        <v>#REF!</v>
      </c>
      <c r="BN38" s="1" t="e">
        <f>BG38</f>
        <v>#REF!</v>
      </c>
      <c r="BO38" s="1" t="e">
        <f>VLOOKUP($BN38,$Y36:$AG39,2,FALSE)</f>
        <v>#REF!</v>
      </c>
      <c r="BP38" s="1" t="e">
        <f>VLOOKUP($BN38,$Y36:$AG39,3,FALSE)</f>
        <v>#REF!</v>
      </c>
      <c r="BQ38" s="1" t="e">
        <f>VLOOKUP($BN38,$Y36:$AG39,4,FALSE)</f>
        <v>#REF!</v>
      </c>
      <c r="BR38" s="1" t="e">
        <f>VLOOKUP($BN38,$Y36:$AG39,5,FALSE)</f>
        <v>#REF!</v>
      </c>
      <c r="BS38" s="1" t="e">
        <f>VLOOKUP($BN38,$Y36:$AG39,6,FALSE)</f>
        <v>#REF!</v>
      </c>
      <c r="BT38" s="1" t="e">
        <f>VLOOKUP($BN38,$Y36:$AG39,7,FALSE)</f>
        <v>#REF!</v>
      </c>
      <c r="BU38" s="1" t="e">
        <f>VLOOKUP($BN38,$Y36:$AG39,8,FALSE)</f>
        <v>#REF!</v>
      </c>
      <c r="BV38" s="1" t="e">
        <f>VLOOKUP($BN38,$Y36:$AG39,9,FALSE)</f>
        <v>#REF!</v>
      </c>
      <c r="BZ38" s="39"/>
    </row>
    <row r="39" spans="2:84" ht="15.75" thickBot="1" x14ac:dyDescent="0.25">
      <c r="B39" s="44">
        <v>42543</v>
      </c>
      <c r="C39" s="71">
        <v>0.79166666666666663</v>
      </c>
      <c r="D39" s="31">
        <v>33</v>
      </c>
      <c r="E39" s="33" t="s">
        <v>64</v>
      </c>
      <c r="F39" s="57"/>
      <c r="G39" s="57"/>
      <c r="H39" s="36" t="s">
        <v>65</v>
      </c>
      <c r="I39" s="36" t="e">
        <f t="shared" si="1"/>
        <v>#N/A</v>
      </c>
      <c r="J39" s="50" t="s">
        <v>84</v>
      </c>
      <c r="K39" s="20" t="e">
        <f t="shared" si="2"/>
        <v>#REF!</v>
      </c>
      <c r="L39" s="1" t="str">
        <f t="shared" si="75"/>
        <v/>
      </c>
      <c r="M39" s="1" t="str">
        <f t="shared" si="76"/>
        <v/>
      </c>
      <c r="O39" s="54" t="s">
        <v>40</v>
      </c>
      <c r="P39" s="55"/>
      <c r="Q39" s="55"/>
      <c r="R39" s="55"/>
      <c r="S39" s="55"/>
      <c r="T39" s="55"/>
      <c r="U39" s="55"/>
      <c r="V39" s="55"/>
      <c r="W39" s="56"/>
      <c r="Y39" s="1" t="s">
        <v>74</v>
      </c>
      <c r="Z39" s="1">
        <f>COUNT(Швеция_Played)</f>
        <v>0</v>
      </c>
      <c r="AA39" s="1">
        <f>COUNTIF(Groupstage_Winners,"Швеция")</f>
        <v>0</v>
      </c>
      <c r="AB39" s="1">
        <f>COUNTIF(Groupstage_Losers,"Швеция")</f>
        <v>0</v>
      </c>
      <c r="AC39" s="1">
        <f>Z39-(AA39+AB39)</f>
        <v>0</v>
      </c>
      <c r="AD39" s="1">
        <f>SUM(Швеция_Played)</f>
        <v>0</v>
      </c>
      <c r="AE39" s="1">
        <f>SUM(Швеция_Against)</f>
        <v>0</v>
      </c>
      <c r="AF39" s="1">
        <f>AD39-AE39</f>
        <v>0</v>
      </c>
      <c r="AG39" s="1" t="e">
        <f>AA39*Winpoints+AC39*Drawpoints</f>
        <v>#REF!</v>
      </c>
      <c r="AH39" s="1" t="e">
        <f>IF($AG39&lt;=$AG38,$Y39,$Y38)</f>
        <v>#REF!</v>
      </c>
      <c r="AI39" s="1" t="e">
        <f>VLOOKUP($AH39,$Y36:$AG39,9,FALSE)</f>
        <v>#REF!</v>
      </c>
      <c r="AJ39" s="1" t="e">
        <f>IF(AI39&lt;=AI37,AH39,AH37)</f>
        <v>#REF!</v>
      </c>
      <c r="AK39" s="1" t="e">
        <f>VLOOKUP($AJ39,$Y36:$AG39,9,FALSE)</f>
        <v>#REF!</v>
      </c>
      <c r="AL39" s="1" t="e">
        <f>IF($AK39&lt;=$AK36,$AJ39,$AJ36)</f>
        <v>#REF!</v>
      </c>
      <c r="AM39" s="1" t="e">
        <f>VLOOKUP($AL39,$Y36:$AG39,9,FALSE)</f>
        <v>#REF!</v>
      </c>
      <c r="AN39" s="1" t="e">
        <f>VLOOKUP($AL39,$Y36:$AG39,8,FALSE)</f>
        <v>#REF!</v>
      </c>
      <c r="AO39" s="1" t="e">
        <f>IF(AND($AM38=$AM39,$AN39&gt;$AN38),$AL38,$AL39)</f>
        <v>#REF!</v>
      </c>
      <c r="AP39" s="1" t="e">
        <f>VLOOKUP($AO39,$Y36:$AG39,9,FALSE)</f>
        <v>#REF!</v>
      </c>
      <c r="AQ39" s="1" t="e">
        <f>VLOOKUP($AO39,$Y36:$AG39,8,FALSE)</f>
        <v>#REF!</v>
      </c>
      <c r="AR39" s="1" t="e">
        <f>IF(AND($AP37=$AP39,$AQ39&gt;$AQ37),$AO37,$AO39)</f>
        <v>#REF!</v>
      </c>
      <c r="AS39" s="1" t="e">
        <f>VLOOKUP($AR39,$Y36:$AG39,9,FALSE)</f>
        <v>#REF!</v>
      </c>
      <c r="AT39" s="1" t="e">
        <f>VLOOKUP($AR39,$Y36:$AG39,8,FALSE)</f>
        <v>#REF!</v>
      </c>
      <c r="AU39" s="1" t="e">
        <f>IF(AND($AS36=$AS39,$AT39&gt;$AT36),$AR36,$AR39)</f>
        <v>#REF!</v>
      </c>
      <c r="AV39" s="1" t="e">
        <f>VLOOKUP($AU39,$Y36:$AG39,9,FALSE)</f>
        <v>#REF!</v>
      </c>
      <c r="AW39" s="1" t="e">
        <f>VLOOKUP($AU39,$Y36:$AG39,8,FALSE)</f>
        <v>#REF!</v>
      </c>
      <c r="AX39" s="1" t="e">
        <f>VLOOKUP($AU39,$Y36:$AG39,6,FALSE)</f>
        <v>#REF!</v>
      </c>
      <c r="AY39" s="1" t="e">
        <f>IF(AND($AV38=$AV39,$AW38=$AW39,$AX39&gt;$AX38),$AU38,$AU39)</f>
        <v>#REF!</v>
      </c>
      <c r="AZ39" s="1" t="e">
        <f>VLOOKUP($AY39,$Y36:$AG39,9,FALSE)</f>
        <v>#REF!</v>
      </c>
      <c r="BA39" s="1" t="e">
        <f>VLOOKUP($AY39,$Y36:$AG39,8,FALSE)</f>
        <v>#REF!</v>
      </c>
      <c r="BB39" s="1" t="e">
        <f>VLOOKUP($AY39,$Y36:$AG39,6,FALSE)</f>
        <v>#REF!</v>
      </c>
      <c r="BC39" s="1" t="e">
        <f>IF(AND($AZ37=$AZ39,$BA37=$BA39,$BB39&gt;$BB37),$AY37,$AY39)</f>
        <v>#REF!</v>
      </c>
      <c r="BD39" s="1" t="e">
        <f>VLOOKUP($BC39,$Y36:$AG39,9,FALSE)</f>
        <v>#REF!</v>
      </c>
      <c r="BE39" s="1" t="e">
        <f>VLOOKUP($BC39,$Y36:$AG39,8,FALSE)</f>
        <v>#REF!</v>
      </c>
      <c r="BF39" s="1" t="e">
        <f>VLOOKUP($BC39,$Y36:$AG39,6,FALSE)</f>
        <v>#REF!</v>
      </c>
      <c r="BG39" s="1" t="e">
        <f>IF(AND($BD36=$BD39,$BE36=$BE39,$BF39&gt;$BF36),$BC36,$BC39)</f>
        <v>#REF!</v>
      </c>
      <c r="BH39" s="1" t="e">
        <f>VLOOKUP($BG39,$Y36:$AG39,9,FALSE)</f>
        <v>#REF!</v>
      </c>
      <c r="BI39" s="1" t="e">
        <f>VLOOKUP($BG39,$Y36:$AG39,8,FALSE)</f>
        <v>#REF!</v>
      </c>
      <c r="BJ39" s="1" t="e">
        <f>VLOOKUP($BG39,$Y36:$AG39,6,FALSE)</f>
        <v>#REF!</v>
      </c>
      <c r="BN39" s="1" t="e">
        <f>BG39</f>
        <v>#REF!</v>
      </c>
      <c r="BO39" s="1" t="e">
        <f>VLOOKUP($BN39,$Y36:$AG39,2,FALSE)</f>
        <v>#REF!</v>
      </c>
      <c r="BP39" s="1" t="e">
        <f>VLOOKUP($BN39,$Y36:$AG39,3,FALSE)</f>
        <v>#REF!</v>
      </c>
      <c r="BQ39" s="1" t="e">
        <f>VLOOKUP($BN39,$Y36:$AG39,4,FALSE)</f>
        <v>#REF!</v>
      </c>
      <c r="BR39" s="1" t="e">
        <f>VLOOKUP($BN39,$Y36:$AG39,5,FALSE)</f>
        <v>#REF!</v>
      </c>
      <c r="BS39" s="1" t="e">
        <f>VLOOKUP($BN39,$Y36:$AG39,6,FALSE)</f>
        <v>#REF!</v>
      </c>
      <c r="BT39" s="1" t="e">
        <f>VLOOKUP($BN39,$Y36:$AG39,7,FALSE)</f>
        <v>#REF!</v>
      </c>
      <c r="BU39" s="1" t="e">
        <f>VLOOKUP($BN39,$Y36:$AG39,8,FALSE)</f>
        <v>#REF!</v>
      </c>
      <c r="BV39" s="1" t="e">
        <f>VLOOKUP($BN39,$Y36:$AG39,9,FALSE)</f>
        <v>#REF!</v>
      </c>
      <c r="BZ39" s="19"/>
    </row>
    <row r="40" spans="2:84" ht="13.5" thickBot="1" x14ac:dyDescent="0.25">
      <c r="B40" s="44">
        <v>42543</v>
      </c>
      <c r="C40" s="71">
        <v>0.79166666666666663</v>
      </c>
      <c r="D40" s="31">
        <v>34</v>
      </c>
      <c r="E40" s="33" t="s">
        <v>72</v>
      </c>
      <c r="F40" s="57"/>
      <c r="G40" s="57"/>
      <c r="H40" s="36" t="s">
        <v>54</v>
      </c>
      <c r="I40" s="36" t="e">
        <f t="shared" si="1"/>
        <v>#N/A</v>
      </c>
      <c r="J40" s="50" t="s">
        <v>81</v>
      </c>
      <c r="K40" s="20" t="e">
        <f t="shared" si="2"/>
        <v>#REF!</v>
      </c>
      <c r="L40" s="1" t="str">
        <f t="shared" si="75"/>
        <v/>
      </c>
      <c r="M40" s="1" t="str">
        <f t="shared" si="76"/>
        <v/>
      </c>
      <c r="O40" s="9"/>
      <c r="P40" s="10" t="s">
        <v>13</v>
      </c>
      <c r="Q40" s="10" t="s">
        <v>14</v>
      </c>
      <c r="R40" s="10" t="s">
        <v>15</v>
      </c>
      <c r="S40" s="10" t="s">
        <v>16</v>
      </c>
      <c r="T40" s="10" t="s">
        <v>17</v>
      </c>
      <c r="U40" s="10" t="s">
        <v>18</v>
      </c>
      <c r="V40" s="10" t="s">
        <v>19</v>
      </c>
      <c r="W40" s="11" t="s">
        <v>20</v>
      </c>
      <c r="BZ40" s="19"/>
    </row>
    <row r="41" spans="2:84" ht="13.5" thickBot="1" x14ac:dyDescent="0.25">
      <c r="B41" s="44">
        <v>42543</v>
      </c>
      <c r="C41" s="71">
        <v>0.91666666666666663</v>
      </c>
      <c r="D41" s="31">
        <v>35</v>
      </c>
      <c r="E41" s="33" t="s">
        <v>48</v>
      </c>
      <c r="F41" s="57"/>
      <c r="G41" s="57"/>
      <c r="H41" s="36" t="s">
        <v>73</v>
      </c>
      <c r="I41" s="36" t="e">
        <f t="shared" si="1"/>
        <v>#N/A</v>
      </c>
      <c r="J41" s="50" t="s">
        <v>82</v>
      </c>
      <c r="K41" s="20" t="e">
        <f t="shared" si="2"/>
        <v>#REF!</v>
      </c>
      <c r="L41" s="1" t="str">
        <f t="shared" si="75"/>
        <v/>
      </c>
      <c r="M41" s="1" t="str">
        <f t="shared" si="76"/>
        <v/>
      </c>
      <c r="O41" s="16" t="e">
        <f>#REF!</f>
        <v>#REF!</v>
      </c>
      <c r="P41" s="17" t="e">
        <f>#REF!</f>
        <v>#REF!</v>
      </c>
      <c r="Q41" s="17" t="e">
        <f>#REF!</f>
        <v>#REF!</v>
      </c>
      <c r="R41" s="17" t="e">
        <f>#REF!</f>
        <v>#REF!</v>
      </c>
      <c r="S41" s="17" t="e">
        <f>#REF!</f>
        <v>#REF!</v>
      </c>
      <c r="T41" s="17" t="e">
        <f>#REF!</f>
        <v>#REF!</v>
      </c>
      <c r="U41" s="17" t="e">
        <f>#REF!</f>
        <v>#REF!</v>
      </c>
      <c r="V41" s="17" t="e">
        <f>#REF!</f>
        <v>#REF!</v>
      </c>
      <c r="W41" s="18" t="e">
        <f>#REF!</f>
        <v>#REF!</v>
      </c>
      <c r="Y41" s="1" t="s">
        <v>32</v>
      </c>
      <c r="BZ41" s="19"/>
    </row>
    <row r="42" spans="2:84" ht="13.5" thickBot="1" x14ac:dyDescent="0.25">
      <c r="B42" s="44">
        <v>42543</v>
      </c>
      <c r="C42" s="71">
        <v>0.91666666666666663</v>
      </c>
      <c r="D42" s="31">
        <v>36</v>
      </c>
      <c r="E42" s="33" t="s">
        <v>74</v>
      </c>
      <c r="F42" s="57"/>
      <c r="G42" s="57"/>
      <c r="H42" s="36" t="s">
        <v>55</v>
      </c>
      <c r="I42" s="36" t="e">
        <f t="shared" si="1"/>
        <v>#N/A</v>
      </c>
      <c r="J42" s="50" t="s">
        <v>85</v>
      </c>
      <c r="K42" s="20" t="e">
        <f t="shared" si="2"/>
        <v>#REF!</v>
      </c>
      <c r="L42" s="1" t="str">
        <f t="shared" si="75"/>
        <v/>
      </c>
      <c r="M42" s="1" t="str">
        <f t="shared" si="76"/>
        <v/>
      </c>
      <c r="O42" s="16" t="e">
        <f>#REF!</f>
        <v>#REF!</v>
      </c>
      <c r="P42" s="17" t="e">
        <f>#REF!</f>
        <v>#REF!</v>
      </c>
      <c r="Q42" s="17" t="e">
        <f>#REF!</f>
        <v>#REF!</v>
      </c>
      <c r="R42" s="17" t="e">
        <f>#REF!</f>
        <v>#REF!</v>
      </c>
      <c r="S42" s="17" t="e">
        <f>#REF!</f>
        <v>#REF!</v>
      </c>
      <c r="T42" s="17" t="e">
        <f>#REF!</f>
        <v>#REF!</v>
      </c>
      <c r="U42" s="17" t="e">
        <f>#REF!</f>
        <v>#REF!</v>
      </c>
      <c r="V42" s="17" t="e">
        <f>#REF!</f>
        <v>#REF!</v>
      </c>
      <c r="W42" s="18" t="e">
        <f>#REF!</f>
        <v>#REF!</v>
      </c>
      <c r="Z42" s="1" t="s">
        <v>21</v>
      </c>
      <c r="AA42" s="1" t="s">
        <v>14</v>
      </c>
      <c r="AB42" s="1" t="s">
        <v>15</v>
      </c>
      <c r="AC42" s="1" t="s">
        <v>16</v>
      </c>
      <c r="AD42" s="1" t="s">
        <v>17</v>
      </c>
      <c r="AE42" s="1" t="s">
        <v>18</v>
      </c>
      <c r="AF42" s="1" t="s">
        <v>19</v>
      </c>
      <c r="AG42" s="1" t="s">
        <v>22</v>
      </c>
      <c r="BZ42" s="19"/>
    </row>
    <row r="43" spans="2:84" x14ac:dyDescent="0.2">
      <c r="E43" s="25"/>
      <c r="F43" s="26"/>
      <c r="G43" s="27"/>
      <c r="O43" s="16" t="e">
        <f>#REF!</f>
        <v>#REF!</v>
      </c>
      <c r="P43" s="17" t="e">
        <f>#REF!</f>
        <v>#REF!</v>
      </c>
      <c r="Q43" s="17" t="e">
        <f>#REF!</f>
        <v>#REF!</v>
      </c>
      <c r="R43" s="17" t="e">
        <f>#REF!</f>
        <v>#REF!</v>
      </c>
      <c r="S43" s="17" t="e">
        <f>#REF!</f>
        <v>#REF!</v>
      </c>
      <c r="T43" s="17" t="e">
        <f>#REF!</f>
        <v>#REF!</v>
      </c>
      <c r="U43" s="17" t="e">
        <f>#REF!</f>
        <v>#REF!</v>
      </c>
      <c r="V43" s="17" t="e">
        <f>#REF!</f>
        <v>#REF!</v>
      </c>
      <c r="W43" s="18" t="e">
        <f>#REF!</f>
        <v>#REF!</v>
      </c>
      <c r="Y43" s="1" t="s">
        <v>54</v>
      </c>
      <c r="Z43" s="1">
        <f>COUNT(Португалия_Played)</f>
        <v>0</v>
      </c>
      <c r="AA43" s="1">
        <f>COUNTIF(Groupstage_Winners,"Португалия")</f>
        <v>0</v>
      </c>
      <c r="AB43" s="1">
        <f>COUNTIF(Groupstage_Losers,"Португалия")</f>
        <v>0</v>
      </c>
      <c r="AC43" s="1">
        <f>Z43-(AA43+AB43)</f>
        <v>0</v>
      </c>
      <c r="AD43" s="1">
        <f>SUM(Португалия_Played)</f>
        <v>0</v>
      </c>
      <c r="AE43" s="1">
        <f>SUM(Португалия_Against)</f>
        <v>0</v>
      </c>
      <c r="AF43" s="1">
        <f>AD43-AE43</f>
        <v>0</v>
      </c>
      <c r="AG43" s="1" t="e">
        <f>AA43*Winpoints+AC43*Drawpoints</f>
        <v>#REF!</v>
      </c>
      <c r="AH43" s="1" t="e">
        <f>IF($AG43&gt;=$AG44,$Y43,$Y44)</f>
        <v>#REF!</v>
      </c>
      <c r="AI43" s="1" t="e">
        <f>VLOOKUP($AH43,$Y43:$AG46,9,FALSE)</f>
        <v>#REF!</v>
      </c>
      <c r="AJ43" s="1" t="e">
        <f>IF($AI43&gt;=$AI45,$AH43,$AH45)</f>
        <v>#REF!</v>
      </c>
      <c r="AK43" s="1" t="e">
        <f>VLOOKUP($AJ43,$Y43:$AG46,9,FALSE)</f>
        <v>#REF!</v>
      </c>
      <c r="AL43" s="1" t="e">
        <f>IF($AK43&gt;=$AK46,$AJ43,$AJ46)</f>
        <v>#REF!</v>
      </c>
      <c r="AM43" s="1" t="e">
        <f>VLOOKUP($AL43,$Y43:$AG46,9,FALSE)</f>
        <v>#REF!</v>
      </c>
      <c r="AN43" s="1" t="e">
        <f>VLOOKUP($AL43,$Y43:$AG46,8,FALSE)</f>
        <v>#REF!</v>
      </c>
      <c r="AO43" s="1" t="e">
        <f>IF(AND($AM43=$AM44,$AN44&gt;$AN43),$AL44,$AL43)</f>
        <v>#REF!</v>
      </c>
      <c r="AP43" s="1" t="e">
        <f>VLOOKUP($AO43,$Y43:$AG46,9,FALSE)</f>
        <v>#REF!</v>
      </c>
      <c r="AQ43" s="1" t="e">
        <f>VLOOKUP($AO43,$Y43:$AG46,8,FALSE)</f>
        <v>#REF!</v>
      </c>
      <c r="AR43" s="1" t="e">
        <f>IF(AND($AP43=$AP45,$AQ45&gt;$AQ43),$AO45,$AO43)</f>
        <v>#REF!</v>
      </c>
      <c r="AS43" s="1" t="e">
        <f>VLOOKUP($AR43,$Y43:$AG46,9,FALSE)</f>
        <v>#REF!</v>
      </c>
      <c r="AT43" s="1" t="e">
        <f>VLOOKUP($AR43,$Y43:$AG46,8,FALSE)</f>
        <v>#REF!</v>
      </c>
      <c r="AU43" s="1" t="e">
        <f>IF(AND($AS43=$AS46,$AT46&gt;$AT43),$AR46,$AR43)</f>
        <v>#REF!</v>
      </c>
      <c r="AV43" s="1" t="e">
        <f>VLOOKUP($AU43,$Y43:$AG46,9,FALSE)</f>
        <v>#REF!</v>
      </c>
      <c r="AW43" s="1" t="e">
        <f>VLOOKUP($AU43,$Y43:$AG46,8,FALSE)</f>
        <v>#REF!</v>
      </c>
      <c r="AX43" s="1" t="e">
        <f>VLOOKUP($AU43,$Y43:$AG46,6,FALSE)</f>
        <v>#REF!</v>
      </c>
      <c r="AY43" s="1" t="e">
        <f>IF(AND($AV43=$AV44,$AW43=$AW44,$AX44&gt;$AX43),$AU44,$AU43)</f>
        <v>#REF!</v>
      </c>
      <c r="AZ43" s="1" t="e">
        <f>VLOOKUP($AY43,$Y43:$AG46,9,FALSE)</f>
        <v>#REF!</v>
      </c>
      <c r="BA43" s="1" t="e">
        <f>VLOOKUP($AY43,$Y43:$AG46,8,FALSE)</f>
        <v>#REF!</v>
      </c>
      <c r="BB43" s="1" t="e">
        <f>VLOOKUP($AY43,$Y43:$AG46,6,FALSE)</f>
        <v>#REF!</v>
      </c>
      <c r="BC43" s="1" t="e">
        <f>IF(AND($AZ43=$AZ45,$BA43=$BA45,$BB45&gt;$BB43),$AY45,$AY43)</f>
        <v>#REF!</v>
      </c>
      <c r="BD43" s="1" t="e">
        <f>VLOOKUP($BC43,$Y43:$AG46,9,FALSE)</f>
        <v>#REF!</v>
      </c>
      <c r="BE43" s="1" t="e">
        <f>VLOOKUP($BC43,$Y43:$AG46,8,FALSE)</f>
        <v>#REF!</v>
      </c>
      <c r="BF43" s="1" t="e">
        <f>VLOOKUP($BC43,$Y43:$AG46,6,FALSE)</f>
        <v>#REF!</v>
      </c>
      <c r="BG43" s="1" t="e">
        <f>IF(AND($BD43=$BD46,$BE43=$BE46,$BF46&gt;$BF43),$BC46,$BC43)</f>
        <v>#REF!</v>
      </c>
      <c r="BH43" s="1" t="e">
        <f>VLOOKUP($BG43,$Y43:$AG46,9,FALSE)</f>
        <v>#REF!</v>
      </c>
      <c r="BI43" s="1" t="e">
        <f>VLOOKUP($BG43,$Y43:$AG46,8,FALSE)</f>
        <v>#REF!</v>
      </c>
      <c r="BJ43" s="1" t="e">
        <f>VLOOKUP($BG43,$Y43:$AG46,6,FALSE)</f>
        <v>#REF!</v>
      </c>
      <c r="BN43" s="1" t="e">
        <f>BG43</f>
        <v>#REF!</v>
      </c>
      <c r="BO43" s="1" t="e">
        <f>VLOOKUP($BN43,$Y43:$AG46,2,FALSE)</f>
        <v>#REF!</v>
      </c>
      <c r="BP43" s="1" t="e">
        <f>VLOOKUP($BN43,$Y43:$AG46,3,FALSE)</f>
        <v>#REF!</v>
      </c>
      <c r="BQ43" s="1" t="e">
        <f>VLOOKUP($BN43,$Y43:$AG46,4,FALSE)</f>
        <v>#REF!</v>
      </c>
      <c r="BR43" s="1" t="e">
        <f>VLOOKUP($BN43,$Y43:$AG46,5,FALSE)</f>
        <v>#REF!</v>
      </c>
      <c r="BS43" s="1" t="e">
        <f>VLOOKUP($BN43,$Y43:$AG46,6,FALSE)</f>
        <v>#REF!</v>
      </c>
      <c r="BT43" s="1" t="e">
        <f>VLOOKUP($BN43,$Y43:$AG46,7,FALSE)</f>
        <v>#REF!</v>
      </c>
      <c r="BU43" s="1" t="e">
        <f>VLOOKUP($BN43,$Y43:$AG46,8,FALSE)</f>
        <v>#REF!</v>
      </c>
      <c r="BV43" s="1" t="e">
        <f>VLOOKUP($BN43,$Y43:$AG46,9,FALSE)</f>
        <v>#REF!</v>
      </c>
      <c r="BZ43" s="19"/>
    </row>
    <row r="44" spans="2:84" x14ac:dyDescent="0.2">
      <c r="F44" s="26"/>
      <c r="G44" s="27"/>
      <c r="O44" s="22" t="e">
        <f>#REF!</f>
        <v>#REF!</v>
      </c>
      <c r="P44" s="23" t="e">
        <f>#REF!</f>
        <v>#REF!</v>
      </c>
      <c r="Q44" s="23" t="e">
        <f>#REF!</f>
        <v>#REF!</v>
      </c>
      <c r="R44" s="23" t="e">
        <f>#REF!</f>
        <v>#REF!</v>
      </c>
      <c r="S44" s="23" t="e">
        <f>#REF!</f>
        <v>#REF!</v>
      </c>
      <c r="T44" s="23" t="e">
        <f>#REF!</f>
        <v>#REF!</v>
      </c>
      <c r="U44" s="23" t="e">
        <f>#REF!</f>
        <v>#REF!</v>
      </c>
      <c r="V44" s="23" t="e">
        <f>#REF!</f>
        <v>#REF!</v>
      </c>
      <c r="W44" s="24" t="e">
        <f>#REF!</f>
        <v>#REF!</v>
      </c>
      <c r="Y44" s="1" t="s">
        <v>64</v>
      </c>
      <c r="Z44" s="1">
        <f>COUNT(Исландия_Played)</f>
        <v>0</v>
      </c>
      <c r="AA44" s="1">
        <f>COUNTIF(Groupstage_Winners,"Исландия")</f>
        <v>0</v>
      </c>
      <c r="AB44" s="1">
        <f>COUNTIF(Groupstage_Losers,"Исландия")</f>
        <v>0</v>
      </c>
      <c r="AC44" s="1">
        <f>Z44-(AA44+AB44)</f>
        <v>0</v>
      </c>
      <c r="AD44" s="1">
        <f>SUM(Исландия_Played)</f>
        <v>0</v>
      </c>
      <c r="AE44" s="1">
        <f>SUM(Исландия_Against)</f>
        <v>0</v>
      </c>
      <c r="AF44" s="1">
        <f>AD44-AE44</f>
        <v>0</v>
      </c>
      <c r="AG44" s="1" t="e">
        <f>AA44*Winpoints+AC44*Drawpoints</f>
        <v>#REF!</v>
      </c>
      <c r="AH44" s="1" t="e">
        <f>IF($AG44&lt;=$AG43,$Y44,$Y43)</f>
        <v>#REF!</v>
      </c>
      <c r="AI44" s="1" t="e">
        <f>VLOOKUP($AH44,$Y43:$AG46,9,FALSE)</f>
        <v>#REF!</v>
      </c>
      <c r="AJ44" s="1" t="e">
        <f>IF(AI44&gt;=AI46,AH44,AH46)</f>
        <v>#REF!</v>
      </c>
      <c r="AK44" s="1" t="e">
        <f>VLOOKUP($AJ44,$Y43:$AG46,9,FALSE)</f>
        <v>#REF!</v>
      </c>
      <c r="AL44" s="1" t="e">
        <f>IF($AK44&gt;=$AK45,$AJ44,$AJ45)</f>
        <v>#REF!</v>
      </c>
      <c r="AM44" s="1" t="e">
        <f>VLOOKUP($AL44,$Y43:$AG46,9,FALSE)</f>
        <v>#REF!</v>
      </c>
      <c r="AN44" s="1" t="e">
        <f>VLOOKUP($AL44,$Y43:$AG46,8,FALSE)</f>
        <v>#REF!</v>
      </c>
      <c r="AO44" s="1" t="e">
        <f>IF(AND($AM43=$AM44,$AN44&gt;$AN43),$AL43,$AL44)</f>
        <v>#REF!</v>
      </c>
      <c r="AP44" s="1" t="e">
        <f>VLOOKUP($AO44,$Y43:$AG46,9,FALSE)</f>
        <v>#REF!</v>
      </c>
      <c r="AQ44" s="1" t="e">
        <f>VLOOKUP($AO44,$Y43:$AG46,8,FALSE)</f>
        <v>#REF!</v>
      </c>
      <c r="AR44" s="1" t="e">
        <f>IF(AND($AP44=$AP46,$AQ46&gt;$AQ44),$AO46,$AO44)</f>
        <v>#REF!</v>
      </c>
      <c r="AS44" s="1" t="e">
        <f>VLOOKUP($AR44,$Y43:$AG46,9,FALSE)</f>
        <v>#REF!</v>
      </c>
      <c r="AT44" s="1" t="e">
        <f>VLOOKUP($AR44,$Y43:$AG46,8,FALSE)</f>
        <v>#REF!</v>
      </c>
      <c r="AU44" s="1" t="e">
        <f>IF(AND($AS44=$AS45,$AT45&gt;$AT44),$AR45,$AR44)</f>
        <v>#REF!</v>
      </c>
      <c r="AV44" s="1" t="e">
        <f>VLOOKUP($AU44,$Y43:$AG46,9,FALSE)</f>
        <v>#REF!</v>
      </c>
      <c r="AW44" s="1" t="e">
        <f>VLOOKUP($AU44,$Y43:$AG46,8,FALSE)</f>
        <v>#REF!</v>
      </c>
      <c r="AX44" s="1" t="e">
        <f>VLOOKUP($AU44,$Y43:$AG46,6,FALSE)</f>
        <v>#REF!</v>
      </c>
      <c r="AY44" s="1" t="e">
        <f>IF(AND($AV43=$AV44,$AW43=$AW44,$AX44&gt;$AX43),$AU43,$AU44)</f>
        <v>#REF!</v>
      </c>
      <c r="AZ44" s="1" t="e">
        <f>VLOOKUP($AY44,$Y43:$AG46,9,FALSE)</f>
        <v>#REF!</v>
      </c>
      <c r="BA44" s="1" t="e">
        <f>VLOOKUP($AY44,$Y43:$AG46,8,FALSE)</f>
        <v>#REF!</v>
      </c>
      <c r="BB44" s="1" t="e">
        <f>VLOOKUP($AY44,$Y43:$AG46,6,FALSE)</f>
        <v>#REF!</v>
      </c>
      <c r="BC44" s="1" t="e">
        <f>IF(AND($AZ44=$AZ46,$BA44=$BA46,$BB46&gt;$BB44),$AY46,$AY44)</f>
        <v>#REF!</v>
      </c>
      <c r="BD44" s="1" t="e">
        <f>VLOOKUP($BC44,$Y43:$AG46,9,FALSE)</f>
        <v>#REF!</v>
      </c>
      <c r="BE44" s="1" t="e">
        <f>VLOOKUP($BC44,$Y43:$AG46,8,FALSE)</f>
        <v>#REF!</v>
      </c>
      <c r="BF44" s="1" t="e">
        <f>VLOOKUP($BC44,$Y43:$AG46,6,FALSE)</f>
        <v>#REF!</v>
      </c>
      <c r="BG44" s="1" t="e">
        <f>IF(AND($BD44=$BD45,$BE44=$BE45,$BF45&gt;$BF44),$BC45,$BC44)</f>
        <v>#REF!</v>
      </c>
      <c r="BH44" s="1" t="e">
        <f>VLOOKUP($BG44,$Y43:$AG46,9,FALSE)</f>
        <v>#REF!</v>
      </c>
      <c r="BI44" s="1" t="e">
        <f>VLOOKUP($BG44,$Y43:$AG46,8,FALSE)</f>
        <v>#REF!</v>
      </c>
      <c r="BJ44" s="1" t="e">
        <f>VLOOKUP($BG44,$Y43:$AG46,6,FALSE)</f>
        <v>#REF!</v>
      </c>
      <c r="BN44" s="1" t="e">
        <f>BG44</f>
        <v>#REF!</v>
      </c>
      <c r="BO44" s="1" t="e">
        <f>VLOOKUP($BN44,$Y43:$AG46,2,FALSE)</f>
        <v>#REF!</v>
      </c>
      <c r="BP44" s="1" t="e">
        <f>VLOOKUP($BN44,$Y43:$AG46,3,FALSE)</f>
        <v>#REF!</v>
      </c>
      <c r="BQ44" s="1" t="e">
        <f>VLOOKUP($BN44,$Y43:$AG46,4,FALSE)</f>
        <v>#REF!</v>
      </c>
      <c r="BR44" s="1" t="e">
        <f>VLOOKUP($BN44,$Y43:$AG46,5,FALSE)</f>
        <v>#REF!</v>
      </c>
      <c r="BS44" s="1" t="e">
        <f>VLOOKUP($BN44,$Y43:$AG46,6,FALSE)</f>
        <v>#REF!</v>
      </c>
      <c r="BT44" s="1" t="e">
        <f>VLOOKUP($BN44,$Y43:$AG46,7,FALSE)</f>
        <v>#REF!</v>
      </c>
      <c r="BU44" s="1" t="e">
        <f>VLOOKUP($BN44,$Y43:$AG46,8,FALSE)</f>
        <v>#REF!</v>
      </c>
      <c r="BV44" s="1" t="e">
        <f>VLOOKUP($BN44,$Y43:$AG46,9,FALSE)</f>
        <v>#REF!</v>
      </c>
      <c r="BZ44" s="19"/>
    </row>
    <row r="45" spans="2:84" ht="15" x14ac:dyDescent="0.2">
      <c r="B45" s="92" t="s">
        <v>56</v>
      </c>
      <c r="C45" s="97"/>
      <c r="D45" s="97"/>
      <c r="E45" s="97"/>
      <c r="F45" s="97"/>
      <c r="G45" s="97"/>
      <c r="H45" s="97"/>
      <c r="I45" s="97"/>
      <c r="J45" s="97"/>
      <c r="K45" s="98"/>
      <c r="Y45" s="1" t="s">
        <v>65</v>
      </c>
      <c r="Z45" s="1">
        <f>COUNT(Австрия_Played)</f>
        <v>0</v>
      </c>
      <c r="AA45" s="1">
        <f>COUNTIF(Groupstage_Winners,"Австрия")</f>
        <v>0</v>
      </c>
      <c r="AB45" s="1">
        <f>COUNTIF(Groupstage_Losers,"Австрия")</f>
        <v>0</v>
      </c>
      <c r="AC45" s="1">
        <f>Z45-(AA45+AB45)</f>
        <v>0</v>
      </c>
      <c r="AD45" s="1">
        <f>SUM(Австрия_Played)</f>
        <v>0</v>
      </c>
      <c r="AE45" s="1">
        <f>SUM(Австрия_Against)</f>
        <v>0</v>
      </c>
      <c r="AF45" s="1">
        <f>AD45-AE45</f>
        <v>0</v>
      </c>
      <c r="AG45" s="1" t="e">
        <f>AA45*Winpoints+AC45*Drawpoints</f>
        <v>#REF!</v>
      </c>
      <c r="AH45" s="1" t="e">
        <f>IF($AG45&gt;=$AG46,$Y45,$Y46)</f>
        <v>#REF!</v>
      </c>
      <c r="AI45" s="1" t="e">
        <f>VLOOKUP($AH45,$Y43:$AG46,9,FALSE)</f>
        <v>#REF!</v>
      </c>
      <c r="AJ45" s="1" t="e">
        <f>IF($AI45&lt;=$AI43,$AH45,$AH43)</f>
        <v>#REF!</v>
      </c>
      <c r="AK45" s="1" t="e">
        <f>VLOOKUP($AJ45,$Y43:$AG46,9,FALSE)</f>
        <v>#REF!</v>
      </c>
      <c r="AL45" s="1" t="e">
        <f>IF($AK45&lt;=$AK44,$AJ45,$AJ44)</f>
        <v>#REF!</v>
      </c>
      <c r="AM45" s="1" t="e">
        <f>VLOOKUP($AL45,$Y43:$AG46,9,FALSE)</f>
        <v>#REF!</v>
      </c>
      <c r="AN45" s="1" t="e">
        <f>VLOOKUP($AL45,$Y43:$AG46,8,FALSE)</f>
        <v>#REF!</v>
      </c>
      <c r="AO45" s="1" t="e">
        <f>IF(AND($AM45=$AM46,$AN46&gt;$AN45),$AL46,$AL45)</f>
        <v>#REF!</v>
      </c>
      <c r="AP45" s="1" t="e">
        <f>VLOOKUP($AO45,$Y43:$AG46,9,FALSE)</f>
        <v>#REF!</v>
      </c>
      <c r="AQ45" s="1" t="e">
        <f>VLOOKUP($AO45,$Y43:$AG46,8,FALSE)</f>
        <v>#REF!</v>
      </c>
      <c r="AR45" s="1" t="e">
        <f>IF(AND($AP43=$AP45,$AQ45&gt;$AQ43),$AO43,$AO45)</f>
        <v>#REF!</v>
      </c>
      <c r="AS45" s="1" t="e">
        <f>VLOOKUP($AR45,$Y43:$AG46,9,FALSE)</f>
        <v>#REF!</v>
      </c>
      <c r="AT45" s="1" t="e">
        <f>VLOOKUP($AR45,$Y43:$AG46,8,FALSE)</f>
        <v>#REF!</v>
      </c>
      <c r="AU45" s="1" t="e">
        <f>IF(AND($AS44=$AS45,$AT45&gt;$AT44),$AR44,$AR45)</f>
        <v>#REF!</v>
      </c>
      <c r="AV45" s="1" t="e">
        <f>VLOOKUP($AU45,$Y43:$AG46,9,FALSE)</f>
        <v>#REF!</v>
      </c>
      <c r="AW45" s="1" t="e">
        <f>VLOOKUP($AU45,$Y43:$AG46,8,FALSE)</f>
        <v>#REF!</v>
      </c>
      <c r="AX45" s="1" t="e">
        <f>VLOOKUP($AU45,$Y43:$AG46,6,FALSE)</f>
        <v>#REF!</v>
      </c>
      <c r="AY45" s="1" t="e">
        <f>IF(AND($AV45=$AV46,$AW45=$AW46,$AX46&gt;$AX45),$AU46,$AU45)</f>
        <v>#REF!</v>
      </c>
      <c r="AZ45" s="1" t="e">
        <f>VLOOKUP($AY45,$Y43:$AG46,9,FALSE)</f>
        <v>#REF!</v>
      </c>
      <c r="BA45" s="1" t="e">
        <f>VLOOKUP($AY45,$Y43:$AG46,8,FALSE)</f>
        <v>#REF!</v>
      </c>
      <c r="BB45" s="1" t="e">
        <f>VLOOKUP($AY45,$Y43:$AG46,6,FALSE)</f>
        <v>#REF!</v>
      </c>
      <c r="BC45" s="1" t="e">
        <f>IF(AND($AZ43=$AZ45,$BA43=$BA45,$BB45&gt;$BB43),$AY43,$AY45)</f>
        <v>#REF!</v>
      </c>
      <c r="BD45" s="1" t="e">
        <f>VLOOKUP($BC45,$Y43:$AG46,9,FALSE)</f>
        <v>#REF!</v>
      </c>
      <c r="BE45" s="1" t="e">
        <f>VLOOKUP($BC45,$Y43:$AG46,8,FALSE)</f>
        <v>#REF!</v>
      </c>
      <c r="BF45" s="1" t="e">
        <f>VLOOKUP($BC45,$Y43:$AG46,6,FALSE)</f>
        <v>#REF!</v>
      </c>
      <c r="BG45" s="1" t="e">
        <f>IF(AND($BD44=$BD45,$BE44=$BE45,$BF45&gt;$BF44),$BC44,$BC45)</f>
        <v>#REF!</v>
      </c>
      <c r="BH45" s="1" t="e">
        <f>VLOOKUP($BG45,$Y43:$AG46,9,FALSE)</f>
        <v>#REF!</v>
      </c>
      <c r="BI45" s="1" t="e">
        <f>VLOOKUP($BG45,$Y43:$AG46,8,FALSE)</f>
        <v>#REF!</v>
      </c>
      <c r="BJ45" s="1" t="e">
        <f>VLOOKUP($BG45,$Y43:$AG46,6,FALSE)</f>
        <v>#REF!</v>
      </c>
      <c r="BN45" s="1" t="e">
        <f>BG45</f>
        <v>#REF!</v>
      </c>
      <c r="BO45" s="1" t="e">
        <f>VLOOKUP($BN45,$Y43:$AG46,2,FALSE)</f>
        <v>#REF!</v>
      </c>
      <c r="BP45" s="1" t="e">
        <f>VLOOKUP($BN45,$Y43:$AG46,3,FALSE)</f>
        <v>#REF!</v>
      </c>
      <c r="BQ45" s="1" t="e">
        <f>VLOOKUP($BN45,$Y43:$AG46,4,FALSE)</f>
        <v>#REF!</v>
      </c>
      <c r="BR45" s="1" t="e">
        <f>VLOOKUP($BN45,$Y43:$AG46,5,FALSE)</f>
        <v>#REF!</v>
      </c>
      <c r="BS45" s="1" t="e">
        <f>VLOOKUP($BN45,$Y43:$AG46,6,FALSE)</f>
        <v>#REF!</v>
      </c>
      <c r="BT45" s="1" t="e">
        <f>VLOOKUP($BN45,$Y43:$AG46,7,FALSE)</f>
        <v>#REF!</v>
      </c>
      <c r="BU45" s="1" t="e">
        <f>VLOOKUP($BN45,$Y43:$AG46,8,FALSE)</f>
        <v>#REF!</v>
      </c>
      <c r="BV45" s="1" t="e">
        <f>VLOOKUP($BN45,$Y43:$AG46,9,FALSE)</f>
        <v>#REF!</v>
      </c>
      <c r="BZ45" s="19"/>
    </row>
    <row r="46" spans="2:84" ht="15" x14ac:dyDescent="0.2">
      <c r="B46" s="40" t="s">
        <v>42</v>
      </c>
      <c r="C46" s="41" t="s">
        <v>41</v>
      </c>
      <c r="D46" s="41" t="s">
        <v>58</v>
      </c>
      <c r="E46" s="41"/>
      <c r="F46" s="41"/>
      <c r="G46" s="41"/>
      <c r="H46" s="41"/>
      <c r="I46" s="41" t="s">
        <v>43</v>
      </c>
      <c r="J46" s="41" t="s">
        <v>59</v>
      </c>
      <c r="K46" s="8"/>
      <c r="O46" s="100" t="s">
        <v>135</v>
      </c>
      <c r="P46" s="88"/>
      <c r="Q46" s="88"/>
      <c r="R46" s="88"/>
      <c r="S46" s="88"/>
      <c r="T46" s="88"/>
      <c r="U46" s="88"/>
      <c r="V46" s="88"/>
      <c r="W46" s="88"/>
      <c r="X46" s="88"/>
      <c r="Y46" s="1" t="s">
        <v>72</v>
      </c>
      <c r="Z46" s="1">
        <f>COUNT(Венгрия_Played)</f>
        <v>0</v>
      </c>
      <c r="AA46" s="1">
        <f>COUNTIF(Groupstage_Winners,"Венгрия")</f>
        <v>0</v>
      </c>
      <c r="AB46" s="1">
        <f>COUNTIF(Groupstage_Losers,"Венгрия")</f>
        <v>0</v>
      </c>
      <c r="AC46" s="1">
        <f>Z46-(AA46+AB46)</f>
        <v>0</v>
      </c>
      <c r="AD46" s="1">
        <f>SUM(Венгрия_Played)</f>
        <v>0</v>
      </c>
      <c r="AE46" s="1">
        <f>SUM(Венгрия_Against)</f>
        <v>0</v>
      </c>
      <c r="AF46" s="1">
        <f>AD46-AE46</f>
        <v>0</v>
      </c>
      <c r="AG46" s="1" t="e">
        <f>AA46*Winpoints+AC46*Drawpoints</f>
        <v>#REF!</v>
      </c>
      <c r="AH46" s="1" t="e">
        <f>IF($AG46&lt;=$AG45,$Y46,$Y45)</f>
        <v>#REF!</v>
      </c>
      <c r="AI46" s="1" t="e">
        <f>VLOOKUP($AH46,$Y43:$AG46,9,FALSE)</f>
        <v>#REF!</v>
      </c>
      <c r="AJ46" s="1" t="e">
        <f>IF(AI46&lt;=AI44,AH46,AH44)</f>
        <v>#REF!</v>
      </c>
      <c r="AK46" s="1" t="e">
        <f>VLOOKUP($AJ46,$Y43:$AG46,9,FALSE)</f>
        <v>#REF!</v>
      </c>
      <c r="AL46" s="1" t="e">
        <f>IF($AK46&lt;=$AK43,$AJ46,$AJ43)</f>
        <v>#REF!</v>
      </c>
      <c r="AM46" s="1" t="e">
        <f>VLOOKUP($AL46,$Y43:$AG46,9,FALSE)</f>
        <v>#REF!</v>
      </c>
      <c r="AN46" s="1" t="e">
        <f>VLOOKUP($AL46,$Y43:$AG46,8,FALSE)</f>
        <v>#REF!</v>
      </c>
      <c r="AO46" s="1" t="e">
        <f>IF(AND($AM45=$AM46,$AN46&gt;$AN45),$AL45,$AL46)</f>
        <v>#REF!</v>
      </c>
      <c r="AP46" s="1" t="e">
        <f>VLOOKUP($AO46,$Y43:$AG46,9,FALSE)</f>
        <v>#REF!</v>
      </c>
      <c r="AQ46" s="1" t="e">
        <f>VLOOKUP($AO46,$Y43:$AG46,8,FALSE)</f>
        <v>#REF!</v>
      </c>
      <c r="AR46" s="1" t="e">
        <f>IF(AND($AP44=$AP46,$AQ46&gt;$AQ44),$AO44,$AO46)</f>
        <v>#REF!</v>
      </c>
      <c r="AS46" s="1" t="e">
        <f>VLOOKUP($AR46,$Y43:$AG46,9,FALSE)</f>
        <v>#REF!</v>
      </c>
      <c r="AT46" s="1" t="e">
        <f>VLOOKUP($AR46,$Y43:$AG46,8,FALSE)</f>
        <v>#REF!</v>
      </c>
      <c r="AU46" s="1" t="e">
        <f>IF(AND($AS43=$AS46,$AT46&gt;$AT43),$AR43,$AR46)</f>
        <v>#REF!</v>
      </c>
      <c r="AV46" s="1" t="e">
        <f>VLOOKUP($AU46,$Y43:$AG46,9,FALSE)</f>
        <v>#REF!</v>
      </c>
      <c r="AW46" s="1" t="e">
        <f>VLOOKUP($AU46,$Y43:$AG46,8,FALSE)</f>
        <v>#REF!</v>
      </c>
      <c r="AX46" s="1" t="e">
        <f>VLOOKUP($AU46,$Y43:$AG46,6,FALSE)</f>
        <v>#REF!</v>
      </c>
      <c r="AY46" s="1" t="e">
        <f>IF(AND($AV45=$AV46,$AW45=$AW46,$AX46&gt;$AX45),$AU45,$AU46)</f>
        <v>#REF!</v>
      </c>
      <c r="AZ46" s="1" t="e">
        <f>VLOOKUP($AY46,$Y43:$AG46,9,FALSE)</f>
        <v>#REF!</v>
      </c>
      <c r="BA46" s="1" t="e">
        <f>VLOOKUP($AY46,$Y43:$AG46,8,FALSE)</f>
        <v>#REF!</v>
      </c>
      <c r="BB46" s="1" t="e">
        <f>VLOOKUP($AY46,$Y43:$AG46,6,FALSE)</f>
        <v>#REF!</v>
      </c>
      <c r="BC46" s="1" t="e">
        <f>IF(AND($AZ44=$AZ46,$BA44=$BA46,$BB46&gt;$BB44),$AY44,$AY46)</f>
        <v>#REF!</v>
      </c>
      <c r="BD46" s="1" t="e">
        <f>VLOOKUP($BC46,$Y43:$AG46,9,FALSE)</f>
        <v>#REF!</v>
      </c>
      <c r="BE46" s="1" t="e">
        <f>VLOOKUP($BC46,$Y43:$AG46,8,FALSE)</f>
        <v>#REF!</v>
      </c>
      <c r="BF46" s="1" t="e">
        <f>VLOOKUP($BC46,$Y43:$AG46,6,FALSE)</f>
        <v>#REF!</v>
      </c>
      <c r="BG46" s="1" t="e">
        <f>IF(AND($BD43=$BD46,$BE43=$BE46,$BF46&gt;$BF43),$BC43,$BC46)</f>
        <v>#REF!</v>
      </c>
      <c r="BH46" s="1" t="e">
        <f>VLOOKUP($BG46,$Y43:$AG46,9,FALSE)</f>
        <v>#REF!</v>
      </c>
      <c r="BI46" s="1" t="e">
        <f>VLOOKUP($BG46,$Y43:$AG46,8,FALSE)</f>
        <v>#REF!</v>
      </c>
      <c r="BJ46" s="1" t="e">
        <f>VLOOKUP($BG46,$Y43:$AG46,6,FALSE)</f>
        <v>#REF!</v>
      </c>
      <c r="BN46" s="1" t="e">
        <f>BG46</f>
        <v>#REF!</v>
      </c>
      <c r="BO46" s="1" t="e">
        <f>VLOOKUP($BN46,$Y43:$AG46,2,FALSE)</f>
        <v>#REF!</v>
      </c>
      <c r="BP46" s="1" t="e">
        <f>VLOOKUP($BN46,$Y43:$AG46,3,FALSE)</f>
        <v>#REF!</v>
      </c>
      <c r="BQ46" s="1" t="e">
        <f>VLOOKUP($BN46,$Y43:$AG46,4,FALSE)</f>
        <v>#REF!</v>
      </c>
      <c r="BR46" s="1" t="e">
        <f>VLOOKUP($BN46,$Y43:$AG46,5,FALSE)</f>
        <v>#REF!</v>
      </c>
      <c r="BS46" s="1" t="e">
        <f>VLOOKUP($BN46,$Y43:$AG46,6,FALSE)</f>
        <v>#REF!</v>
      </c>
      <c r="BT46" s="1" t="e">
        <f>VLOOKUP($BN46,$Y43:$AG46,7,FALSE)</f>
        <v>#REF!</v>
      </c>
      <c r="BU46" s="1" t="e">
        <f>VLOOKUP($BN46,$Y43:$AG46,8,FALSE)</f>
        <v>#REF!</v>
      </c>
      <c r="BV46" s="1" t="e">
        <f>VLOOKUP($BN46,$Y43:$AG46,9,FALSE)</f>
        <v>#REF!</v>
      </c>
      <c r="BZ46" s="19"/>
    </row>
    <row r="47" spans="2:84" ht="13.5" thickBot="1" x14ac:dyDescent="0.25">
      <c r="F47" s="26"/>
      <c r="G47" s="27"/>
      <c r="O47" s="101" t="s">
        <v>136</v>
      </c>
      <c r="P47" s="88"/>
      <c r="Q47" s="88"/>
      <c r="R47" s="88"/>
      <c r="S47" s="88"/>
      <c r="T47" s="88"/>
      <c r="U47" s="88"/>
      <c r="V47" s="88"/>
      <c r="W47" s="88"/>
      <c r="X47" s="88"/>
      <c r="BZ47" s="19"/>
    </row>
    <row r="48" spans="2:84" ht="13.5" thickBot="1" x14ac:dyDescent="0.25">
      <c r="B48" s="43">
        <v>42546</v>
      </c>
      <c r="C48" s="70">
        <v>0.66666666666666663</v>
      </c>
      <c r="D48" s="32">
        <v>37</v>
      </c>
      <c r="E48" s="34" t="e">
        <f>IF(AND(P6=3,P7=3,P8=3,P9=3),O7,"2А")</f>
        <v>#REF!</v>
      </c>
      <c r="F48" s="57"/>
      <c r="G48" s="57"/>
      <c r="H48" s="35" t="e">
        <f>IF(AND(P20=3,P21=3,P22=3,P23=3),O21,"2C")</f>
        <v>#REF!</v>
      </c>
      <c r="I48" s="36" t="e">
        <f t="shared" ref="I48:I55" si="77">IF(J48="","",VLOOKUP(J48,$BX$7:$BY$16,2))</f>
        <v>#N/A</v>
      </c>
      <c r="J48" s="50" t="s">
        <v>78</v>
      </c>
      <c r="L48" s="1" t="str">
        <f>IF(F48&lt;&gt;"",IF(F48&gt;G48,E48,IF(G48&gt;F48,H48,"Draw")),"37")</f>
        <v>37</v>
      </c>
      <c r="BZ48" s="19"/>
    </row>
    <row r="49" spans="2:78" ht="13.5" thickBot="1" x14ac:dyDescent="0.25">
      <c r="B49" s="43">
        <v>42546</v>
      </c>
      <c r="C49" s="70">
        <v>0.79166666666666663</v>
      </c>
      <c r="D49" s="32">
        <f>D48+1</f>
        <v>38</v>
      </c>
      <c r="E49" s="34" t="e">
        <f>IF(AND(P13=3,P14=3,P15=3,P16=3),O13,"1B")</f>
        <v>#REF!</v>
      </c>
      <c r="F49" s="57"/>
      <c r="G49" s="57"/>
      <c r="H49" s="35" t="str">
        <f>IF(OR(F42="",G42=""),"3 A/C/D",IF(OR(CD20=4,CP20=4,CR20=4,CX20=4,CZ20=4,DD20=4,DF20=4),O29,IF(OR(CF20=4,CH20=4,CJ20=4,CL20=4,CN20=4,CT20=4,CV20=4),O8,IF(DB20=4,O22,"3 A/C/D"))))</f>
        <v>3 A/C/D</v>
      </c>
      <c r="I49" s="36" t="e">
        <f t="shared" si="77"/>
        <v>#N/A</v>
      </c>
      <c r="J49" s="50" t="s">
        <v>79</v>
      </c>
      <c r="L49" s="1" t="str">
        <f>IF(F49&lt;&gt;"",IF(F49&gt;G49,E49,IF(G49&gt;F49,H49,"Draw")),"38")</f>
        <v>38</v>
      </c>
      <c r="BZ49" s="19"/>
    </row>
    <row r="50" spans="2:78" ht="13.5" thickBot="1" x14ac:dyDescent="0.25">
      <c r="B50" s="43">
        <v>42546</v>
      </c>
      <c r="C50" s="70">
        <v>0.91666666666666663</v>
      </c>
      <c r="D50" s="32">
        <f t="shared" ref="D50:D55" si="78">D49+1</f>
        <v>39</v>
      </c>
      <c r="E50" s="34" t="e">
        <f>IF(AND(P27=3,P28=3,P29=3,P30=3),O27,"1D")</f>
        <v>#REF!</v>
      </c>
      <c r="F50" s="57"/>
      <c r="G50" s="57"/>
      <c r="H50" s="35" t="str">
        <f>IF(OR(F42="",G42=""),"3 B/E/F",IF(CD20=4,O15,IF(OR(CF20=4,CJ20=4,CP20=4,CT20=4,CV20=4,CX20=4,DF20=4),O36,IF(OR(CH20=4,CL20=4,CN20=4,CR20=4,CZ20=4,DB20=4,DD20=4),O43,"3 B/E/F"))))</f>
        <v>3 B/E/F</v>
      </c>
      <c r="I50" s="36" t="e">
        <f t="shared" si="77"/>
        <v>#N/A</v>
      </c>
      <c r="J50" s="50" t="s">
        <v>80</v>
      </c>
      <c r="L50" s="1" t="str">
        <f>IF(F50&lt;&gt;"",IF(F50&gt;G50,E50,IF(G50&gt;F50,H50,"Draw")),"39")</f>
        <v>39</v>
      </c>
      <c r="BZ50" s="19"/>
    </row>
    <row r="51" spans="2:78" ht="13.5" thickBot="1" x14ac:dyDescent="0.25">
      <c r="B51" s="43">
        <v>42547</v>
      </c>
      <c r="C51" s="70">
        <v>0.66666666666666663</v>
      </c>
      <c r="D51" s="32">
        <f t="shared" si="78"/>
        <v>40</v>
      </c>
      <c r="E51" s="34" t="e">
        <f>IF(AND(P6=3,P7=3,P8=3,P9=3),O6,"1А")</f>
        <v>#REF!</v>
      </c>
      <c r="F51" s="57"/>
      <c r="G51" s="57"/>
      <c r="H51" s="35" t="str">
        <f>IF(OR(F42="",G42=""),"3 C/D/E",IF(OR(CD20=4,CF20=4,CH20=4,CP20=4,CR20=4,CT20=4,CX20=4,CZ20=4,DF20=4),O22,IF(OR(CJ20=4,CL20=4,CV20=4),O29,IF(OR(CN20=4,DB20=4,DD20=4),O36,"3 C/D/E"))))</f>
        <v>3 C/D/E</v>
      </c>
      <c r="I51" s="36" t="e">
        <f t="shared" si="77"/>
        <v>#N/A</v>
      </c>
      <c r="J51" s="50" t="s">
        <v>81</v>
      </c>
      <c r="L51" s="1" t="str">
        <f>IF(F51&lt;&gt;"",IF(F51&gt;G51,E51,IF(G51&gt;F51,H51,"Draw")),"40")</f>
        <v>40</v>
      </c>
      <c r="BZ51" s="19"/>
    </row>
    <row r="52" spans="2:78" ht="13.5" thickBot="1" x14ac:dyDescent="0.25">
      <c r="B52" s="43">
        <v>42547</v>
      </c>
      <c r="C52" s="70">
        <v>0.79166666666666663</v>
      </c>
      <c r="D52" s="32">
        <f t="shared" si="78"/>
        <v>41</v>
      </c>
      <c r="E52" s="34" t="e">
        <f>IF(AND(P20=3,P21=3,P22=3,P23=3),O20,"1C")</f>
        <v>#REF!</v>
      </c>
      <c r="F52" s="57"/>
      <c r="G52" s="57"/>
      <c r="H52" s="35" t="str">
        <f>IF(OR(F42="",G42=""),"3 A/B/F",IF(OR(CD20=4,CP20=4,CR20=4),O8,IF(OR(CF20=4,CH20=4,CJ20=4,CL20=4,CN20=4,CX20=4,CZ20=4,DB20=4,DD20=4),O15,IF(OR(CT20=4,CV20=4,DF20=4),O43,"3 A/B/F"))))</f>
        <v>3 A/B/F</v>
      </c>
      <c r="I52" s="36" t="e">
        <f t="shared" si="77"/>
        <v>#N/A</v>
      </c>
      <c r="J52" s="50" t="s">
        <v>82</v>
      </c>
      <c r="L52" s="1" t="str">
        <f>IF(F52&lt;&gt;"",IF(F52&gt;G52,E52,IF(G52&gt;F52,H52,"Draw")),"41")</f>
        <v>41</v>
      </c>
      <c r="BZ52" s="19"/>
    </row>
    <row r="53" spans="2:78" ht="13.5" thickBot="1" x14ac:dyDescent="0.25">
      <c r="B53" s="43">
        <v>42547</v>
      </c>
      <c r="C53" s="70">
        <v>0.91666666666666663</v>
      </c>
      <c r="D53" s="32">
        <f t="shared" si="78"/>
        <v>42</v>
      </c>
      <c r="E53" s="34" t="e">
        <f>IF(AND(P41=3,P42=3,P43=3,P44=3),O41,"1F")</f>
        <v>#REF!</v>
      </c>
      <c r="F53" s="57"/>
      <c r="G53" s="57"/>
      <c r="H53" s="35" t="e">
        <f>IF(AND(P34=3,P35=3,P36=3,P37=3),O35,"2E")</f>
        <v>#REF!</v>
      </c>
      <c r="I53" s="36" t="e">
        <f t="shared" si="77"/>
        <v>#N/A</v>
      </c>
      <c r="J53" s="50" t="s">
        <v>83</v>
      </c>
      <c r="L53" s="1" t="str">
        <f>IF(F53&lt;&gt;"",IF(F53&gt;G53,E53,IF(G53&gt;F53,H53,"Draw")),"42")</f>
        <v>42</v>
      </c>
      <c r="BZ53" s="19"/>
    </row>
    <row r="54" spans="2:78" ht="13.5" thickBot="1" x14ac:dyDescent="0.25">
      <c r="B54" s="43">
        <v>42548</v>
      </c>
      <c r="C54" s="70">
        <v>0.79166666666666663</v>
      </c>
      <c r="D54" s="32">
        <f t="shared" si="78"/>
        <v>43</v>
      </c>
      <c r="E54" s="34" t="e">
        <f>IF(AND(P34=3,P35=3,P36=3,P37=3),O34,"1E")</f>
        <v>#REF!</v>
      </c>
      <c r="F54" s="57"/>
      <c r="G54" s="57"/>
      <c r="H54" s="35" t="e">
        <f>IF(AND(P27=3,P28=3,P29=3,P30=3),O28,"2D")</f>
        <v>#REF!</v>
      </c>
      <c r="I54" s="36" t="e">
        <f t="shared" si="77"/>
        <v>#N/A</v>
      </c>
      <c r="J54" s="50" t="s">
        <v>84</v>
      </c>
      <c r="L54" s="1" t="str">
        <f>IF(F54&lt;&gt;"",IF(F54&gt;G54,E54,IF(G54&gt;F54,H54,"Draw")),"43")</f>
        <v>43</v>
      </c>
      <c r="BZ54" s="19"/>
    </row>
    <row r="55" spans="2:78" ht="13.5" thickBot="1" x14ac:dyDescent="0.25">
      <c r="B55" s="43">
        <v>42548</v>
      </c>
      <c r="C55" s="70">
        <v>0.91666666666666663</v>
      </c>
      <c r="D55" s="32">
        <f t="shared" si="78"/>
        <v>44</v>
      </c>
      <c r="E55" s="34" t="e">
        <f>IF(AND(P13=3,P14=3,P15=3,P16=3),O14,"2B")</f>
        <v>#REF!</v>
      </c>
      <c r="F55" s="57"/>
      <c r="G55" s="57"/>
      <c r="H55" s="35" t="e">
        <f>IF(AND(P41=3,P42=3,P43=3,P44=3),O42,"2F")</f>
        <v>#REF!</v>
      </c>
      <c r="I55" s="36" t="e">
        <f t="shared" si="77"/>
        <v>#N/A</v>
      </c>
      <c r="J55" s="50" t="s">
        <v>85</v>
      </c>
      <c r="L55" s="1" t="str">
        <f>IF(F55&lt;&gt;"",IF(F55&gt;G55,E55,IF(G55&gt;F55,H55,"Draw")),"44")</f>
        <v>44</v>
      </c>
      <c r="BZ55" s="19"/>
    </row>
    <row r="56" spans="2:78" x14ac:dyDescent="0.2">
      <c r="F56" s="26"/>
      <c r="G56" s="27"/>
      <c r="BZ56" s="19"/>
    </row>
    <row r="57" spans="2:78" x14ac:dyDescent="0.2">
      <c r="F57" s="26"/>
      <c r="G57" s="27"/>
      <c r="BZ57" s="19"/>
    </row>
    <row r="58" spans="2:78" ht="15" x14ac:dyDescent="0.2">
      <c r="B58" s="92" t="s">
        <v>57</v>
      </c>
      <c r="C58" s="97"/>
      <c r="D58" s="97"/>
      <c r="E58" s="97"/>
      <c r="F58" s="97"/>
      <c r="G58" s="97"/>
      <c r="H58" s="97"/>
      <c r="I58" s="97"/>
      <c r="J58" s="97"/>
      <c r="K58" s="98"/>
      <c r="BZ58" s="19"/>
    </row>
    <row r="59" spans="2:78" ht="15" x14ac:dyDescent="0.2">
      <c r="B59" s="40" t="s">
        <v>42</v>
      </c>
      <c r="C59" s="41" t="s">
        <v>41</v>
      </c>
      <c r="D59" s="41" t="s">
        <v>58</v>
      </c>
      <c r="E59" s="41"/>
      <c r="F59" s="41"/>
      <c r="G59" s="41"/>
      <c r="H59" s="41"/>
      <c r="I59" s="41" t="s">
        <v>43</v>
      </c>
      <c r="J59" s="41" t="s">
        <v>59</v>
      </c>
      <c r="K59" s="8"/>
      <c r="BZ59" s="19"/>
    </row>
    <row r="60" spans="2:78" ht="13.5" thickBot="1" x14ac:dyDescent="0.25">
      <c r="F60" s="26"/>
      <c r="G60" s="27"/>
      <c r="BZ60" s="19"/>
    </row>
    <row r="61" spans="2:78" ht="13.5" thickBot="1" x14ac:dyDescent="0.25">
      <c r="B61" s="43">
        <v>42551</v>
      </c>
      <c r="C61" s="70">
        <v>0.91666666666666663</v>
      </c>
      <c r="D61" s="32">
        <v>45</v>
      </c>
      <c r="E61" s="34" t="str">
        <f>L48</f>
        <v>37</v>
      </c>
      <c r="F61" s="57"/>
      <c r="G61" s="57"/>
      <c r="H61" s="35" t="str">
        <f>L50</f>
        <v>39</v>
      </c>
      <c r="I61" s="36" t="e">
        <f t="shared" ref="I61:I64" si="79">IF(J61="","",VLOOKUP(J61,$BX$7:$BY$16,2))</f>
        <v>#N/A</v>
      </c>
      <c r="J61" s="50" t="s">
        <v>86</v>
      </c>
      <c r="L61" s="1" t="str">
        <f>IF(F61&lt;&gt;"",IF(F61&gt;G61,E61,IF(G61&gt;F61,H61,"Draw")),"45")</f>
        <v>45</v>
      </c>
      <c r="BZ61" s="19"/>
    </row>
    <row r="62" spans="2:78" ht="13.5" thickBot="1" x14ac:dyDescent="0.25">
      <c r="B62" s="43">
        <v>42552</v>
      </c>
      <c r="C62" s="70">
        <v>0.91666666666666663</v>
      </c>
      <c r="D62" s="32">
        <v>46</v>
      </c>
      <c r="E62" s="34" t="str">
        <f>L49</f>
        <v>38</v>
      </c>
      <c r="F62" s="57"/>
      <c r="G62" s="57"/>
      <c r="H62" s="35" t="str">
        <f>L53</f>
        <v>42</v>
      </c>
      <c r="I62" s="36" t="e">
        <f t="shared" si="79"/>
        <v>#N/A</v>
      </c>
      <c r="J62" s="50" t="s">
        <v>82</v>
      </c>
      <c r="L62" s="1" t="str">
        <f>IF(F62&lt;&gt;"",IF(F62&gt;G62,E62,IF(G62&gt;F62,H62,"Draw")),"46")</f>
        <v>46</v>
      </c>
      <c r="BZ62" s="19"/>
    </row>
    <row r="63" spans="2:78" ht="13.5" thickBot="1" x14ac:dyDescent="0.25">
      <c r="B63" s="43">
        <v>42553</v>
      </c>
      <c r="C63" s="70">
        <v>0.91666666666666663</v>
      </c>
      <c r="D63" s="32">
        <v>47</v>
      </c>
      <c r="E63" s="34" t="str">
        <f>L52</f>
        <v>41</v>
      </c>
      <c r="F63" s="57"/>
      <c r="G63" s="57"/>
      <c r="H63" s="35" t="str">
        <f>L54</f>
        <v>43</v>
      </c>
      <c r="I63" s="36" t="e">
        <f t="shared" si="79"/>
        <v>#N/A</v>
      </c>
      <c r="J63" s="50" t="s">
        <v>87</v>
      </c>
      <c r="L63" s="1" t="str">
        <f>IF(F63&lt;&gt;"",IF(F63&gt;G63,E63,IF(G63&gt;F63,H63,"Draw")),"47")</f>
        <v>47</v>
      </c>
    </row>
    <row r="64" spans="2:78" ht="13.5" thickBot="1" x14ac:dyDescent="0.25">
      <c r="B64" s="43">
        <v>42554</v>
      </c>
      <c r="C64" s="70">
        <v>0.91666666666666663</v>
      </c>
      <c r="D64" s="32">
        <v>48</v>
      </c>
      <c r="E64" s="34" t="str">
        <f>L51</f>
        <v>40</v>
      </c>
      <c r="F64" s="57"/>
      <c r="G64" s="57"/>
      <c r="H64" s="35" t="str">
        <f>L55</f>
        <v>44</v>
      </c>
      <c r="I64" s="36" t="e">
        <f t="shared" si="79"/>
        <v>#N/A</v>
      </c>
      <c r="J64" s="50" t="s">
        <v>84</v>
      </c>
      <c r="L64" s="1" t="str">
        <f>IF(F64&lt;&gt;"",IF(F64&gt;G64,E64,IF(G64&gt;F64,H64,"Draw")),"48")</f>
        <v>48</v>
      </c>
    </row>
    <row r="65" spans="2:75" x14ac:dyDescent="0.2">
      <c r="B65" s="29"/>
      <c r="C65" s="28"/>
      <c r="D65" s="28"/>
      <c r="F65" s="30"/>
      <c r="G65" s="20"/>
      <c r="X65" s="1" t="s">
        <v>33</v>
      </c>
    </row>
    <row r="66" spans="2:75" x14ac:dyDescent="0.2">
      <c r="F66" s="26"/>
      <c r="G66" s="27"/>
    </row>
    <row r="67" spans="2:75" ht="15" x14ac:dyDescent="0.2">
      <c r="B67" s="92" t="s">
        <v>44</v>
      </c>
      <c r="C67" s="97"/>
      <c r="D67" s="97"/>
      <c r="E67" s="97"/>
      <c r="F67" s="97"/>
      <c r="G67" s="97"/>
      <c r="H67" s="97"/>
      <c r="I67" s="97"/>
      <c r="J67" s="97"/>
      <c r="K67" s="98"/>
    </row>
    <row r="68" spans="2:75" ht="15" x14ac:dyDescent="0.2">
      <c r="B68" s="40" t="s">
        <v>42</v>
      </c>
      <c r="C68" s="41" t="s">
        <v>41</v>
      </c>
      <c r="D68" s="41" t="s">
        <v>58</v>
      </c>
      <c r="E68" s="41"/>
      <c r="F68" s="41"/>
      <c r="G68" s="41"/>
      <c r="H68" s="41"/>
      <c r="I68" s="41" t="s">
        <v>43</v>
      </c>
      <c r="J68" s="41" t="s">
        <v>59</v>
      </c>
      <c r="K68" s="8"/>
    </row>
    <row r="69" spans="2:75" ht="13.5" thickBot="1" x14ac:dyDescent="0.25">
      <c r="F69" s="26"/>
      <c r="G69" s="27"/>
      <c r="BW69" s="1" t="s">
        <v>34</v>
      </c>
    </row>
    <row r="70" spans="2:75" ht="13.5" thickBot="1" x14ac:dyDescent="0.25">
      <c r="B70" s="43">
        <v>42557</v>
      </c>
      <c r="C70" s="70">
        <v>0.91666666666666663</v>
      </c>
      <c r="D70" s="32">
        <v>49</v>
      </c>
      <c r="E70" s="34" t="str">
        <f>L61</f>
        <v>45</v>
      </c>
      <c r="F70" s="57"/>
      <c r="G70" s="57"/>
      <c r="H70" s="35" t="str">
        <f>L62</f>
        <v>46</v>
      </c>
      <c r="I70" s="36" t="e">
        <f t="shared" ref="I70:I71" si="80">IF(J70="","",VLOOKUP(J70,$BX$7:$BY$16,2))</f>
        <v>#N/A</v>
      </c>
      <c r="J70" s="50" t="s">
        <v>81</v>
      </c>
      <c r="L70" s="1" t="str">
        <f>IF(F70&lt;&gt;"",IF(F70&gt;G70,E70,IF(G70&gt;F70,H70,"Draw")),"49")</f>
        <v>49</v>
      </c>
    </row>
    <row r="71" spans="2:75" ht="13.5" thickBot="1" x14ac:dyDescent="0.25">
      <c r="B71" s="43">
        <v>42558</v>
      </c>
      <c r="C71" s="70">
        <v>0.91666666666666663</v>
      </c>
      <c r="D71" s="32">
        <v>50</v>
      </c>
      <c r="E71" s="34" t="str">
        <f>L63</f>
        <v>47</v>
      </c>
      <c r="F71" s="57"/>
      <c r="G71" s="57"/>
      <c r="H71" s="35" t="str">
        <f>L64</f>
        <v>48</v>
      </c>
      <c r="I71" s="36" t="e">
        <f t="shared" si="80"/>
        <v>#N/A</v>
      </c>
      <c r="J71" s="50" t="s">
        <v>86</v>
      </c>
      <c r="L71" s="1" t="str">
        <f>IF(F71&lt;&gt;"",IF(F71&gt;G71,E71,IF(G71&gt;F71,H71,"Draw")),"50")</f>
        <v>50</v>
      </c>
    </row>
    <row r="72" spans="2:75" x14ac:dyDescent="0.2">
      <c r="F72" s="26"/>
      <c r="G72" s="27"/>
    </row>
    <row r="73" spans="2:75" x14ac:dyDescent="0.2">
      <c r="F73" s="26"/>
      <c r="G73" s="27"/>
    </row>
    <row r="74" spans="2:75" ht="15" x14ac:dyDescent="0.2">
      <c r="B74" s="92" t="s">
        <v>45</v>
      </c>
      <c r="C74" s="97"/>
      <c r="D74" s="97"/>
      <c r="E74" s="97"/>
      <c r="F74" s="97"/>
      <c r="G74" s="97"/>
      <c r="H74" s="97"/>
      <c r="I74" s="97"/>
      <c r="J74" s="97"/>
      <c r="K74" s="98"/>
      <c r="L74" s="1" t="str">
        <f>IF(F77&lt;&gt;"",IF(F77&gt;G77,E77,IF(G77&gt;F77,H77,"Draw")),"???")</f>
        <v>???</v>
      </c>
    </row>
    <row r="75" spans="2:75" ht="15" x14ac:dyDescent="0.2">
      <c r="B75" s="40" t="s">
        <v>42</v>
      </c>
      <c r="C75" s="41" t="s">
        <v>41</v>
      </c>
      <c r="D75" s="41" t="s">
        <v>58</v>
      </c>
      <c r="E75" s="41"/>
      <c r="F75" s="41"/>
      <c r="G75" s="41"/>
      <c r="H75" s="41"/>
      <c r="I75" s="41" t="s">
        <v>43</v>
      </c>
      <c r="J75" s="41" t="s">
        <v>59</v>
      </c>
      <c r="K75" s="42"/>
    </row>
    <row r="76" spans="2:75" ht="13.5" thickBot="1" x14ac:dyDescent="0.25">
      <c r="F76" s="26"/>
      <c r="G76" s="27"/>
    </row>
    <row r="77" spans="2:75" ht="13.5" thickBot="1" x14ac:dyDescent="0.25">
      <c r="B77" s="43">
        <v>42561</v>
      </c>
      <c r="C77" s="70">
        <v>0.91666666666666663</v>
      </c>
      <c r="D77" s="32">
        <v>51</v>
      </c>
      <c r="E77" s="34" t="str">
        <f>L70</f>
        <v>49</v>
      </c>
      <c r="F77" s="57"/>
      <c r="G77" s="57"/>
      <c r="H77" s="35" t="str">
        <f>L71</f>
        <v>50</v>
      </c>
      <c r="I77" s="36" t="e">
        <f t="shared" ref="I77" si="81">IF(J77="","",VLOOKUP(J77,$BX$7:$BY$16,2))</f>
        <v>#N/A</v>
      </c>
      <c r="J77" s="50" t="s">
        <v>84</v>
      </c>
    </row>
    <row r="78" spans="2:75" x14ac:dyDescent="0.2">
      <c r="C78" s="1" t="s">
        <v>31</v>
      </c>
    </row>
    <row r="79" spans="2:75" x14ac:dyDescent="0.2">
      <c r="D79" s="21"/>
      <c r="E79" s="95" t="str">
        <f>L74</f>
        <v>???</v>
      </c>
      <c r="F79" s="96"/>
      <c r="G79" s="96"/>
      <c r="H79" s="96"/>
      <c r="I79" s="96"/>
    </row>
    <row r="80" spans="2:75" x14ac:dyDescent="0.2">
      <c r="C80" s="59" t="s">
        <v>76</v>
      </c>
      <c r="D80" s="60"/>
      <c r="E80" s="96"/>
      <c r="F80" s="96"/>
      <c r="G80" s="96"/>
      <c r="H80" s="96"/>
      <c r="I80" s="96"/>
    </row>
    <row r="81" spans="3:9" x14ac:dyDescent="0.2">
      <c r="C81" s="61">
        <v>2016</v>
      </c>
      <c r="D81" s="62" t="s">
        <v>62</v>
      </c>
      <c r="E81" s="96"/>
      <c r="F81" s="96"/>
      <c r="G81" s="96"/>
      <c r="H81" s="96"/>
      <c r="I81" s="96"/>
    </row>
    <row r="82" spans="3:9" x14ac:dyDescent="0.2">
      <c r="C82" s="58"/>
      <c r="E82" s="96"/>
      <c r="F82" s="96"/>
      <c r="G82" s="96"/>
      <c r="H82" s="96"/>
      <c r="I82" s="96"/>
    </row>
    <row r="83" spans="3:9" x14ac:dyDescent="0.2">
      <c r="E83" s="96"/>
      <c r="F83" s="96"/>
      <c r="G83" s="96"/>
      <c r="H83" s="96"/>
      <c r="I83" s="96"/>
    </row>
    <row r="84" spans="3:9" x14ac:dyDescent="0.2">
      <c r="E84" s="96"/>
      <c r="F84" s="96"/>
      <c r="G84" s="96"/>
      <c r="H84" s="96"/>
      <c r="I84" s="96"/>
    </row>
    <row r="85" spans="3:9" x14ac:dyDescent="0.2">
      <c r="E85" s="96"/>
      <c r="F85" s="96"/>
      <c r="G85" s="96"/>
      <c r="H85" s="96"/>
      <c r="I85" s="96"/>
    </row>
    <row r="86" spans="3:9" x14ac:dyDescent="0.2">
      <c r="E86" s="96"/>
      <c r="F86" s="96"/>
      <c r="G86" s="96"/>
      <c r="H86" s="96"/>
      <c r="I86" s="96"/>
    </row>
  </sheetData>
  <sheetProtection sheet="1" selectLockedCells="1"/>
  <sortState ref="BX7:BY16">
    <sortCondition ref="BX7"/>
  </sortState>
  <mergeCells count="19">
    <mergeCell ref="CU28:CW28"/>
    <mergeCell ref="CU23:CW23"/>
    <mergeCell ref="CU24:CW24"/>
    <mergeCell ref="CU25:CW25"/>
    <mergeCell ref="CU26:CW26"/>
    <mergeCell ref="CU27:CW27"/>
    <mergeCell ref="B4:K4"/>
    <mergeCell ref="E79:I86"/>
    <mergeCell ref="B45:K45"/>
    <mergeCell ref="B58:K58"/>
    <mergeCell ref="B67:K67"/>
    <mergeCell ref="B74:K74"/>
    <mergeCell ref="BX4:BY4"/>
    <mergeCell ref="CJ28:CK28"/>
    <mergeCell ref="CJ23:CK23"/>
    <mergeCell ref="CJ24:CK24"/>
    <mergeCell ref="CJ25:CK25"/>
    <mergeCell ref="CJ26:CK26"/>
    <mergeCell ref="CJ27:CK27"/>
  </mergeCells>
  <phoneticPr fontId="0" type="noConversion"/>
  <conditionalFormatting sqref="CC23:CF23">
    <cfRule type="expression" dxfId="36" priority="53">
      <formula>$CD$20=4</formula>
    </cfRule>
  </conditionalFormatting>
  <conditionalFormatting sqref="CC24:CF24">
    <cfRule type="expression" dxfId="35" priority="52">
      <formula>$CF$20=4</formula>
    </cfRule>
  </conditionalFormatting>
  <conditionalFormatting sqref="CC25:CF25">
    <cfRule type="expression" dxfId="34" priority="51">
      <formula>$CH$20=4</formula>
    </cfRule>
  </conditionalFormatting>
  <conditionalFormatting sqref="CC26:CF26">
    <cfRule type="expression" dxfId="33" priority="50">
      <formula>$CJ$20=4</formula>
    </cfRule>
  </conditionalFormatting>
  <conditionalFormatting sqref="CC27:CF27">
    <cfRule type="expression" dxfId="32" priority="49">
      <formula>$CL$20=4</formula>
    </cfRule>
  </conditionalFormatting>
  <conditionalFormatting sqref="CC28:CF28">
    <cfRule type="expression" dxfId="31" priority="48">
      <formula>$CN$20=4</formula>
    </cfRule>
  </conditionalFormatting>
  <conditionalFormatting sqref="CC29:CF29">
    <cfRule type="expression" dxfId="30" priority="47">
      <formula>$CP$20=4</formula>
    </cfRule>
  </conditionalFormatting>
  <conditionalFormatting sqref="CC30:CF30">
    <cfRule type="expression" dxfId="29" priority="46">
      <formula>$CR$20=4</formula>
    </cfRule>
  </conditionalFormatting>
  <conditionalFormatting sqref="CC31:CF31">
    <cfRule type="expression" dxfId="28" priority="45">
      <formula>$CT$20=4</formula>
    </cfRule>
  </conditionalFormatting>
  <conditionalFormatting sqref="CC32:CF32">
    <cfRule type="expression" dxfId="27" priority="44">
      <formula>$CV$20=4</formula>
    </cfRule>
  </conditionalFormatting>
  <conditionalFormatting sqref="CC33:CF33">
    <cfRule type="expression" dxfId="26" priority="43">
      <formula>$CX$20=4</formula>
    </cfRule>
  </conditionalFormatting>
  <conditionalFormatting sqref="CC34:CF34">
    <cfRule type="expression" dxfId="25" priority="42">
      <formula>$CZ$20=4</formula>
    </cfRule>
  </conditionalFormatting>
  <conditionalFormatting sqref="CC35:CF35">
    <cfRule type="expression" dxfId="24" priority="41">
      <formula>$DB$20=4</formula>
    </cfRule>
  </conditionalFormatting>
  <conditionalFormatting sqref="CC36:CF36">
    <cfRule type="expression" dxfId="23" priority="40">
      <formula>$DD$20=4</formula>
    </cfRule>
  </conditionalFormatting>
  <conditionalFormatting sqref="CC37:CF37">
    <cfRule type="expression" dxfId="22" priority="39">
      <formula>$DF$20=4</formula>
    </cfRule>
  </conditionalFormatting>
  <conditionalFormatting sqref="CB23">
    <cfRule type="expression" dxfId="21" priority="38">
      <formula>$CD$20=4</formula>
    </cfRule>
  </conditionalFormatting>
  <conditionalFormatting sqref="CB24 CE16:CE19 CF20">
    <cfRule type="expression" dxfId="20" priority="37">
      <formula>$CF$20=4</formula>
    </cfRule>
  </conditionalFormatting>
  <conditionalFormatting sqref="CB25 CG16:CG19 CH20">
    <cfRule type="expression" dxfId="19" priority="36">
      <formula>$CH$20=4</formula>
    </cfRule>
  </conditionalFormatting>
  <conditionalFormatting sqref="CB26 CI16:CI19 CJ20">
    <cfRule type="expression" dxfId="18" priority="35">
      <formula>$CJ$20=4</formula>
    </cfRule>
  </conditionalFormatting>
  <conditionalFormatting sqref="CB27 CK16:CK19 CL20">
    <cfRule type="expression" dxfId="17" priority="34">
      <formula>$CL$20=4</formula>
    </cfRule>
  </conditionalFormatting>
  <conditionalFormatting sqref="CB28 CM16:CM19 CN20">
    <cfRule type="expression" dxfId="16" priority="33">
      <formula>$CN$20=4</formula>
    </cfRule>
  </conditionalFormatting>
  <conditionalFormatting sqref="CB29 CO16:CO19 CP20">
    <cfRule type="expression" dxfId="15" priority="32">
      <formula>$CP$20=4</formula>
    </cfRule>
  </conditionalFormatting>
  <conditionalFormatting sqref="CB30 CQ16:CQ19 CR20">
    <cfRule type="expression" dxfId="14" priority="31">
      <formula>$CR$20=4</formula>
    </cfRule>
  </conditionalFormatting>
  <conditionalFormatting sqref="CB31 CS16:CS19 CT20">
    <cfRule type="expression" dxfId="13" priority="30">
      <formula>$CT$20=4</formula>
    </cfRule>
  </conditionalFormatting>
  <conditionalFormatting sqref="CB32 CU16:CU19 CV20">
    <cfRule type="expression" dxfId="12" priority="29">
      <formula>$CV$20=4</formula>
    </cfRule>
  </conditionalFormatting>
  <conditionalFormatting sqref="CB33 CW16:CW19 CX20">
    <cfRule type="expression" dxfId="11" priority="28">
      <formula>$CX$20=4</formula>
    </cfRule>
  </conditionalFormatting>
  <conditionalFormatting sqref="CB34 CY16:CY19 CZ20">
    <cfRule type="expression" dxfId="10" priority="27">
      <formula>$CZ$20=4</formula>
    </cfRule>
  </conditionalFormatting>
  <conditionalFormatting sqref="CB35 DA16:DA19 DB20">
    <cfRule type="expression" dxfId="9" priority="26">
      <formula>$DB$20=4</formula>
    </cfRule>
  </conditionalFormatting>
  <conditionalFormatting sqref="CB36 DC16:DC19 DD20">
    <cfRule type="expression" dxfId="8" priority="25">
      <formula>$DD$20=4</formula>
    </cfRule>
  </conditionalFormatting>
  <conditionalFormatting sqref="CB37 DE16:DE19 DF20">
    <cfRule type="expression" dxfId="7" priority="24">
      <formula>$DF$20=4</formula>
    </cfRule>
  </conditionalFormatting>
  <conditionalFormatting sqref="CC16:CC19 CD20">
    <cfRule type="expression" dxfId="6" priority="23">
      <formula>$CD$20=4</formula>
    </cfRule>
  </conditionalFormatting>
  <conditionalFormatting sqref="CI23:CK23">
    <cfRule type="expression" dxfId="5" priority="8">
      <formula>OR($CY$23=1,$CY$23=2,$CY$23=3,$CY$23=4)</formula>
    </cfRule>
  </conditionalFormatting>
  <conditionalFormatting sqref="CI24:CK24">
    <cfRule type="expression" dxfId="4" priority="7">
      <formula>OR($CY$24=1,$CY$24=2,$CY$24=3,$CY$24=4)</formula>
    </cfRule>
  </conditionalFormatting>
  <conditionalFormatting sqref="CI25:CK25">
    <cfRule type="expression" dxfId="3" priority="6">
      <formula>OR($CY$25=1,$CY$25=2,$CY$25=3,$CY$25=4)</formula>
    </cfRule>
  </conditionalFormatting>
  <conditionalFormatting sqref="CI26:CK26">
    <cfRule type="expression" dxfId="2" priority="5">
      <formula>OR($CY$26=1,$CY$26=2,$CY$26=3,$CY$26=4)</formula>
    </cfRule>
  </conditionalFormatting>
  <conditionalFormatting sqref="CI27:CK27">
    <cfRule type="expression" dxfId="1" priority="4">
      <formula>OR($CY$27=1,$CY$27=2,$CY$27=3,$CY$27=4)</formula>
    </cfRule>
  </conditionalFormatting>
  <conditionalFormatting sqref="CI28:CK28">
    <cfRule type="expression" dxfId="0" priority="3">
      <formula>OR($CY$28=1,$CY$28=2,$CY$28=3,$CY$28=4)</formula>
    </cfRule>
  </conditionalFormatting>
  <conditionalFormatting sqref="CR21:CS21 CP21">
    <cfRule type="dataBar" priority="2">
      <dataBar>
        <cfvo type="num" val="3"/>
        <cfvo type="num" val="1"/>
        <color theme="9" tint="-0.249977111117893"/>
      </dataBar>
    </cfRule>
  </conditionalFormatting>
  <dataValidations count="2">
    <dataValidation type="list" allowBlank="1" showInputMessage="1" showErrorMessage="1" sqref="Y43:Y46 Y8:Y11 H7:H42 E7:E42 Y29:Y32 Y22:Y25 Y15:Y18 Y36:Y39 BX4:BY4">
      <formula1>$BZ$6:$BZ$38</formula1>
    </dataValidation>
    <dataValidation type="list" allowBlank="1" showInputMessage="1" showErrorMessage="1" sqref="J77 J48:J55 J61:J64 J70:J71 J7:J42">
      <formula1>$BX$6:$BX$17</formula1>
    </dataValidation>
  </dataValidations>
  <hyperlinks>
    <hyperlink ref="O47" r:id="rId1"/>
  </hyperlink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54" orientation="portrait" verticalDpi="300" r:id="rId2"/>
  <headerFooter alignWithMargins="0"/>
  <cellWatches>
    <cellWatch r="F21"/>
    <cellWatch r="F77"/>
  </cellWatches>
  <drawing r:id="rId3"/>
  <legacy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51</vt:i4>
      </vt:variant>
    </vt:vector>
  </HeadingPairs>
  <TitlesOfParts>
    <vt:vector size="52" baseType="lpstr">
      <vt:lpstr>FR 2016</vt:lpstr>
      <vt:lpstr>Groupstage_Losers</vt:lpstr>
      <vt:lpstr>Groupstage_Winners</vt:lpstr>
      <vt:lpstr>Австрия_Against</vt:lpstr>
      <vt:lpstr>Австрия_Played</vt:lpstr>
      <vt:lpstr>Албания_Against</vt:lpstr>
      <vt:lpstr>Албания_Played</vt:lpstr>
      <vt:lpstr>Англия_Against</vt:lpstr>
      <vt:lpstr>Англия_Played</vt:lpstr>
      <vt:lpstr>Бельгия_Against</vt:lpstr>
      <vt:lpstr>Бельгия_Played</vt:lpstr>
      <vt:lpstr>Венгрия_Against</vt:lpstr>
      <vt:lpstr>Венгрия_Played</vt:lpstr>
      <vt:lpstr>Германия_Against</vt:lpstr>
      <vt:lpstr>Германия_Played</vt:lpstr>
      <vt:lpstr>Ирландия_Against</vt:lpstr>
      <vt:lpstr>Ирландия_Played</vt:lpstr>
      <vt:lpstr>Исландия_Against</vt:lpstr>
      <vt:lpstr>Исландия_Played</vt:lpstr>
      <vt:lpstr>Испания_Against</vt:lpstr>
      <vt:lpstr>Испания_Played</vt:lpstr>
      <vt:lpstr>Италия_Against</vt:lpstr>
      <vt:lpstr>Италия_Played</vt:lpstr>
      <vt:lpstr>'FR 2016'!Область_печати</vt:lpstr>
      <vt:lpstr>Польша_Against</vt:lpstr>
      <vt:lpstr>Польша_Played</vt:lpstr>
      <vt:lpstr>Португалия_Against</vt:lpstr>
      <vt:lpstr>Португалия_Played</vt:lpstr>
      <vt:lpstr>Россия_Against</vt:lpstr>
      <vt:lpstr>Россия_Played</vt:lpstr>
      <vt:lpstr>Румыния_Against</vt:lpstr>
      <vt:lpstr>Румыния_Played</vt:lpstr>
      <vt:lpstr>Сев.Ирландия_Against</vt:lpstr>
      <vt:lpstr>Сев.Ирландия_Played</vt:lpstr>
      <vt:lpstr>Словакия_Against</vt:lpstr>
      <vt:lpstr>Словакия_Played</vt:lpstr>
      <vt:lpstr>Турция_Against</vt:lpstr>
      <vt:lpstr>Турция_Played</vt:lpstr>
      <vt:lpstr>Украина_Against</vt:lpstr>
      <vt:lpstr>Украина_Played</vt:lpstr>
      <vt:lpstr>Уэльс_Against</vt:lpstr>
      <vt:lpstr>Уэльс_Played</vt:lpstr>
      <vt:lpstr>Франция_Against</vt:lpstr>
      <vt:lpstr>Франция_Played</vt:lpstr>
      <vt:lpstr>Хорватия_Against</vt:lpstr>
      <vt:lpstr>Хорватия_Played</vt:lpstr>
      <vt:lpstr>Чехия_Against</vt:lpstr>
      <vt:lpstr>Чехия_Played</vt:lpstr>
      <vt:lpstr>Швейцария_Against</vt:lpstr>
      <vt:lpstr>Швейцария_Played</vt:lpstr>
      <vt:lpstr>Швеция_Against</vt:lpstr>
      <vt:lpstr>Швеция_Played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UEFA EURO 2016 Electronic</dc:title>
  <dc:creator>GOA</dc:creator>
  <cp:lastModifiedBy>Oleg Gnetnev</cp:lastModifiedBy>
  <cp:lastPrinted>2016-01-06T19:24:34Z</cp:lastPrinted>
  <dcterms:created xsi:type="dcterms:W3CDTF">2005-12-11T16:29:09Z</dcterms:created>
  <dcterms:modified xsi:type="dcterms:W3CDTF">2016-06-12T19:33:23Z</dcterms:modified>
</cp:coreProperties>
</file>