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15" windowWidth="16035" windowHeight="5625"/>
  </bookViews>
  <sheets>
    <sheet name="4-гранник" sheetId="1" r:id="rId1"/>
    <sheet name="Фундамент" sheetId="6" r:id="rId2"/>
    <sheet name="Стена р.м2" sheetId="5" r:id="rId3"/>
    <sheet name="Кровля р.м2" sheetId="2" r:id="rId4"/>
    <sheet name="Пол, м2" sheetId="3" r:id="rId5"/>
    <sheet name="Ц+Р" sheetId="4" r:id="rId6"/>
  </sheets>
  <externalReferences>
    <externalReference r:id="rId7"/>
  </externalReferences>
  <definedNames>
    <definedName name="_xlnm._FilterDatabase" localSheetId="5" hidden="1">'Ц+Р'!$A$1:$I$39</definedName>
    <definedName name="ВН">#REF!</definedName>
    <definedName name="ДВЕРИ">#REF!</definedName>
    <definedName name="КРОВЛЯ">'Кровля р.м2'!$F$3:$F$5</definedName>
    <definedName name="ЛЕСТНИЦА">#REF!</definedName>
    <definedName name="ОКНА">#REF!</definedName>
    <definedName name="ПОЛ">'Пол, м2'!$F$3:$F$4</definedName>
    <definedName name="СТЕНЫ">'Стена р.м2'!$F$3:$F$4</definedName>
    <definedName name="ТАБЛИЦА">Фундамент!$H$5:$I$6</definedName>
    <definedName name="ТАБЛИЦА2">'Кровля р.м2'!$F$3:$G$5</definedName>
    <definedName name="ТАБЛИЦА3">'Стена р.м2'!$F$3:$G$4</definedName>
    <definedName name="ТАБЛИЦА4">'Пол, м2'!$F$3:$G$4</definedName>
    <definedName name="ТАБЛИЦА5">#REF!</definedName>
    <definedName name="ТАБЛИЦА6">#REF!</definedName>
    <definedName name="ТАБЛИЦА7">#REF!</definedName>
    <definedName name="ТАБЛИЦА8">#REF!</definedName>
    <definedName name="ТАБЛИЦА9">#REF!</definedName>
    <definedName name="ФАНЕРА">#REF!</definedName>
    <definedName name="ФУНДАМЕНТЫ">Фундамент!$H$5:$H$6</definedName>
  </definedNames>
  <calcPr calcId="145621" refMode="R1C1"/>
</workbook>
</file>

<file path=xl/calcChain.xml><?xml version="1.0" encoding="utf-8"?>
<calcChain xmlns="http://schemas.openxmlformats.org/spreadsheetml/2006/main">
  <c r="E30" i="1" l="1"/>
  <c r="E29" i="1"/>
  <c r="E28" i="1"/>
  <c r="E27" i="1"/>
  <c r="E24" i="1"/>
  <c r="F24" i="1" s="1"/>
  <c r="E23" i="1"/>
  <c r="D23" i="1"/>
  <c r="D22" i="1"/>
  <c r="E21" i="1"/>
  <c r="F21" i="1" s="1"/>
  <c r="E22" i="1"/>
  <c r="E10" i="6"/>
  <c r="C11" i="6"/>
  <c r="C10" i="6"/>
  <c r="E12" i="6"/>
  <c r="E20" i="1"/>
  <c r="E19" i="1"/>
  <c r="G4" i="3"/>
  <c r="G3" i="3"/>
  <c r="D10" i="3"/>
  <c r="C10" i="3"/>
  <c r="E26" i="1"/>
  <c r="G5" i="2"/>
  <c r="G4" i="2"/>
  <c r="G3" i="2"/>
  <c r="C12" i="2"/>
  <c r="C4" i="2"/>
  <c r="C23" i="2"/>
  <c r="C14" i="2"/>
  <c r="C13" i="2"/>
  <c r="C21" i="2"/>
  <c r="C24" i="2"/>
  <c r="C15" i="2"/>
  <c r="C6" i="2"/>
  <c r="C20" i="2"/>
  <c r="C11" i="2"/>
  <c r="C22" i="2"/>
  <c r="G4" i="5"/>
  <c r="G3" i="5"/>
  <c r="C26" i="2" l="1"/>
  <c r="C17" i="2"/>
  <c r="I5" i="6"/>
  <c r="E11" i="6" l="1"/>
  <c r="C17" i="6"/>
  <c r="C19" i="6" s="1"/>
  <c r="C21" i="6" s="1"/>
  <c r="C16" i="6"/>
  <c r="C9" i="6"/>
  <c r="D26" i="1"/>
  <c r="D25" i="1"/>
  <c r="C18" i="6" l="1"/>
  <c r="C20" i="6" s="1"/>
  <c r="C19" i="5"/>
  <c r="C18" i="5"/>
  <c r="C17" i="5"/>
  <c r="C16" i="5"/>
  <c r="C15" i="5"/>
  <c r="C23" i="6" l="1"/>
  <c r="C20" i="5"/>
  <c r="F43" i="1"/>
  <c r="F42" i="1"/>
  <c r="F41" i="1"/>
  <c r="F40" i="1"/>
  <c r="F39" i="1"/>
  <c r="F38" i="1"/>
  <c r="F37" i="1"/>
  <c r="F36" i="1"/>
  <c r="F35" i="1"/>
  <c r="F34" i="1"/>
  <c r="F33" i="1"/>
  <c r="F32" i="1"/>
  <c r="D4" i="3"/>
  <c r="D6" i="3"/>
  <c r="D2" i="3"/>
  <c r="C6" i="3"/>
  <c r="C28" i="6" l="1"/>
  <c r="E28" i="6" s="1"/>
  <c r="C27" i="6"/>
  <c r="E27" i="6" s="1"/>
  <c r="E29" i="6" s="1"/>
  <c r="I6" i="6" s="1"/>
  <c r="C8" i="5"/>
  <c r="C5" i="3"/>
  <c r="C21" i="4" l="1"/>
  <c r="C20" i="4"/>
  <c r="C19" i="4"/>
  <c r="C16" i="4"/>
  <c r="C15" i="4"/>
  <c r="C14" i="4"/>
  <c r="C13" i="4"/>
  <c r="C12" i="4"/>
  <c r="C2" i="3"/>
  <c r="D28" i="1"/>
  <c r="D27" i="1"/>
  <c r="F44" i="1"/>
  <c r="F31" i="1"/>
  <c r="F30" i="1"/>
  <c r="F28" i="1"/>
  <c r="F27" i="1"/>
  <c r="C5" i="2"/>
  <c r="C3" i="2"/>
  <c r="C2" i="2"/>
  <c r="C9" i="5" l="1"/>
  <c r="C7" i="5"/>
  <c r="C6" i="5"/>
  <c r="C5" i="5"/>
  <c r="C4" i="5"/>
  <c r="G31" i="4"/>
  <c r="C31" i="4"/>
  <c r="G11" i="4"/>
  <c r="C11" i="4"/>
  <c r="G30" i="4"/>
  <c r="C30" i="4"/>
  <c r="G29" i="4"/>
  <c r="C29" i="4"/>
  <c r="G28" i="4"/>
  <c r="C28" i="4"/>
  <c r="C10" i="4"/>
  <c r="C9" i="4"/>
  <c r="C26" i="4"/>
  <c r="C25" i="4"/>
  <c r="F25" i="1"/>
  <c r="D19" i="1"/>
  <c r="D20" i="1" l="1"/>
  <c r="F20" i="1" s="1"/>
  <c r="F19" i="1"/>
  <c r="C3" i="3"/>
  <c r="C8" i="2"/>
  <c r="C10" i="5"/>
  <c r="F22" i="1" l="1"/>
  <c r="F23" i="1"/>
  <c r="F26" i="1"/>
  <c r="F29" i="1" l="1"/>
  <c r="F45" i="1" l="1"/>
  <c r="G21" i="1" s="1"/>
  <c r="G29" i="1" l="1"/>
  <c r="G42" i="1"/>
  <c r="G39" i="1"/>
  <c r="G30" i="1"/>
  <c r="G20" i="1"/>
  <c r="G35" i="1"/>
  <c r="G26" i="1"/>
  <c r="G31" i="1"/>
  <c r="G25" i="1"/>
  <c r="G27" i="1"/>
  <c r="G37" i="1"/>
  <c r="G23" i="1"/>
  <c r="G32" i="1"/>
  <c r="G41" i="1"/>
  <c r="G22" i="1"/>
  <c r="G44" i="1"/>
  <c r="G19" i="1"/>
  <c r="G24" i="1"/>
  <c r="G38" i="1"/>
  <c r="G43" i="1"/>
  <c r="G28" i="1"/>
  <c r="G33" i="1"/>
  <c r="G40" i="1"/>
  <c r="G36" i="1"/>
  <c r="G34" i="1"/>
  <c r="G45" i="1" l="1"/>
</calcChain>
</file>

<file path=xl/sharedStrings.xml><?xml version="1.0" encoding="utf-8"?>
<sst xmlns="http://schemas.openxmlformats.org/spreadsheetml/2006/main" count="211" uniqueCount="135">
  <si>
    <t>Дом</t>
  </si>
  <si>
    <t>l</t>
  </si>
  <si>
    <t>b</t>
  </si>
  <si>
    <t>h1</t>
  </si>
  <si>
    <t>h2</t>
  </si>
  <si>
    <t>k (угол)</t>
  </si>
  <si>
    <t>m</t>
  </si>
  <si>
    <t>площадь пола 1, s1</t>
  </si>
  <si>
    <t>площадь стен, ss1</t>
  </si>
  <si>
    <t>площадь стен, ss2</t>
  </si>
  <si>
    <t>плошадь кровли, м2</t>
  </si>
  <si>
    <t>Позиция</t>
  </si>
  <si>
    <t>р/м2</t>
  </si>
  <si>
    <t>фасад</t>
  </si>
  <si>
    <t>сендвич панель, р/м2</t>
  </si>
  <si>
    <t>кровля</t>
  </si>
  <si>
    <t>профлист оцинковка, р/м2</t>
  </si>
  <si>
    <t>теплоиз</t>
  </si>
  <si>
    <t>вспененный полиэтилен 10мм,ал-1 р/м2</t>
  </si>
  <si>
    <t>вспененный полиэтилен 10мм,мет-1 р/м2</t>
  </si>
  <si>
    <t>вспененный полиэтилен 10мм, р/м2</t>
  </si>
  <si>
    <t>сайдинг виниловый, р/м2</t>
  </si>
  <si>
    <t>сайдинг метал, р/м2</t>
  </si>
  <si>
    <t>вагонка дерево от, р/м2</t>
  </si>
  <si>
    <t>стекло (самое дешевое), р/м2</t>
  </si>
  <si>
    <t>банерная печать от, р/м2</t>
  </si>
  <si>
    <t>вн</t>
  </si>
  <si>
    <t>гипсокартон, р/м2</t>
  </si>
  <si>
    <t>материал</t>
  </si>
  <si>
    <t>доска обрезная</t>
  </si>
  <si>
    <t xml:space="preserve">пароизоляция, м2 (1500х46,7) </t>
  </si>
  <si>
    <t>гидроветрозащита, м2 (60м2)</t>
  </si>
  <si>
    <t>панель Q-home, м3</t>
  </si>
  <si>
    <t>панель Q-home, 2700x900x88 mm</t>
  </si>
  <si>
    <t>панель Q-home, 2700x900x110 mm</t>
  </si>
  <si>
    <t>Базальтовые маты</t>
  </si>
  <si>
    <t>длина, м</t>
  </si>
  <si>
    <t>ширина, м</t>
  </si>
  <si>
    <t>толщина, м</t>
  </si>
  <si>
    <t>цена м3</t>
  </si>
  <si>
    <t>ЛайтБатс, р/м2</t>
  </si>
  <si>
    <t>Rokwool Фасад, р/м2</t>
  </si>
  <si>
    <t>пенополистирольная крошка р/м2</t>
  </si>
  <si>
    <t>бетон от, р/м3</t>
  </si>
  <si>
    <t>Базалбтин</t>
  </si>
  <si>
    <t>панель МДФ 1,22х2,44</t>
  </si>
  <si>
    <t>мягкая кровля, р,м2</t>
  </si>
  <si>
    <t>кровля,проф.лист, р.м2</t>
  </si>
  <si>
    <t>OSB 6мм 1,22х2,244</t>
  </si>
  <si>
    <t>OSB 9мм 1,22х2,244</t>
  </si>
  <si>
    <t>OSB 12мм 1,22х2,244</t>
  </si>
  <si>
    <t>OSB 18мм 1,22х2,244</t>
  </si>
  <si>
    <t>ЦСП 8мм 1,22х2,44</t>
  </si>
  <si>
    <t>ЦСП 10мм 1,25х2,7 (3,2)</t>
  </si>
  <si>
    <t>ЦСП 12мм 1,25х2,7 (3,2)</t>
  </si>
  <si>
    <t>блок хаус, р/м2</t>
  </si>
  <si>
    <t>имитация бруса, рм2</t>
  </si>
  <si>
    <t>Структура стены</t>
  </si>
  <si>
    <t>гидроветрозащита</t>
  </si>
  <si>
    <t>утеплитель</t>
  </si>
  <si>
    <t>пароизоляция</t>
  </si>
  <si>
    <t>массив</t>
  </si>
  <si>
    <t>внутренняя облицовка</t>
  </si>
  <si>
    <t>Итого</t>
  </si>
  <si>
    <t>гидроветозащита</t>
  </si>
  <si>
    <t>внутренняя отделка</t>
  </si>
  <si>
    <t>окна, м2</t>
  </si>
  <si>
    <t>двери, шт</t>
  </si>
  <si>
    <t>фундамент</t>
  </si>
  <si>
    <t>S, m2</t>
  </si>
  <si>
    <t>р./м2</t>
  </si>
  <si>
    <t>Всего</t>
  </si>
  <si>
    <t>двери</t>
  </si>
  <si>
    <t>площадь внутренних перегородок, м2</t>
  </si>
  <si>
    <t>длина стропил. ноги с выносом, м</t>
  </si>
  <si>
    <t>утеплитель 2х50мм</t>
  </si>
  <si>
    <t>стропильная система, каркас</t>
  </si>
  <si>
    <t>Пол</t>
  </si>
  <si>
    <t>лаги</t>
  </si>
  <si>
    <t>отделка</t>
  </si>
  <si>
    <t>фанера,  6мм, р/м2</t>
  </si>
  <si>
    <t>фанера, 10мм, р/м2</t>
  </si>
  <si>
    <t>фанера, 12мм, р/м2</t>
  </si>
  <si>
    <t>доска половая, 28мм</t>
  </si>
  <si>
    <t>ламинат</t>
  </si>
  <si>
    <t>линолеум</t>
  </si>
  <si>
    <t>лестница (каркас)</t>
  </si>
  <si>
    <t>площадь пола 2, s2</t>
  </si>
  <si>
    <t>фанера, osb 12мм</t>
  </si>
  <si>
    <t>отопление</t>
  </si>
  <si>
    <t>вентиляция</t>
  </si>
  <si>
    <t>водоснабжение</t>
  </si>
  <si>
    <t>канализование</t>
  </si>
  <si>
    <t>электричество</t>
  </si>
  <si>
    <t>ливневка (водоотведение)</t>
  </si>
  <si>
    <t>Структура стены (к. мини)</t>
  </si>
  <si>
    <t>горбыль</t>
  </si>
  <si>
    <t>утеплитель, 2х50мм</t>
  </si>
  <si>
    <t>каркас</t>
  </si>
  <si>
    <t>vk (вынос кровли)</t>
  </si>
  <si>
    <t xml:space="preserve">площадь перекрытия (чердак), s2 </t>
  </si>
  <si>
    <t>Кровля, металлочерепица</t>
  </si>
  <si>
    <t>разложить</t>
  </si>
  <si>
    <t>%</t>
  </si>
  <si>
    <t>свая (длина)</t>
  </si>
  <si>
    <t>свая (диаметр)</t>
  </si>
  <si>
    <t>свая (штук)</t>
  </si>
  <si>
    <t>объем сваи, м3</t>
  </si>
  <si>
    <t>суммарный объем</t>
  </si>
  <si>
    <t>арматура</t>
  </si>
  <si>
    <t>пирамида армирования</t>
  </si>
  <si>
    <t>Фундамент (буронабивные сваи)</t>
  </si>
  <si>
    <t>арматура, м</t>
  </si>
  <si>
    <t>Фундамент (ленточный)</t>
  </si>
  <si>
    <t>толщина</t>
  </si>
  <si>
    <t>высота</t>
  </si>
  <si>
    <t>объем бетона</t>
  </si>
  <si>
    <t>арматура (диаметр), мм</t>
  </si>
  <si>
    <t>периметр фундамента</t>
  </si>
  <si>
    <t>Кровля Металлочерепица цена, р/м2</t>
  </si>
  <si>
    <t>Кровля мягкая цена, р/м2</t>
  </si>
  <si>
    <t>Кровля Профлист (Оцинковка) цена, р/м2</t>
  </si>
  <si>
    <t>Кровля мягкая</t>
  </si>
  <si>
    <t>Кровля Профлист (Оцинковка)</t>
  </si>
  <si>
    <t>Металлочерепица</t>
  </si>
  <si>
    <t>Мягкая кровля</t>
  </si>
  <si>
    <t>Профлист (Оцинковка)</t>
  </si>
  <si>
    <t>Структура стены 1</t>
  </si>
  <si>
    <t>Пол, вид 1</t>
  </si>
  <si>
    <t>Пол, вид 2</t>
  </si>
  <si>
    <t>Фанера 6 мм</t>
  </si>
  <si>
    <t>Панель Q-Home 88</t>
  </si>
  <si>
    <t>Окна В</t>
  </si>
  <si>
    <t>Двери супердеревянные</t>
  </si>
  <si>
    <t>Лестница не такая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</si>
</sst>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"/>
    <numFmt numFmtId="165" formatCode="_-* #,##0_р_._-;\-* #,##0_р_._-;_-* &quot;-&quot;??_р_.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i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164" fontId="0" fillId="0" borderId="0" xfId="0" applyNumberFormat="1"/>
    <xf numFmtId="0" fontId="1" fillId="0" borderId="0" xfId="1"/>
    <xf numFmtId="0" fontId="2" fillId="0" borderId="0" xfId="1" applyFont="1"/>
    <xf numFmtId="1" fontId="1" fillId="0" borderId="0" xfId="1" applyNumberFormat="1"/>
    <xf numFmtId="165" fontId="1" fillId="0" borderId="0" xfId="2" applyNumberFormat="1" applyFont="1"/>
    <xf numFmtId="0" fontId="1" fillId="0" borderId="0" xfId="1" applyNumberFormat="1"/>
    <xf numFmtId="0" fontId="3" fillId="0" borderId="0" xfId="3"/>
    <xf numFmtId="0" fontId="3" fillId="0" borderId="0" xfId="3" applyFont="1"/>
    <xf numFmtId="1" fontId="3" fillId="0" borderId="0" xfId="3" applyNumberFormat="1"/>
    <xf numFmtId="1" fontId="0" fillId="0" borderId="0" xfId="0" applyNumberFormat="1"/>
    <xf numFmtId="165" fontId="0" fillId="0" borderId="0" xfId="5" applyNumberFormat="1" applyFont="1"/>
    <xf numFmtId="0" fontId="0" fillId="0" borderId="1" xfId="0" applyBorder="1"/>
    <xf numFmtId="0" fontId="2" fillId="0" borderId="1" xfId="0" applyFont="1" applyBorder="1" applyAlignment="1">
      <alignment horizontal="center"/>
    </xf>
    <xf numFmtId="165" fontId="0" fillId="0" borderId="1" xfId="0" applyNumberFormat="1" applyBorder="1"/>
    <xf numFmtId="165" fontId="0" fillId="2" borderId="0" xfId="5" applyNumberFormat="1" applyFont="1" applyFill="1"/>
    <xf numFmtId="0" fontId="4" fillId="0" borderId="0" xfId="3" applyFont="1" applyAlignment="1">
      <alignment horizontal="center"/>
    </xf>
    <xf numFmtId="165" fontId="2" fillId="0" borderId="0" xfId="5" applyNumberFormat="1" applyFont="1"/>
    <xf numFmtId="1" fontId="0" fillId="0" borderId="0" xfId="0" applyNumberFormat="1" applyAlignment="1"/>
    <xf numFmtId="0" fontId="0" fillId="0" borderId="0" xfId="1" applyFont="1"/>
    <xf numFmtId="1" fontId="1" fillId="0" borderId="0" xfId="1" applyNumberFormat="1" applyAlignment="1">
      <alignment horizontal="right"/>
    </xf>
    <xf numFmtId="0" fontId="2" fillId="0" borderId="1" xfId="0" applyFont="1" applyBorder="1"/>
    <xf numFmtId="0" fontId="4" fillId="0" borderId="1" xfId="3" applyFont="1" applyBorder="1" applyAlignment="1">
      <alignment horizontal="center"/>
    </xf>
    <xf numFmtId="1" fontId="2" fillId="0" borderId="1" xfId="0" applyNumberFormat="1" applyFont="1" applyBorder="1"/>
    <xf numFmtId="165" fontId="0" fillId="0" borderId="1" xfId="5" applyNumberFormat="1" applyFont="1" applyBorder="1"/>
    <xf numFmtId="0" fontId="0" fillId="0" borderId="0" xfId="0" applyAlignment="1">
      <alignment horizontal="left"/>
    </xf>
    <xf numFmtId="0" fontId="4" fillId="0" borderId="1" xfId="3" applyFont="1" applyBorder="1"/>
    <xf numFmtId="0" fontId="3" fillId="0" borderId="1" xfId="3" applyBorder="1"/>
    <xf numFmtId="0" fontId="4" fillId="0" borderId="1" xfId="3" applyFont="1" applyBorder="1" applyAlignment="1">
      <alignment horizontal="right"/>
    </xf>
    <xf numFmtId="165" fontId="4" fillId="0" borderId="1" xfId="4" applyNumberFormat="1" applyFont="1" applyBorder="1"/>
    <xf numFmtId="9" fontId="0" fillId="0" borderId="0" xfId="6" applyFont="1"/>
    <xf numFmtId="9" fontId="0" fillId="0" borderId="1" xfId="0" applyNumberFormat="1" applyBorder="1"/>
    <xf numFmtId="165" fontId="2" fillId="0" borderId="1" xfId="5" applyNumberFormat="1" applyFont="1" applyBorder="1"/>
    <xf numFmtId="0" fontId="0" fillId="2" borderId="0" xfId="0" applyFill="1"/>
    <xf numFmtId="165" fontId="0" fillId="0" borderId="0" xfId="0" applyNumberFormat="1"/>
    <xf numFmtId="165" fontId="3" fillId="0" borderId="0" xfId="3" applyNumberFormat="1"/>
    <xf numFmtId="1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</cellXfs>
  <cellStyles count="7">
    <cellStyle name="Обычный" xfId="0" builtinId="0"/>
    <cellStyle name="Обычный 2" xfId="1"/>
    <cellStyle name="Обычный 3" xfId="3"/>
    <cellStyle name="Процентный" xfId="6" builtinId="5"/>
    <cellStyle name="Финансовый" xfId="5" builtinId="3"/>
    <cellStyle name="Финансовый 2" xfId="2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2;&#1089;&#1095;&#1105;&#1090;%20&#1089;&#1089;%20&#1076;&#1086;&#1084;&#1072;%206&#1093;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утепление стен"/>
      <sheetName val="Стена р.м2"/>
      <sheetName val="Ц+Р"/>
      <sheetName val="Лист3"/>
    </sheetNames>
    <sheetDataSet>
      <sheetData sheetId="0"/>
      <sheetData sheetId="1"/>
      <sheetData sheetId="2"/>
      <sheetData sheetId="3">
        <row r="9">
          <cell r="C9">
            <v>120</v>
          </cell>
        </row>
        <row r="14">
          <cell r="C14">
            <v>19.998571530604959</v>
          </cell>
        </row>
        <row r="15">
          <cell r="C15">
            <v>14.666666666666666</v>
          </cell>
        </row>
        <row r="20">
          <cell r="C20">
            <v>86.65</v>
          </cell>
        </row>
        <row r="36">
          <cell r="C36">
            <v>220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5"/>
  <sheetViews>
    <sheetView tabSelected="1" zoomScaleNormal="100" workbookViewId="0">
      <selection activeCell="H3" sqref="H3"/>
    </sheetView>
  </sheetViews>
  <sheetFormatPr defaultRowHeight="15" x14ac:dyDescent="0.25"/>
  <cols>
    <col min="2" max="3" width="36.42578125" customWidth="1"/>
    <col min="5" max="5" width="11.140625" bestFit="1" customWidth="1"/>
    <col min="6" max="6" width="12.140625" bestFit="1" customWidth="1"/>
  </cols>
  <sheetData>
    <row r="3" spans="1:6" x14ac:dyDescent="0.25">
      <c r="A3" s="23" t="s">
        <v>0</v>
      </c>
      <c r="B3" s="14"/>
      <c r="C3" s="14"/>
      <c r="D3" s="15" t="s">
        <v>6</v>
      </c>
      <c r="E3" s="14"/>
      <c r="F3" s="14"/>
    </row>
    <row r="4" spans="1:6" x14ac:dyDescent="0.25">
      <c r="B4" s="2" t="s">
        <v>1</v>
      </c>
      <c r="C4" s="2"/>
      <c r="D4">
        <v>7.875</v>
      </c>
    </row>
    <row r="5" spans="1:6" x14ac:dyDescent="0.25">
      <c r="B5" s="2" t="s">
        <v>2</v>
      </c>
      <c r="C5" s="2"/>
      <c r="D5">
        <v>5.25</v>
      </c>
    </row>
    <row r="6" spans="1:6" x14ac:dyDescent="0.25">
      <c r="B6" s="2" t="s">
        <v>3</v>
      </c>
      <c r="C6" s="2"/>
      <c r="D6">
        <v>2.5</v>
      </c>
    </row>
    <row r="7" spans="1:6" x14ac:dyDescent="0.25">
      <c r="B7" s="2" t="s">
        <v>4</v>
      </c>
      <c r="C7" s="2"/>
      <c r="D7">
        <v>1.7</v>
      </c>
    </row>
    <row r="8" spans="1:6" x14ac:dyDescent="0.25">
      <c r="B8" s="2" t="s">
        <v>5</v>
      </c>
      <c r="C8" s="2"/>
      <c r="D8">
        <v>25</v>
      </c>
    </row>
    <row r="9" spans="1:6" x14ac:dyDescent="0.25">
      <c r="B9" s="2" t="s">
        <v>99</v>
      </c>
      <c r="C9" s="2"/>
      <c r="D9">
        <v>0.5</v>
      </c>
    </row>
    <row r="10" spans="1:6" x14ac:dyDescent="0.25">
      <c r="B10" s="2" t="s">
        <v>66</v>
      </c>
      <c r="C10" s="2"/>
      <c r="D10">
        <v>15</v>
      </c>
    </row>
    <row r="11" spans="1:6" x14ac:dyDescent="0.25">
      <c r="B11" s="2" t="s">
        <v>67</v>
      </c>
      <c r="C11" s="2"/>
      <c r="D11">
        <v>6</v>
      </c>
    </row>
    <row r="12" spans="1:6" x14ac:dyDescent="0.25">
      <c r="B12" s="2" t="s">
        <v>68</v>
      </c>
      <c r="C12" s="2"/>
    </row>
    <row r="18" spans="1:8" x14ac:dyDescent="0.25">
      <c r="A18" s="14"/>
      <c r="B18" s="15" t="s">
        <v>11</v>
      </c>
      <c r="C18" s="15"/>
      <c r="D18" s="15" t="s">
        <v>69</v>
      </c>
      <c r="E18" s="15" t="s">
        <v>70</v>
      </c>
      <c r="F18" s="15" t="s">
        <v>71</v>
      </c>
      <c r="G18" s="15" t="s">
        <v>103</v>
      </c>
    </row>
    <row r="19" spans="1:8" x14ac:dyDescent="0.25">
      <c r="B19" s="2" t="s">
        <v>7</v>
      </c>
      <c r="C19" s="2" t="s">
        <v>128</v>
      </c>
      <c r="D19" s="3">
        <f>D4*D5</f>
        <v>41.34375</v>
      </c>
      <c r="E19" s="13">
        <f>VLOOKUP(C19,ТАБЛИЦА4,2,0)</f>
        <v>967.3</v>
      </c>
      <c r="F19" s="13">
        <f t="shared" ref="F19:F20" si="0">E19*D19</f>
        <v>39991.809374999997</v>
      </c>
      <c r="G19" s="32" t="e">
        <f>F19/$F$45</f>
        <v>#REF!</v>
      </c>
    </row>
    <row r="20" spans="1:8" x14ac:dyDescent="0.25">
      <c r="B20" s="2" t="s">
        <v>87</v>
      </c>
      <c r="C20" s="2" t="s">
        <v>129</v>
      </c>
      <c r="D20" s="3">
        <f>D19</f>
        <v>41.34375</v>
      </c>
      <c r="E20" s="13">
        <f>VLOOKUP(C20,ТАБЛИЦА4,2,0)</f>
        <v>623.72319269013701</v>
      </c>
      <c r="F20" s="13">
        <f t="shared" si="0"/>
        <v>25787.055747782852</v>
      </c>
      <c r="G20" s="32" t="e">
        <f t="shared" ref="G20:G44" si="1">F20/$F$45</f>
        <v>#REF!</v>
      </c>
    </row>
    <row r="21" spans="1:8" x14ac:dyDescent="0.25">
      <c r="B21" s="2" t="s">
        <v>100</v>
      </c>
      <c r="C21" s="2" t="s">
        <v>130</v>
      </c>
      <c r="D21" s="3">
        <v>1</v>
      </c>
      <c r="E21" s="13" t="e">
        <f>VLOOKUP(C21,ТАБЛИЦА5,2,0)</f>
        <v>#REF!</v>
      </c>
      <c r="F21" s="13" t="e">
        <f>E21*D21</f>
        <v>#REF!</v>
      </c>
      <c r="G21" s="32" t="e">
        <f>F21/$F$45</f>
        <v>#REF!</v>
      </c>
    </row>
    <row r="22" spans="1:8" x14ac:dyDescent="0.25">
      <c r="B22" s="2" t="s">
        <v>8</v>
      </c>
      <c r="C22" s="2" t="s">
        <v>127</v>
      </c>
      <c r="D22" s="3">
        <f>(D4*2+D5*2)*D6</f>
        <v>65.625</v>
      </c>
      <c r="E22" s="17">
        <f>VLOOKUP(C22,ТАБЛИЦА3,2,0)</f>
        <v>1341.3152381972716</v>
      </c>
      <c r="F22" s="13">
        <f>E22*D22</f>
        <v>88023.812506695947</v>
      </c>
      <c r="G22" s="32" t="e">
        <f t="shared" si="1"/>
        <v>#REF!</v>
      </c>
    </row>
    <row r="23" spans="1:8" x14ac:dyDescent="0.25">
      <c r="B23" s="2" t="s">
        <v>9</v>
      </c>
      <c r="C23" s="2" t="s">
        <v>127</v>
      </c>
      <c r="D23" s="3">
        <f>(D4*2+D5*2)*D7</f>
        <v>44.625</v>
      </c>
      <c r="E23" s="17">
        <f>VLOOKUP(C23,ТАБЛИЦА3,2,0)</f>
        <v>1341.3152381972716</v>
      </c>
      <c r="F23" s="13">
        <f t="shared" ref="F23:F44" si="2">E23*D23</f>
        <v>59856.192504553248</v>
      </c>
      <c r="G23" s="32" t="e">
        <f t="shared" si="1"/>
        <v>#REF!</v>
      </c>
    </row>
    <row r="24" spans="1:8" x14ac:dyDescent="0.25">
      <c r="B24" s="2" t="s">
        <v>73</v>
      </c>
      <c r="C24" s="2" t="s">
        <v>131</v>
      </c>
      <c r="D24" s="3">
        <v>25.5</v>
      </c>
      <c r="E24" s="17" t="e">
        <f>VLOOKUP(C24,ТАБЛИЦА6,2,0)</f>
        <v>#REF!</v>
      </c>
      <c r="F24" s="13" t="e">
        <f>E24*D24</f>
        <v>#REF!</v>
      </c>
      <c r="G24" s="32" t="e">
        <f t="shared" si="1"/>
        <v>#REF!</v>
      </c>
    </row>
    <row r="25" spans="1:8" x14ac:dyDescent="0.25">
      <c r="B25" s="2" t="s">
        <v>74</v>
      </c>
      <c r="C25" s="40"/>
      <c r="D25" s="3">
        <f>(D5/2+D9)/COS(RADIANS(D8))</f>
        <v>3.4480559967577866</v>
      </c>
      <c r="E25" s="13"/>
      <c r="F25" s="13">
        <f t="shared" si="2"/>
        <v>0</v>
      </c>
      <c r="G25" s="32" t="e">
        <f t="shared" si="1"/>
        <v>#REF!</v>
      </c>
    </row>
    <row r="26" spans="1:8" x14ac:dyDescent="0.25">
      <c r="B26" s="2" t="s">
        <v>10</v>
      </c>
      <c r="C26" s="2" t="s">
        <v>124</v>
      </c>
      <c r="D26" s="3">
        <f>(D4+D9)*D25*2</f>
        <v>57.754937945692923</v>
      </c>
      <c r="E26" s="17">
        <f>VLOOKUP(C26,ТАБЛИЦА2,2,0)</f>
        <v>734.61523819727165</v>
      </c>
      <c r="F26" s="13">
        <f t="shared" si="2"/>
        <v>42427.657496043852</v>
      </c>
      <c r="G26" s="32" t="e">
        <f t="shared" si="1"/>
        <v>#REF!</v>
      </c>
    </row>
    <row r="27" spans="1:8" x14ac:dyDescent="0.25">
      <c r="B27" s="2" t="s">
        <v>66</v>
      </c>
      <c r="C27" s="2" t="s">
        <v>132</v>
      </c>
      <c r="D27" s="3">
        <f>D10</f>
        <v>15</v>
      </c>
      <c r="E27" t="e">
        <f>VLOOKUP(C27,ТАБЛИЦА7,2,0)</f>
        <v>#REF!</v>
      </c>
      <c r="F27" s="13" t="e">
        <f t="shared" si="2"/>
        <v>#REF!</v>
      </c>
      <c r="G27" s="32" t="e">
        <f t="shared" si="1"/>
        <v>#REF!</v>
      </c>
    </row>
    <row r="28" spans="1:8" x14ac:dyDescent="0.25">
      <c r="B28" s="2" t="s">
        <v>72</v>
      </c>
      <c r="C28" s="2" t="s">
        <v>133</v>
      </c>
      <c r="D28" s="3">
        <f>D11</f>
        <v>6</v>
      </c>
      <c r="E28" t="e">
        <f>VLOOKUP(C28,ТАБЛИЦА8,2,0)</f>
        <v>#REF!</v>
      </c>
      <c r="F28" s="13" t="e">
        <f t="shared" si="2"/>
        <v>#REF!</v>
      </c>
      <c r="G28" s="32" t="e">
        <f t="shared" si="1"/>
        <v>#REF!</v>
      </c>
    </row>
    <row r="29" spans="1:8" x14ac:dyDescent="0.25">
      <c r="B29" s="2" t="s">
        <v>68</v>
      </c>
      <c r="C29" s="2" t="s">
        <v>111</v>
      </c>
      <c r="D29" s="3">
        <v>1</v>
      </c>
      <c r="E29" s="35">
        <f>VLOOKUP(C29,ТАБЛИЦА,2,0)</f>
        <v>10611</v>
      </c>
      <c r="F29" s="13">
        <f t="shared" si="2"/>
        <v>10611</v>
      </c>
      <c r="G29" s="32" t="e">
        <f t="shared" si="1"/>
        <v>#REF!</v>
      </c>
      <c r="H29" t="s">
        <v>102</v>
      </c>
    </row>
    <row r="30" spans="1:8" x14ac:dyDescent="0.25">
      <c r="B30" s="2" t="s">
        <v>86</v>
      </c>
      <c r="C30" s="2" t="s">
        <v>134</v>
      </c>
      <c r="D30" s="3">
        <v>1</v>
      </c>
      <c r="E30" t="e">
        <f>VLOOKUP(C30,ТАБЛИЦА9,2,0)</f>
        <v>#REF!</v>
      </c>
      <c r="F30" s="13" t="e">
        <f t="shared" si="2"/>
        <v>#REF!</v>
      </c>
      <c r="G30" s="32" t="e">
        <f t="shared" si="1"/>
        <v>#REF!</v>
      </c>
    </row>
    <row r="31" spans="1:8" ht="21.75" customHeight="1" x14ac:dyDescent="0.25">
      <c r="F31" s="13">
        <f t="shared" si="2"/>
        <v>0</v>
      </c>
      <c r="G31" s="32" t="e">
        <f t="shared" si="1"/>
        <v>#REF!</v>
      </c>
    </row>
    <row r="32" spans="1:8" ht="21" customHeight="1" x14ac:dyDescent="0.25">
      <c r="B32" s="27" t="s">
        <v>89</v>
      </c>
      <c r="C32" s="41"/>
      <c r="F32" s="13">
        <f t="shared" si="2"/>
        <v>0</v>
      </c>
      <c r="G32" s="32" t="e">
        <f t="shared" si="1"/>
        <v>#REF!</v>
      </c>
    </row>
    <row r="33" spans="1:7" x14ac:dyDescent="0.25">
      <c r="B33" s="27" t="s">
        <v>90</v>
      </c>
      <c r="C33" s="41"/>
      <c r="F33" s="13">
        <f t="shared" si="2"/>
        <v>0</v>
      </c>
      <c r="G33" s="32" t="e">
        <f t="shared" si="1"/>
        <v>#REF!</v>
      </c>
    </row>
    <row r="34" spans="1:7" x14ac:dyDescent="0.25">
      <c r="B34" s="27" t="s">
        <v>91</v>
      </c>
      <c r="C34" s="41"/>
      <c r="F34" s="13">
        <f t="shared" si="2"/>
        <v>0</v>
      </c>
      <c r="G34" s="32" t="e">
        <f t="shared" si="1"/>
        <v>#REF!</v>
      </c>
    </row>
    <row r="35" spans="1:7" x14ac:dyDescent="0.25">
      <c r="B35" s="27" t="s">
        <v>92</v>
      </c>
      <c r="C35" s="41"/>
      <c r="F35" s="13">
        <f t="shared" si="2"/>
        <v>0</v>
      </c>
      <c r="G35" s="32" t="e">
        <f t="shared" si="1"/>
        <v>#REF!</v>
      </c>
    </row>
    <row r="36" spans="1:7" x14ac:dyDescent="0.25">
      <c r="B36" s="27" t="s">
        <v>93</v>
      </c>
      <c r="C36" s="41"/>
      <c r="F36" s="13">
        <f t="shared" si="2"/>
        <v>0</v>
      </c>
      <c r="G36" s="32" t="e">
        <f t="shared" si="1"/>
        <v>#REF!</v>
      </c>
    </row>
    <row r="37" spans="1:7" ht="23.25" customHeight="1" x14ac:dyDescent="0.25">
      <c r="B37" s="27" t="s">
        <v>94</v>
      </c>
      <c r="C37" s="41"/>
      <c r="F37" s="13">
        <f t="shared" si="2"/>
        <v>0</v>
      </c>
      <c r="G37" s="32" t="e">
        <f t="shared" si="1"/>
        <v>#REF!</v>
      </c>
    </row>
    <row r="38" spans="1:7" x14ac:dyDescent="0.25">
      <c r="B38" s="27"/>
      <c r="C38" s="27"/>
      <c r="F38" s="13">
        <f t="shared" si="2"/>
        <v>0</v>
      </c>
      <c r="G38" s="32" t="e">
        <f t="shared" si="1"/>
        <v>#REF!</v>
      </c>
    </row>
    <row r="39" spans="1:7" x14ac:dyDescent="0.25">
      <c r="B39" s="27"/>
      <c r="C39" s="27"/>
      <c r="F39" s="13">
        <f t="shared" si="2"/>
        <v>0</v>
      </c>
      <c r="G39" s="32" t="e">
        <f t="shared" si="1"/>
        <v>#REF!</v>
      </c>
    </row>
    <row r="40" spans="1:7" x14ac:dyDescent="0.25">
      <c r="B40" s="27"/>
      <c r="C40" s="27"/>
      <c r="F40" s="13">
        <f t="shared" si="2"/>
        <v>0</v>
      </c>
      <c r="G40" s="32" t="e">
        <f t="shared" si="1"/>
        <v>#REF!</v>
      </c>
    </row>
    <row r="41" spans="1:7" x14ac:dyDescent="0.25">
      <c r="B41" s="27"/>
      <c r="C41" s="27"/>
      <c r="F41" s="13">
        <f t="shared" si="2"/>
        <v>0</v>
      </c>
      <c r="G41" s="32" t="e">
        <f t="shared" si="1"/>
        <v>#REF!</v>
      </c>
    </row>
    <row r="42" spans="1:7" x14ac:dyDescent="0.25">
      <c r="B42" s="27"/>
      <c r="C42" s="27"/>
      <c r="F42" s="13">
        <f t="shared" si="2"/>
        <v>0</v>
      </c>
      <c r="G42" s="32" t="e">
        <f t="shared" si="1"/>
        <v>#REF!</v>
      </c>
    </row>
    <row r="43" spans="1:7" x14ac:dyDescent="0.25">
      <c r="B43" s="27"/>
      <c r="C43" s="27"/>
      <c r="F43" s="13">
        <f t="shared" si="2"/>
        <v>0</v>
      </c>
      <c r="G43" s="32" t="e">
        <f t="shared" si="1"/>
        <v>#REF!</v>
      </c>
    </row>
    <row r="44" spans="1:7" x14ac:dyDescent="0.25">
      <c r="B44" s="27"/>
      <c r="C44" s="27"/>
      <c r="F44" s="13">
        <f t="shared" si="2"/>
        <v>0</v>
      </c>
      <c r="G44" s="32" t="e">
        <f t="shared" si="1"/>
        <v>#REF!</v>
      </c>
    </row>
    <row r="45" spans="1:7" x14ac:dyDescent="0.25">
      <c r="A45" s="14"/>
      <c r="B45" s="14"/>
      <c r="C45" s="14"/>
      <c r="D45" s="14"/>
      <c r="E45" s="14"/>
      <c r="F45" s="16" t="e">
        <f>SUM(F19:F44)</f>
        <v>#REF!</v>
      </c>
      <c r="G45" s="33" t="e">
        <f>SUM(G19:G44)</f>
        <v>#REF!</v>
      </c>
    </row>
  </sheetData>
  <dataConsolidate/>
  <mergeCells count="1">
    <mergeCell ref="C32:C37"/>
  </mergeCells>
  <dataValidations count="9">
    <dataValidation type="list" allowBlank="1" showInputMessage="1" showErrorMessage="1" sqref="C29">
      <formula1>ФУНДАМЕНТЫ</formula1>
    </dataValidation>
    <dataValidation type="list" allowBlank="1" showInputMessage="1" showErrorMessage="1" sqref="C26">
      <formula1>КРОВЛЯ</formula1>
    </dataValidation>
    <dataValidation type="list" allowBlank="1" showInputMessage="1" showErrorMessage="1" sqref="C22 C23">
      <formula1>СТЕНЫ</formula1>
    </dataValidation>
    <dataValidation type="list" allowBlank="1" showInputMessage="1" showErrorMessage="1" sqref="C19 C20">
      <formula1>ПОЛ</formula1>
    </dataValidation>
    <dataValidation type="list" allowBlank="1" showInputMessage="1" showErrorMessage="1" sqref="C21">
      <formula1>ФАНЕРА</formula1>
    </dataValidation>
    <dataValidation type="list" allowBlank="1" showInputMessage="1" showErrorMessage="1" sqref="C24">
      <formula1>ВН</formula1>
    </dataValidation>
    <dataValidation type="list" allowBlank="1" showInputMessage="1" showErrorMessage="1" sqref="C27">
      <formula1>ОКНА</formula1>
    </dataValidation>
    <dataValidation type="list" allowBlank="1" showInputMessage="1" showErrorMessage="1" sqref="C28">
      <formula1>ДВЕРИ</formula1>
    </dataValidation>
    <dataValidation type="list" allowBlank="1" showInputMessage="1" showErrorMessage="1" sqref="C30">
      <formula1>ЛЕСТНИЦА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workbookViewId="0"/>
  </sheetViews>
  <sheetFormatPr defaultRowHeight="15" x14ac:dyDescent="0.25"/>
  <cols>
    <col min="2" max="2" width="23" customWidth="1"/>
    <col min="5" max="5" width="12.140625" bestFit="1" customWidth="1"/>
    <col min="8" max="8" width="32.140625" customWidth="1"/>
    <col min="9" max="9" width="9.5703125" bestFit="1" customWidth="1"/>
  </cols>
  <sheetData>
    <row r="1" spans="1:9" x14ac:dyDescent="0.25">
      <c r="A1" s="14" t="s">
        <v>111</v>
      </c>
      <c r="B1" s="14"/>
      <c r="C1" s="14"/>
      <c r="D1" s="14"/>
      <c r="E1" s="14"/>
    </row>
    <row r="2" spans="1:9" x14ac:dyDescent="0.25">
      <c r="B2" t="s">
        <v>104</v>
      </c>
      <c r="C2">
        <v>2.5</v>
      </c>
    </row>
    <row r="3" spans="1:9" x14ac:dyDescent="0.25">
      <c r="B3" t="s">
        <v>105</v>
      </c>
      <c r="C3">
        <v>0.2</v>
      </c>
    </row>
    <row r="4" spans="1:9" x14ac:dyDescent="0.25">
      <c r="B4" t="s">
        <v>106</v>
      </c>
      <c r="C4">
        <v>27</v>
      </c>
    </row>
    <row r="5" spans="1:9" x14ac:dyDescent="0.25">
      <c r="B5" t="s">
        <v>110</v>
      </c>
      <c r="C5">
        <v>3</v>
      </c>
      <c r="H5" t="s">
        <v>111</v>
      </c>
      <c r="I5" s="36">
        <f>E12</f>
        <v>10611</v>
      </c>
    </row>
    <row r="6" spans="1:9" x14ac:dyDescent="0.25">
      <c r="B6" t="s">
        <v>117</v>
      </c>
      <c r="C6">
        <v>12</v>
      </c>
      <c r="H6" t="s">
        <v>113</v>
      </c>
      <c r="I6" s="36">
        <f>E29</f>
        <v>37659.75</v>
      </c>
    </row>
    <row r="9" spans="1:9" x14ac:dyDescent="0.25">
      <c r="B9" t="s">
        <v>107</v>
      </c>
      <c r="C9">
        <f>(3.14*(C3/2)^2)*C2</f>
        <v>7.8500000000000014E-2</v>
      </c>
    </row>
    <row r="10" spans="1:9" x14ac:dyDescent="0.25">
      <c r="B10" t="s">
        <v>108</v>
      </c>
      <c r="C10">
        <f>C9*C4</f>
        <v>2.1195000000000004</v>
      </c>
      <c r="D10">
        <v>3000</v>
      </c>
      <c r="E10" s="13">
        <f>C10*D10</f>
        <v>6358.5000000000009</v>
      </c>
    </row>
    <row r="11" spans="1:9" x14ac:dyDescent="0.25">
      <c r="B11" t="s">
        <v>112</v>
      </c>
      <c r="C11">
        <f>C5*C2*C4</f>
        <v>202.5</v>
      </c>
      <c r="D11">
        <v>21</v>
      </c>
      <c r="E11" s="13">
        <f>D11*C11</f>
        <v>4252.5</v>
      </c>
    </row>
    <row r="12" spans="1:9" x14ac:dyDescent="0.25">
      <c r="A12" s="14"/>
      <c r="B12" s="14"/>
      <c r="C12" s="14"/>
      <c r="D12" s="14"/>
      <c r="E12" s="34">
        <f>SUM(E10:E11)</f>
        <v>10611</v>
      </c>
    </row>
    <row r="15" spans="1:9" x14ac:dyDescent="0.25">
      <c r="A15" s="14" t="s">
        <v>113</v>
      </c>
      <c r="B15" s="14"/>
      <c r="C15" s="14"/>
      <c r="D15" s="14"/>
      <c r="E15" s="14"/>
    </row>
    <row r="16" spans="1:9" x14ac:dyDescent="0.25">
      <c r="C16">
        <f>'4-гранник'!D4</f>
        <v>7.875</v>
      </c>
    </row>
    <row r="17" spans="1:5" x14ac:dyDescent="0.25">
      <c r="C17">
        <f>'4-гранник'!D5</f>
        <v>5.25</v>
      </c>
    </row>
    <row r="18" spans="1:5" x14ac:dyDescent="0.25">
      <c r="C18">
        <f>C16</f>
        <v>7.875</v>
      </c>
    </row>
    <row r="19" spans="1:5" x14ac:dyDescent="0.25">
      <c r="C19">
        <f>C17</f>
        <v>5.25</v>
      </c>
    </row>
    <row r="20" spans="1:5" x14ac:dyDescent="0.25">
      <c r="C20">
        <f>C18</f>
        <v>7.875</v>
      </c>
    </row>
    <row r="21" spans="1:5" x14ac:dyDescent="0.25">
      <c r="C21">
        <f>C19</f>
        <v>5.25</v>
      </c>
    </row>
    <row r="22" spans="1:5" x14ac:dyDescent="0.25">
      <c r="C22">
        <v>2.75</v>
      </c>
    </row>
    <row r="23" spans="1:5" x14ac:dyDescent="0.25">
      <c r="B23" t="s">
        <v>118</v>
      </c>
      <c r="C23" s="1">
        <f>SUM(C16:C22)</f>
        <v>42.125</v>
      </c>
    </row>
    <row r="24" spans="1:5" x14ac:dyDescent="0.25">
      <c r="B24" t="s">
        <v>114</v>
      </c>
      <c r="C24">
        <v>0.3</v>
      </c>
    </row>
    <row r="25" spans="1:5" x14ac:dyDescent="0.25">
      <c r="B25" t="s">
        <v>115</v>
      </c>
      <c r="C25">
        <v>0.9</v>
      </c>
    </row>
    <row r="27" spans="1:5" x14ac:dyDescent="0.25">
      <c r="B27" t="s">
        <v>116</v>
      </c>
      <c r="C27" s="3">
        <f>C23*C25*C24</f>
        <v>11.373749999999999</v>
      </c>
      <c r="D27">
        <v>3000</v>
      </c>
      <c r="E27" s="13">
        <f>C27*D27</f>
        <v>34121.25</v>
      </c>
    </row>
    <row r="28" spans="1:5" x14ac:dyDescent="0.25">
      <c r="B28" t="s">
        <v>109</v>
      </c>
      <c r="C28">
        <f>C23*4</f>
        <v>168.5</v>
      </c>
      <c r="D28">
        <v>21</v>
      </c>
      <c r="E28" s="13">
        <f>D28*C28</f>
        <v>3538.5</v>
      </c>
    </row>
    <row r="29" spans="1:5" x14ac:dyDescent="0.25">
      <c r="A29" s="14"/>
      <c r="B29" s="14"/>
      <c r="C29" s="14"/>
      <c r="D29" s="14"/>
      <c r="E29" s="34">
        <f>SUM(E27:E28)</f>
        <v>37659.75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0"/>
  <sheetViews>
    <sheetView workbookViewId="0">
      <selection activeCell="F4" sqref="F4"/>
    </sheetView>
  </sheetViews>
  <sheetFormatPr defaultRowHeight="12.75" x14ac:dyDescent="0.2"/>
  <cols>
    <col min="1" max="1" width="9.140625" style="9"/>
    <col min="2" max="2" width="24.7109375" style="9" customWidth="1"/>
    <col min="3" max="3" width="14.28515625" style="9" bestFit="1" customWidth="1"/>
    <col min="4" max="5" width="9.140625" style="9"/>
    <col min="6" max="6" width="27" style="9" customWidth="1"/>
    <col min="7" max="7" width="10.140625" style="9" bestFit="1" customWidth="1"/>
    <col min="8" max="16384" width="9.140625" style="9"/>
  </cols>
  <sheetData>
    <row r="3" spans="1:7" x14ac:dyDescent="0.2">
      <c r="A3" s="28" t="s">
        <v>57</v>
      </c>
      <c r="B3" s="29"/>
      <c r="C3" s="24" t="s">
        <v>12</v>
      </c>
      <c r="F3" s="9" t="s">
        <v>127</v>
      </c>
      <c r="G3" s="37">
        <f>C10</f>
        <v>1341.3152381972716</v>
      </c>
    </row>
    <row r="4" spans="1:7" x14ac:dyDescent="0.2">
      <c r="B4" s="10" t="s">
        <v>13</v>
      </c>
      <c r="C4" s="9">
        <f>'[1]Ц+Р'!C36</f>
        <v>220</v>
      </c>
      <c r="F4" s="9" t="s">
        <v>95</v>
      </c>
      <c r="G4" s="37">
        <f>C20</f>
        <v>431.31523819727158</v>
      </c>
    </row>
    <row r="5" spans="1:7" x14ac:dyDescent="0.2">
      <c r="B5" s="10" t="s">
        <v>58</v>
      </c>
      <c r="C5" s="11">
        <f>'[1]Ц+Р'!C15</f>
        <v>14.666666666666666</v>
      </c>
    </row>
    <row r="6" spans="1:7" x14ac:dyDescent="0.2">
      <c r="B6" s="10" t="s">
        <v>59</v>
      </c>
      <c r="C6" s="11">
        <f>'[1]Ц+Р'!C20</f>
        <v>86.65</v>
      </c>
    </row>
    <row r="7" spans="1:7" x14ac:dyDescent="0.2">
      <c r="B7" s="10" t="s">
        <v>60</v>
      </c>
      <c r="C7" s="11">
        <f>'[1]Ц+Р'!C14</f>
        <v>19.998571530604959</v>
      </c>
    </row>
    <row r="8" spans="1:7" x14ac:dyDescent="0.2">
      <c r="B8" s="10" t="s">
        <v>61</v>
      </c>
      <c r="C8" s="9">
        <f>'Ц+Р'!C9</f>
        <v>880</v>
      </c>
    </row>
    <row r="9" spans="1:7" x14ac:dyDescent="0.2">
      <c r="B9" s="10" t="s">
        <v>62</v>
      </c>
      <c r="C9" s="9">
        <f>'[1]Ц+Р'!C9</f>
        <v>120</v>
      </c>
    </row>
    <row r="10" spans="1:7" x14ac:dyDescent="0.2">
      <c r="A10" s="29"/>
      <c r="B10" s="30" t="s">
        <v>63</v>
      </c>
      <c r="C10" s="31">
        <f>SUM(C4:C9)</f>
        <v>1341.3152381972716</v>
      </c>
    </row>
    <row r="13" spans="1:7" x14ac:dyDescent="0.2">
      <c r="A13" s="28" t="s">
        <v>95</v>
      </c>
      <c r="B13" s="29"/>
      <c r="C13" s="24" t="s">
        <v>12</v>
      </c>
    </row>
    <row r="14" spans="1:7" x14ac:dyDescent="0.2">
      <c r="B14" s="10" t="s">
        <v>96</v>
      </c>
      <c r="C14" s="9">
        <v>50</v>
      </c>
    </row>
    <row r="15" spans="1:7" x14ac:dyDescent="0.2">
      <c r="B15" s="10" t="s">
        <v>58</v>
      </c>
      <c r="C15" s="11">
        <f>'Ц+Р'!C26</f>
        <v>14.666666666666666</v>
      </c>
    </row>
    <row r="16" spans="1:7" x14ac:dyDescent="0.2">
      <c r="B16" s="10" t="s">
        <v>97</v>
      </c>
      <c r="C16" s="11">
        <f>'Ц+Р'!C28</f>
        <v>86.65</v>
      </c>
    </row>
    <row r="17" spans="1:3" x14ac:dyDescent="0.2">
      <c r="B17" s="10" t="s">
        <v>60</v>
      </c>
      <c r="C17" s="11">
        <f>'Ц+Р'!C25</f>
        <v>19.998571530604959</v>
      </c>
    </row>
    <row r="18" spans="1:3" x14ac:dyDescent="0.2">
      <c r="B18" s="10" t="s">
        <v>98</v>
      </c>
      <c r="C18" s="9">
        <f>'Ц+Р'!C7*0.025*0.1*1*2*2</f>
        <v>40</v>
      </c>
    </row>
    <row r="19" spans="1:3" x14ac:dyDescent="0.2">
      <c r="B19" s="10" t="s">
        <v>62</v>
      </c>
      <c r="C19" s="9">
        <f>'Ц+Р'!C39</f>
        <v>220</v>
      </c>
    </row>
    <row r="20" spans="1:3" x14ac:dyDescent="0.2">
      <c r="A20" s="29"/>
      <c r="B20" s="30" t="s">
        <v>63</v>
      </c>
      <c r="C20" s="31">
        <f>SUM(C14:C19)</f>
        <v>431.31523819727158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G5" sqref="G5"/>
    </sheetView>
  </sheetViews>
  <sheetFormatPr defaultRowHeight="15" x14ac:dyDescent="0.25"/>
  <cols>
    <col min="2" max="2" width="32.7109375" customWidth="1"/>
    <col min="3" max="3" width="9.7109375" bestFit="1" customWidth="1"/>
    <col min="6" max="6" width="24.5703125" customWidth="1"/>
  </cols>
  <sheetData>
    <row r="1" spans="1:7" x14ac:dyDescent="0.25">
      <c r="A1" s="1" t="s">
        <v>119</v>
      </c>
      <c r="C1" s="18" t="s">
        <v>12</v>
      </c>
    </row>
    <row r="2" spans="1:7" x14ac:dyDescent="0.25">
      <c r="B2" t="s">
        <v>101</v>
      </c>
      <c r="C2" s="13">
        <f>'Ц+Р'!C6</f>
        <v>220</v>
      </c>
    </row>
    <row r="3" spans="1:7" x14ac:dyDescent="0.25">
      <c r="B3" t="s">
        <v>64</v>
      </c>
      <c r="C3" s="13">
        <f>'Ц+Р'!C26</f>
        <v>14.666666666666666</v>
      </c>
      <c r="F3" t="s">
        <v>124</v>
      </c>
      <c r="G3" s="36">
        <f>C8</f>
        <v>734.61523819727165</v>
      </c>
    </row>
    <row r="4" spans="1:7" x14ac:dyDescent="0.25">
      <c r="B4" t="s">
        <v>75</v>
      </c>
      <c r="C4" s="13">
        <f>'Ц+Р'!C28*3</f>
        <v>259.95000000000005</v>
      </c>
      <c r="F4" t="s">
        <v>125</v>
      </c>
      <c r="G4" s="36">
        <f>C17</f>
        <v>1344.6652381972717</v>
      </c>
    </row>
    <row r="5" spans="1:7" x14ac:dyDescent="0.25">
      <c r="B5" t="s">
        <v>60</v>
      </c>
      <c r="C5" s="13">
        <f>'Ц+Р'!C25</f>
        <v>19.998571530604959</v>
      </c>
      <c r="F5" t="s">
        <v>126</v>
      </c>
      <c r="G5" s="36">
        <f>C26</f>
        <v>444.66523819727161</v>
      </c>
    </row>
    <row r="6" spans="1:7" x14ac:dyDescent="0.25">
      <c r="B6" t="s">
        <v>65</v>
      </c>
      <c r="C6" s="13">
        <f>'Ц+Р'!C35</f>
        <v>120</v>
      </c>
    </row>
    <row r="7" spans="1:7" x14ac:dyDescent="0.25">
      <c r="B7" t="s">
        <v>76</v>
      </c>
      <c r="C7" s="13">
        <v>100</v>
      </c>
    </row>
    <row r="8" spans="1:7" x14ac:dyDescent="0.25">
      <c r="C8" s="19">
        <f>SUM(C2:C7)</f>
        <v>734.61523819727165</v>
      </c>
    </row>
    <row r="10" spans="1:7" x14ac:dyDescent="0.25">
      <c r="A10" s="1" t="s">
        <v>120</v>
      </c>
      <c r="C10" s="18" t="s">
        <v>12</v>
      </c>
    </row>
    <row r="11" spans="1:7" x14ac:dyDescent="0.25">
      <c r="B11" t="s">
        <v>122</v>
      </c>
      <c r="C11" s="13">
        <f>'Ц+Р'!C5</f>
        <v>400</v>
      </c>
    </row>
    <row r="12" spans="1:7" x14ac:dyDescent="0.25">
      <c r="B12" t="s">
        <v>64</v>
      </c>
      <c r="C12" s="13">
        <f>'Ц+Р'!C26</f>
        <v>14.666666666666666</v>
      </c>
    </row>
    <row r="13" spans="1:7" x14ac:dyDescent="0.25">
      <c r="B13" t="s">
        <v>75</v>
      </c>
      <c r="C13" s="13">
        <f>'Ц+Р'!C37*3</f>
        <v>690</v>
      </c>
    </row>
    <row r="14" spans="1:7" x14ac:dyDescent="0.25">
      <c r="B14" t="s">
        <v>60</v>
      </c>
      <c r="C14" s="13">
        <f>'Ц+Р'!C25</f>
        <v>19.998571530604959</v>
      </c>
    </row>
    <row r="15" spans="1:7" x14ac:dyDescent="0.25">
      <c r="B15" t="s">
        <v>65</v>
      </c>
      <c r="C15" s="13">
        <f>'Ц+Р'!C35</f>
        <v>120</v>
      </c>
    </row>
    <row r="16" spans="1:7" x14ac:dyDescent="0.25">
      <c r="B16" t="s">
        <v>76</v>
      </c>
      <c r="C16" s="13">
        <v>100</v>
      </c>
    </row>
    <row r="17" spans="1:3" x14ac:dyDescent="0.25">
      <c r="C17" s="19">
        <f>SUM(C11:C16)</f>
        <v>1344.6652381972717</v>
      </c>
    </row>
    <row r="19" spans="1:3" x14ac:dyDescent="0.25">
      <c r="A19" s="1" t="s">
        <v>121</v>
      </c>
      <c r="C19" s="18" t="s">
        <v>12</v>
      </c>
    </row>
    <row r="20" spans="1:3" x14ac:dyDescent="0.25">
      <c r="B20" t="s">
        <v>123</v>
      </c>
      <c r="C20" s="13">
        <f>'Ц+Р'!C4</f>
        <v>190</v>
      </c>
    </row>
    <row r="21" spans="1:3" x14ac:dyDescent="0.25">
      <c r="B21" t="s">
        <v>64</v>
      </c>
      <c r="C21" s="13">
        <f>'Ц+Р'!C26</f>
        <v>14.666666666666666</v>
      </c>
    </row>
    <row r="22" spans="1:3" x14ac:dyDescent="0.25">
      <c r="B22" t="s">
        <v>75</v>
      </c>
      <c r="C22" s="13">
        <f>'Ц+Р'!C46*3</f>
        <v>0</v>
      </c>
    </row>
    <row r="23" spans="1:3" x14ac:dyDescent="0.25">
      <c r="B23" t="s">
        <v>60</v>
      </c>
      <c r="C23" s="13">
        <f>'Ц+Р'!C25</f>
        <v>19.998571530604959</v>
      </c>
    </row>
    <row r="24" spans="1:3" x14ac:dyDescent="0.25">
      <c r="B24" t="s">
        <v>65</v>
      </c>
      <c r="C24" s="13">
        <f>'Ц+Р'!C35</f>
        <v>120</v>
      </c>
    </row>
    <row r="25" spans="1:3" x14ac:dyDescent="0.25">
      <c r="B25" t="s">
        <v>76</v>
      </c>
      <c r="C25" s="13">
        <v>100</v>
      </c>
    </row>
    <row r="26" spans="1:3" x14ac:dyDescent="0.25">
      <c r="C26" s="19">
        <f>SUM(C20:C25)</f>
        <v>444.66523819727161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B41" sqref="B41"/>
    </sheetView>
  </sheetViews>
  <sheetFormatPr defaultRowHeight="15" x14ac:dyDescent="0.25"/>
  <cols>
    <col min="2" max="2" width="32.42578125" customWidth="1"/>
    <col min="4" max="4" width="9.7109375" bestFit="1" customWidth="1"/>
    <col min="6" max="6" width="12.5703125" customWidth="1"/>
    <col min="7" max="7" width="7.5703125" customWidth="1"/>
  </cols>
  <sheetData>
    <row r="1" spans="1:7" x14ac:dyDescent="0.25">
      <c r="A1" s="23" t="s">
        <v>77</v>
      </c>
      <c r="B1" s="14"/>
      <c r="C1" s="24" t="s">
        <v>12</v>
      </c>
      <c r="D1" s="24" t="s">
        <v>12</v>
      </c>
    </row>
    <row r="2" spans="1:7" x14ac:dyDescent="0.25">
      <c r="B2" t="s">
        <v>78</v>
      </c>
      <c r="C2">
        <f>(0.1*0.05*1)*'Ц+Р'!C7*2.2</f>
        <v>44.000000000000014</v>
      </c>
      <c r="D2">
        <f>C2</f>
        <v>44.000000000000014</v>
      </c>
    </row>
    <row r="3" spans="1:7" x14ac:dyDescent="0.25">
      <c r="B3" t="s">
        <v>75</v>
      </c>
      <c r="C3" s="20">
        <f>'Ц+Р'!C28*2</f>
        <v>173.3</v>
      </c>
      <c r="D3" s="20"/>
      <c r="F3" t="s">
        <v>128</v>
      </c>
      <c r="G3" s="38">
        <f>C10</f>
        <v>967.3</v>
      </c>
    </row>
    <row r="4" spans="1:7" x14ac:dyDescent="0.25">
      <c r="B4" t="s">
        <v>88</v>
      </c>
      <c r="C4" s="12"/>
      <c r="D4" s="12">
        <f>'Ц+Р'!C14</f>
        <v>179.72319269013707</v>
      </c>
      <c r="F4" t="s">
        <v>129</v>
      </c>
      <c r="G4" s="39">
        <f>D10</f>
        <v>623.72319269013701</v>
      </c>
    </row>
    <row r="5" spans="1:7" x14ac:dyDescent="0.25">
      <c r="B5" t="s">
        <v>83</v>
      </c>
      <c r="C5">
        <f>'Ц+Р'!C40</f>
        <v>350</v>
      </c>
    </row>
    <row r="6" spans="1:7" x14ac:dyDescent="0.25">
      <c r="B6" t="s">
        <v>84</v>
      </c>
      <c r="C6">
        <f>'Ц+Р'!C41</f>
        <v>400</v>
      </c>
      <c r="D6">
        <f>C6</f>
        <v>400</v>
      </c>
    </row>
    <row r="10" spans="1:7" x14ac:dyDescent="0.25">
      <c r="A10" s="14"/>
      <c r="B10" s="14"/>
      <c r="C10" s="25">
        <f>SUM(C2:C9)</f>
        <v>967.3</v>
      </c>
      <c r="D10" s="26">
        <f>SUM(D2:D9)</f>
        <v>623.72319269013701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workbookViewId="0">
      <pane ySplit="1" topLeftCell="A2" activePane="bottomLeft" state="frozen"/>
      <selection pane="bottomLeft" activeCell="B9" sqref="B9"/>
    </sheetView>
  </sheetViews>
  <sheetFormatPr defaultRowHeight="15" x14ac:dyDescent="0.25"/>
  <cols>
    <col min="1" max="1" width="13.42578125" style="4" customWidth="1"/>
    <col min="2" max="2" width="40.42578125" style="4" customWidth="1"/>
    <col min="3" max="4" width="9.140625" style="4"/>
    <col min="5" max="5" width="12.85546875" style="4" customWidth="1"/>
    <col min="6" max="7" width="9.140625" style="4"/>
    <col min="8" max="8" width="11.140625" style="4" bestFit="1" customWidth="1"/>
    <col min="9" max="257" width="9.140625" style="4"/>
    <col min="258" max="258" width="40.42578125" style="4" customWidth="1"/>
    <col min="259" max="260" width="9.140625" style="4"/>
    <col min="261" max="261" width="12.85546875" style="4" customWidth="1"/>
    <col min="262" max="263" width="9.140625" style="4"/>
    <col min="264" max="264" width="11.140625" style="4" bestFit="1" customWidth="1"/>
    <col min="265" max="513" width="9.140625" style="4"/>
    <col min="514" max="514" width="40.42578125" style="4" customWidth="1"/>
    <col min="515" max="516" width="9.140625" style="4"/>
    <col min="517" max="517" width="12.85546875" style="4" customWidth="1"/>
    <col min="518" max="519" width="9.140625" style="4"/>
    <col min="520" max="520" width="11.140625" style="4" bestFit="1" customWidth="1"/>
    <col min="521" max="769" width="9.140625" style="4"/>
    <col min="770" max="770" width="40.42578125" style="4" customWidth="1"/>
    <col min="771" max="772" width="9.140625" style="4"/>
    <col min="773" max="773" width="12.85546875" style="4" customWidth="1"/>
    <col min="774" max="775" width="9.140625" style="4"/>
    <col min="776" max="776" width="11.140625" style="4" bestFit="1" customWidth="1"/>
    <col min="777" max="1025" width="9.140625" style="4"/>
    <col min="1026" max="1026" width="40.42578125" style="4" customWidth="1"/>
    <col min="1027" max="1028" width="9.140625" style="4"/>
    <col min="1029" max="1029" width="12.85546875" style="4" customWidth="1"/>
    <col min="1030" max="1031" width="9.140625" style="4"/>
    <col min="1032" max="1032" width="11.140625" style="4" bestFit="1" customWidth="1"/>
    <col min="1033" max="1281" width="9.140625" style="4"/>
    <col min="1282" max="1282" width="40.42578125" style="4" customWidth="1"/>
    <col min="1283" max="1284" width="9.140625" style="4"/>
    <col min="1285" max="1285" width="12.85546875" style="4" customWidth="1"/>
    <col min="1286" max="1287" width="9.140625" style="4"/>
    <col min="1288" max="1288" width="11.140625" style="4" bestFit="1" customWidth="1"/>
    <col min="1289" max="1537" width="9.140625" style="4"/>
    <col min="1538" max="1538" width="40.42578125" style="4" customWidth="1"/>
    <col min="1539" max="1540" width="9.140625" style="4"/>
    <col min="1541" max="1541" width="12.85546875" style="4" customWidth="1"/>
    <col min="1542" max="1543" width="9.140625" style="4"/>
    <col min="1544" max="1544" width="11.140625" style="4" bestFit="1" customWidth="1"/>
    <col min="1545" max="1793" width="9.140625" style="4"/>
    <col min="1794" max="1794" width="40.42578125" style="4" customWidth="1"/>
    <col min="1795" max="1796" width="9.140625" style="4"/>
    <col min="1797" max="1797" width="12.85546875" style="4" customWidth="1"/>
    <col min="1798" max="1799" width="9.140625" style="4"/>
    <col min="1800" max="1800" width="11.140625" style="4" bestFit="1" customWidth="1"/>
    <col min="1801" max="2049" width="9.140625" style="4"/>
    <col min="2050" max="2050" width="40.42578125" style="4" customWidth="1"/>
    <col min="2051" max="2052" width="9.140625" style="4"/>
    <col min="2053" max="2053" width="12.85546875" style="4" customWidth="1"/>
    <col min="2054" max="2055" width="9.140625" style="4"/>
    <col min="2056" max="2056" width="11.140625" style="4" bestFit="1" customWidth="1"/>
    <col min="2057" max="2305" width="9.140625" style="4"/>
    <col min="2306" max="2306" width="40.42578125" style="4" customWidth="1"/>
    <col min="2307" max="2308" width="9.140625" style="4"/>
    <col min="2309" max="2309" width="12.85546875" style="4" customWidth="1"/>
    <col min="2310" max="2311" width="9.140625" style="4"/>
    <col min="2312" max="2312" width="11.140625" style="4" bestFit="1" customWidth="1"/>
    <col min="2313" max="2561" width="9.140625" style="4"/>
    <col min="2562" max="2562" width="40.42578125" style="4" customWidth="1"/>
    <col min="2563" max="2564" width="9.140625" style="4"/>
    <col min="2565" max="2565" width="12.85546875" style="4" customWidth="1"/>
    <col min="2566" max="2567" width="9.140625" style="4"/>
    <col min="2568" max="2568" width="11.140625" style="4" bestFit="1" customWidth="1"/>
    <col min="2569" max="2817" width="9.140625" style="4"/>
    <col min="2818" max="2818" width="40.42578125" style="4" customWidth="1"/>
    <col min="2819" max="2820" width="9.140625" style="4"/>
    <col min="2821" max="2821" width="12.85546875" style="4" customWidth="1"/>
    <col min="2822" max="2823" width="9.140625" style="4"/>
    <col min="2824" max="2824" width="11.140625" style="4" bestFit="1" customWidth="1"/>
    <col min="2825" max="3073" width="9.140625" style="4"/>
    <col min="3074" max="3074" width="40.42578125" style="4" customWidth="1"/>
    <col min="3075" max="3076" width="9.140625" style="4"/>
    <col min="3077" max="3077" width="12.85546875" style="4" customWidth="1"/>
    <col min="3078" max="3079" width="9.140625" style="4"/>
    <col min="3080" max="3080" width="11.140625" style="4" bestFit="1" customWidth="1"/>
    <col min="3081" max="3329" width="9.140625" style="4"/>
    <col min="3330" max="3330" width="40.42578125" style="4" customWidth="1"/>
    <col min="3331" max="3332" width="9.140625" style="4"/>
    <col min="3333" max="3333" width="12.85546875" style="4" customWidth="1"/>
    <col min="3334" max="3335" width="9.140625" style="4"/>
    <col min="3336" max="3336" width="11.140625" style="4" bestFit="1" customWidth="1"/>
    <col min="3337" max="3585" width="9.140625" style="4"/>
    <col min="3586" max="3586" width="40.42578125" style="4" customWidth="1"/>
    <col min="3587" max="3588" width="9.140625" style="4"/>
    <col min="3589" max="3589" width="12.85546875" style="4" customWidth="1"/>
    <col min="3590" max="3591" width="9.140625" style="4"/>
    <col min="3592" max="3592" width="11.140625" style="4" bestFit="1" customWidth="1"/>
    <col min="3593" max="3841" width="9.140625" style="4"/>
    <col min="3842" max="3842" width="40.42578125" style="4" customWidth="1"/>
    <col min="3843" max="3844" width="9.140625" style="4"/>
    <col min="3845" max="3845" width="12.85546875" style="4" customWidth="1"/>
    <col min="3846" max="3847" width="9.140625" style="4"/>
    <col min="3848" max="3848" width="11.140625" style="4" bestFit="1" customWidth="1"/>
    <col min="3849" max="4097" width="9.140625" style="4"/>
    <col min="4098" max="4098" width="40.42578125" style="4" customWidth="1"/>
    <col min="4099" max="4100" width="9.140625" style="4"/>
    <col min="4101" max="4101" width="12.85546875" style="4" customWidth="1"/>
    <col min="4102" max="4103" width="9.140625" style="4"/>
    <col min="4104" max="4104" width="11.140625" style="4" bestFit="1" customWidth="1"/>
    <col min="4105" max="4353" width="9.140625" style="4"/>
    <col min="4354" max="4354" width="40.42578125" style="4" customWidth="1"/>
    <col min="4355" max="4356" width="9.140625" style="4"/>
    <col min="4357" max="4357" width="12.85546875" style="4" customWidth="1"/>
    <col min="4358" max="4359" width="9.140625" style="4"/>
    <col min="4360" max="4360" width="11.140625" style="4" bestFit="1" customWidth="1"/>
    <col min="4361" max="4609" width="9.140625" style="4"/>
    <col min="4610" max="4610" width="40.42578125" style="4" customWidth="1"/>
    <col min="4611" max="4612" width="9.140625" style="4"/>
    <col min="4613" max="4613" width="12.85546875" style="4" customWidth="1"/>
    <col min="4614" max="4615" width="9.140625" style="4"/>
    <col min="4616" max="4616" width="11.140625" style="4" bestFit="1" customWidth="1"/>
    <col min="4617" max="4865" width="9.140625" style="4"/>
    <col min="4866" max="4866" width="40.42578125" style="4" customWidth="1"/>
    <col min="4867" max="4868" width="9.140625" style="4"/>
    <col min="4869" max="4869" width="12.85546875" style="4" customWidth="1"/>
    <col min="4870" max="4871" width="9.140625" style="4"/>
    <col min="4872" max="4872" width="11.140625" style="4" bestFit="1" customWidth="1"/>
    <col min="4873" max="5121" width="9.140625" style="4"/>
    <col min="5122" max="5122" width="40.42578125" style="4" customWidth="1"/>
    <col min="5123" max="5124" width="9.140625" style="4"/>
    <col min="5125" max="5125" width="12.85546875" style="4" customWidth="1"/>
    <col min="5126" max="5127" width="9.140625" style="4"/>
    <col min="5128" max="5128" width="11.140625" style="4" bestFit="1" customWidth="1"/>
    <col min="5129" max="5377" width="9.140625" style="4"/>
    <col min="5378" max="5378" width="40.42578125" style="4" customWidth="1"/>
    <col min="5379" max="5380" width="9.140625" style="4"/>
    <col min="5381" max="5381" width="12.85546875" style="4" customWidth="1"/>
    <col min="5382" max="5383" width="9.140625" style="4"/>
    <col min="5384" max="5384" width="11.140625" style="4" bestFit="1" customWidth="1"/>
    <col min="5385" max="5633" width="9.140625" style="4"/>
    <col min="5634" max="5634" width="40.42578125" style="4" customWidth="1"/>
    <col min="5635" max="5636" width="9.140625" style="4"/>
    <col min="5637" max="5637" width="12.85546875" style="4" customWidth="1"/>
    <col min="5638" max="5639" width="9.140625" style="4"/>
    <col min="5640" max="5640" width="11.140625" style="4" bestFit="1" customWidth="1"/>
    <col min="5641" max="5889" width="9.140625" style="4"/>
    <col min="5890" max="5890" width="40.42578125" style="4" customWidth="1"/>
    <col min="5891" max="5892" width="9.140625" style="4"/>
    <col min="5893" max="5893" width="12.85546875" style="4" customWidth="1"/>
    <col min="5894" max="5895" width="9.140625" style="4"/>
    <col min="5896" max="5896" width="11.140625" style="4" bestFit="1" customWidth="1"/>
    <col min="5897" max="6145" width="9.140625" style="4"/>
    <col min="6146" max="6146" width="40.42578125" style="4" customWidth="1"/>
    <col min="6147" max="6148" width="9.140625" style="4"/>
    <col min="6149" max="6149" width="12.85546875" style="4" customWidth="1"/>
    <col min="6150" max="6151" width="9.140625" style="4"/>
    <col min="6152" max="6152" width="11.140625" style="4" bestFit="1" customWidth="1"/>
    <col min="6153" max="6401" width="9.140625" style="4"/>
    <col min="6402" max="6402" width="40.42578125" style="4" customWidth="1"/>
    <col min="6403" max="6404" width="9.140625" style="4"/>
    <col min="6405" max="6405" width="12.85546875" style="4" customWidth="1"/>
    <col min="6406" max="6407" width="9.140625" style="4"/>
    <col min="6408" max="6408" width="11.140625" style="4" bestFit="1" customWidth="1"/>
    <col min="6409" max="6657" width="9.140625" style="4"/>
    <col min="6658" max="6658" width="40.42578125" style="4" customWidth="1"/>
    <col min="6659" max="6660" width="9.140625" style="4"/>
    <col min="6661" max="6661" width="12.85546875" style="4" customWidth="1"/>
    <col min="6662" max="6663" width="9.140625" style="4"/>
    <col min="6664" max="6664" width="11.140625" style="4" bestFit="1" customWidth="1"/>
    <col min="6665" max="6913" width="9.140625" style="4"/>
    <col min="6914" max="6914" width="40.42578125" style="4" customWidth="1"/>
    <col min="6915" max="6916" width="9.140625" style="4"/>
    <col min="6917" max="6917" width="12.85546875" style="4" customWidth="1"/>
    <col min="6918" max="6919" width="9.140625" style="4"/>
    <col min="6920" max="6920" width="11.140625" style="4" bestFit="1" customWidth="1"/>
    <col min="6921" max="7169" width="9.140625" style="4"/>
    <col min="7170" max="7170" width="40.42578125" style="4" customWidth="1"/>
    <col min="7171" max="7172" width="9.140625" style="4"/>
    <col min="7173" max="7173" width="12.85546875" style="4" customWidth="1"/>
    <col min="7174" max="7175" width="9.140625" style="4"/>
    <col min="7176" max="7176" width="11.140625" style="4" bestFit="1" customWidth="1"/>
    <col min="7177" max="7425" width="9.140625" style="4"/>
    <col min="7426" max="7426" width="40.42578125" style="4" customWidth="1"/>
    <col min="7427" max="7428" width="9.140625" style="4"/>
    <col min="7429" max="7429" width="12.85546875" style="4" customWidth="1"/>
    <col min="7430" max="7431" width="9.140625" style="4"/>
    <col min="7432" max="7432" width="11.140625" style="4" bestFit="1" customWidth="1"/>
    <col min="7433" max="7681" width="9.140625" style="4"/>
    <col min="7682" max="7682" width="40.42578125" style="4" customWidth="1"/>
    <col min="7683" max="7684" width="9.140625" style="4"/>
    <col min="7685" max="7685" width="12.85546875" style="4" customWidth="1"/>
    <col min="7686" max="7687" width="9.140625" style="4"/>
    <col min="7688" max="7688" width="11.140625" style="4" bestFit="1" customWidth="1"/>
    <col min="7689" max="7937" width="9.140625" style="4"/>
    <col min="7938" max="7938" width="40.42578125" style="4" customWidth="1"/>
    <col min="7939" max="7940" width="9.140625" style="4"/>
    <col min="7941" max="7941" width="12.85546875" style="4" customWidth="1"/>
    <col min="7942" max="7943" width="9.140625" style="4"/>
    <col min="7944" max="7944" width="11.140625" style="4" bestFit="1" customWidth="1"/>
    <col min="7945" max="8193" width="9.140625" style="4"/>
    <col min="8194" max="8194" width="40.42578125" style="4" customWidth="1"/>
    <col min="8195" max="8196" width="9.140625" style="4"/>
    <col min="8197" max="8197" width="12.85546875" style="4" customWidth="1"/>
    <col min="8198" max="8199" width="9.140625" style="4"/>
    <col min="8200" max="8200" width="11.140625" style="4" bestFit="1" customWidth="1"/>
    <col min="8201" max="8449" width="9.140625" style="4"/>
    <col min="8450" max="8450" width="40.42578125" style="4" customWidth="1"/>
    <col min="8451" max="8452" width="9.140625" style="4"/>
    <col min="8453" max="8453" width="12.85546875" style="4" customWidth="1"/>
    <col min="8454" max="8455" width="9.140625" style="4"/>
    <col min="8456" max="8456" width="11.140625" style="4" bestFit="1" customWidth="1"/>
    <col min="8457" max="8705" width="9.140625" style="4"/>
    <col min="8706" max="8706" width="40.42578125" style="4" customWidth="1"/>
    <col min="8707" max="8708" width="9.140625" style="4"/>
    <col min="8709" max="8709" width="12.85546875" style="4" customWidth="1"/>
    <col min="8710" max="8711" width="9.140625" style="4"/>
    <col min="8712" max="8712" width="11.140625" style="4" bestFit="1" customWidth="1"/>
    <col min="8713" max="8961" width="9.140625" style="4"/>
    <col min="8962" max="8962" width="40.42578125" style="4" customWidth="1"/>
    <col min="8963" max="8964" width="9.140625" style="4"/>
    <col min="8965" max="8965" width="12.85546875" style="4" customWidth="1"/>
    <col min="8966" max="8967" width="9.140625" style="4"/>
    <col min="8968" max="8968" width="11.140625" style="4" bestFit="1" customWidth="1"/>
    <col min="8969" max="9217" width="9.140625" style="4"/>
    <col min="9218" max="9218" width="40.42578125" style="4" customWidth="1"/>
    <col min="9219" max="9220" width="9.140625" style="4"/>
    <col min="9221" max="9221" width="12.85546875" style="4" customWidth="1"/>
    <col min="9222" max="9223" width="9.140625" style="4"/>
    <col min="9224" max="9224" width="11.140625" style="4" bestFit="1" customWidth="1"/>
    <col min="9225" max="9473" width="9.140625" style="4"/>
    <col min="9474" max="9474" width="40.42578125" style="4" customWidth="1"/>
    <col min="9475" max="9476" width="9.140625" style="4"/>
    <col min="9477" max="9477" width="12.85546875" style="4" customWidth="1"/>
    <col min="9478" max="9479" width="9.140625" style="4"/>
    <col min="9480" max="9480" width="11.140625" style="4" bestFit="1" customWidth="1"/>
    <col min="9481" max="9729" width="9.140625" style="4"/>
    <col min="9730" max="9730" width="40.42578125" style="4" customWidth="1"/>
    <col min="9731" max="9732" width="9.140625" style="4"/>
    <col min="9733" max="9733" width="12.85546875" style="4" customWidth="1"/>
    <col min="9734" max="9735" width="9.140625" style="4"/>
    <col min="9736" max="9736" width="11.140625" style="4" bestFit="1" customWidth="1"/>
    <col min="9737" max="9985" width="9.140625" style="4"/>
    <col min="9986" max="9986" width="40.42578125" style="4" customWidth="1"/>
    <col min="9987" max="9988" width="9.140625" style="4"/>
    <col min="9989" max="9989" width="12.85546875" style="4" customWidth="1"/>
    <col min="9990" max="9991" width="9.140625" style="4"/>
    <col min="9992" max="9992" width="11.140625" style="4" bestFit="1" customWidth="1"/>
    <col min="9993" max="10241" width="9.140625" style="4"/>
    <col min="10242" max="10242" width="40.42578125" style="4" customWidth="1"/>
    <col min="10243" max="10244" width="9.140625" style="4"/>
    <col min="10245" max="10245" width="12.85546875" style="4" customWidth="1"/>
    <col min="10246" max="10247" width="9.140625" style="4"/>
    <col min="10248" max="10248" width="11.140625" style="4" bestFit="1" customWidth="1"/>
    <col min="10249" max="10497" width="9.140625" style="4"/>
    <col min="10498" max="10498" width="40.42578125" style="4" customWidth="1"/>
    <col min="10499" max="10500" width="9.140625" style="4"/>
    <col min="10501" max="10501" width="12.85546875" style="4" customWidth="1"/>
    <col min="10502" max="10503" width="9.140625" style="4"/>
    <col min="10504" max="10504" width="11.140625" style="4" bestFit="1" customWidth="1"/>
    <col min="10505" max="10753" width="9.140625" style="4"/>
    <col min="10754" max="10754" width="40.42578125" style="4" customWidth="1"/>
    <col min="10755" max="10756" width="9.140625" style="4"/>
    <col min="10757" max="10757" width="12.85546875" style="4" customWidth="1"/>
    <col min="10758" max="10759" width="9.140625" style="4"/>
    <col min="10760" max="10760" width="11.140625" style="4" bestFit="1" customWidth="1"/>
    <col min="10761" max="11009" width="9.140625" style="4"/>
    <col min="11010" max="11010" width="40.42578125" style="4" customWidth="1"/>
    <col min="11011" max="11012" width="9.140625" style="4"/>
    <col min="11013" max="11013" width="12.85546875" style="4" customWidth="1"/>
    <col min="11014" max="11015" width="9.140625" style="4"/>
    <col min="11016" max="11016" width="11.140625" style="4" bestFit="1" customWidth="1"/>
    <col min="11017" max="11265" width="9.140625" style="4"/>
    <col min="11266" max="11266" width="40.42578125" style="4" customWidth="1"/>
    <col min="11267" max="11268" width="9.140625" style="4"/>
    <col min="11269" max="11269" width="12.85546875" style="4" customWidth="1"/>
    <col min="11270" max="11271" width="9.140625" style="4"/>
    <col min="11272" max="11272" width="11.140625" style="4" bestFit="1" customWidth="1"/>
    <col min="11273" max="11521" width="9.140625" style="4"/>
    <col min="11522" max="11522" width="40.42578125" style="4" customWidth="1"/>
    <col min="11523" max="11524" width="9.140625" style="4"/>
    <col min="11525" max="11525" width="12.85546875" style="4" customWidth="1"/>
    <col min="11526" max="11527" width="9.140625" style="4"/>
    <col min="11528" max="11528" width="11.140625" style="4" bestFit="1" customWidth="1"/>
    <col min="11529" max="11777" width="9.140625" style="4"/>
    <col min="11778" max="11778" width="40.42578125" style="4" customWidth="1"/>
    <col min="11779" max="11780" width="9.140625" style="4"/>
    <col min="11781" max="11781" width="12.85546875" style="4" customWidth="1"/>
    <col min="11782" max="11783" width="9.140625" style="4"/>
    <col min="11784" max="11784" width="11.140625" style="4" bestFit="1" customWidth="1"/>
    <col min="11785" max="12033" width="9.140625" style="4"/>
    <col min="12034" max="12034" width="40.42578125" style="4" customWidth="1"/>
    <col min="12035" max="12036" width="9.140625" style="4"/>
    <col min="12037" max="12037" width="12.85546875" style="4" customWidth="1"/>
    <col min="12038" max="12039" width="9.140625" style="4"/>
    <col min="12040" max="12040" width="11.140625" style="4" bestFit="1" customWidth="1"/>
    <col min="12041" max="12289" width="9.140625" style="4"/>
    <col min="12290" max="12290" width="40.42578125" style="4" customWidth="1"/>
    <col min="12291" max="12292" width="9.140625" style="4"/>
    <col min="12293" max="12293" width="12.85546875" style="4" customWidth="1"/>
    <col min="12294" max="12295" width="9.140625" style="4"/>
    <col min="12296" max="12296" width="11.140625" style="4" bestFit="1" customWidth="1"/>
    <col min="12297" max="12545" width="9.140625" style="4"/>
    <col min="12546" max="12546" width="40.42578125" style="4" customWidth="1"/>
    <col min="12547" max="12548" width="9.140625" style="4"/>
    <col min="12549" max="12549" width="12.85546875" style="4" customWidth="1"/>
    <col min="12550" max="12551" width="9.140625" style="4"/>
    <col min="12552" max="12552" width="11.140625" style="4" bestFit="1" customWidth="1"/>
    <col min="12553" max="12801" width="9.140625" style="4"/>
    <col min="12802" max="12802" width="40.42578125" style="4" customWidth="1"/>
    <col min="12803" max="12804" width="9.140625" style="4"/>
    <col min="12805" max="12805" width="12.85546875" style="4" customWidth="1"/>
    <col min="12806" max="12807" width="9.140625" style="4"/>
    <col min="12808" max="12808" width="11.140625" style="4" bestFit="1" customWidth="1"/>
    <col min="12809" max="13057" width="9.140625" style="4"/>
    <col min="13058" max="13058" width="40.42578125" style="4" customWidth="1"/>
    <col min="13059" max="13060" width="9.140625" style="4"/>
    <col min="13061" max="13061" width="12.85546875" style="4" customWidth="1"/>
    <col min="13062" max="13063" width="9.140625" style="4"/>
    <col min="13064" max="13064" width="11.140625" style="4" bestFit="1" customWidth="1"/>
    <col min="13065" max="13313" width="9.140625" style="4"/>
    <col min="13314" max="13314" width="40.42578125" style="4" customWidth="1"/>
    <col min="13315" max="13316" width="9.140625" style="4"/>
    <col min="13317" max="13317" width="12.85546875" style="4" customWidth="1"/>
    <col min="13318" max="13319" width="9.140625" style="4"/>
    <col min="13320" max="13320" width="11.140625" style="4" bestFit="1" customWidth="1"/>
    <col min="13321" max="13569" width="9.140625" style="4"/>
    <col min="13570" max="13570" width="40.42578125" style="4" customWidth="1"/>
    <col min="13571" max="13572" width="9.140625" style="4"/>
    <col min="13573" max="13573" width="12.85546875" style="4" customWidth="1"/>
    <col min="13574" max="13575" width="9.140625" style="4"/>
    <col min="13576" max="13576" width="11.140625" style="4" bestFit="1" customWidth="1"/>
    <col min="13577" max="13825" width="9.140625" style="4"/>
    <col min="13826" max="13826" width="40.42578125" style="4" customWidth="1"/>
    <col min="13827" max="13828" width="9.140625" style="4"/>
    <col min="13829" max="13829" width="12.85546875" style="4" customWidth="1"/>
    <col min="13830" max="13831" width="9.140625" style="4"/>
    <col min="13832" max="13832" width="11.140625" style="4" bestFit="1" customWidth="1"/>
    <col min="13833" max="14081" width="9.140625" style="4"/>
    <col min="14082" max="14082" width="40.42578125" style="4" customWidth="1"/>
    <col min="14083" max="14084" width="9.140625" style="4"/>
    <col min="14085" max="14085" width="12.85546875" style="4" customWidth="1"/>
    <col min="14086" max="14087" width="9.140625" style="4"/>
    <col min="14088" max="14088" width="11.140625" style="4" bestFit="1" customWidth="1"/>
    <col min="14089" max="14337" width="9.140625" style="4"/>
    <col min="14338" max="14338" width="40.42578125" style="4" customWidth="1"/>
    <col min="14339" max="14340" width="9.140625" style="4"/>
    <col min="14341" max="14341" width="12.85546875" style="4" customWidth="1"/>
    <col min="14342" max="14343" width="9.140625" style="4"/>
    <col min="14344" max="14344" width="11.140625" style="4" bestFit="1" customWidth="1"/>
    <col min="14345" max="14593" width="9.140625" style="4"/>
    <col min="14594" max="14594" width="40.42578125" style="4" customWidth="1"/>
    <col min="14595" max="14596" width="9.140625" style="4"/>
    <col min="14597" max="14597" width="12.85546875" style="4" customWidth="1"/>
    <col min="14598" max="14599" width="9.140625" style="4"/>
    <col min="14600" max="14600" width="11.140625" style="4" bestFit="1" customWidth="1"/>
    <col min="14601" max="14849" width="9.140625" style="4"/>
    <col min="14850" max="14850" width="40.42578125" style="4" customWidth="1"/>
    <col min="14851" max="14852" width="9.140625" style="4"/>
    <col min="14853" max="14853" width="12.85546875" style="4" customWidth="1"/>
    <col min="14854" max="14855" width="9.140625" style="4"/>
    <col min="14856" max="14856" width="11.140625" style="4" bestFit="1" customWidth="1"/>
    <col min="14857" max="15105" width="9.140625" style="4"/>
    <col min="15106" max="15106" width="40.42578125" style="4" customWidth="1"/>
    <col min="15107" max="15108" width="9.140625" style="4"/>
    <col min="15109" max="15109" width="12.85546875" style="4" customWidth="1"/>
    <col min="15110" max="15111" width="9.140625" style="4"/>
    <col min="15112" max="15112" width="11.140625" style="4" bestFit="1" customWidth="1"/>
    <col min="15113" max="15361" width="9.140625" style="4"/>
    <col min="15362" max="15362" width="40.42578125" style="4" customWidth="1"/>
    <col min="15363" max="15364" width="9.140625" style="4"/>
    <col min="15365" max="15365" width="12.85546875" style="4" customWidth="1"/>
    <col min="15366" max="15367" width="9.140625" style="4"/>
    <col min="15368" max="15368" width="11.140625" style="4" bestFit="1" customWidth="1"/>
    <col min="15369" max="15617" width="9.140625" style="4"/>
    <col min="15618" max="15618" width="40.42578125" style="4" customWidth="1"/>
    <col min="15619" max="15620" width="9.140625" style="4"/>
    <col min="15621" max="15621" width="12.85546875" style="4" customWidth="1"/>
    <col min="15622" max="15623" width="9.140625" style="4"/>
    <col min="15624" max="15624" width="11.140625" style="4" bestFit="1" customWidth="1"/>
    <col min="15625" max="15873" width="9.140625" style="4"/>
    <col min="15874" max="15874" width="40.42578125" style="4" customWidth="1"/>
    <col min="15875" max="15876" width="9.140625" style="4"/>
    <col min="15877" max="15877" width="12.85546875" style="4" customWidth="1"/>
    <col min="15878" max="15879" width="9.140625" style="4"/>
    <col min="15880" max="15880" width="11.140625" style="4" bestFit="1" customWidth="1"/>
    <col min="15881" max="16129" width="9.140625" style="4"/>
    <col min="16130" max="16130" width="40.42578125" style="4" customWidth="1"/>
    <col min="16131" max="16132" width="9.140625" style="4"/>
    <col min="16133" max="16133" width="12.85546875" style="4" customWidth="1"/>
    <col min="16134" max="16135" width="9.140625" style="4"/>
    <col min="16136" max="16136" width="11.140625" style="4" bestFit="1" customWidth="1"/>
    <col min="16137" max="16384" width="9.140625" style="4"/>
  </cols>
  <sheetData>
    <row r="1" spans="1:8" x14ac:dyDescent="0.25">
      <c r="B1" s="5" t="s">
        <v>11</v>
      </c>
      <c r="C1" s="5" t="s">
        <v>12</v>
      </c>
      <c r="D1" s="21" t="s">
        <v>36</v>
      </c>
      <c r="E1" s="21" t="s">
        <v>37</v>
      </c>
      <c r="F1" s="21" t="s">
        <v>38</v>
      </c>
    </row>
    <row r="2" spans="1:8" x14ac:dyDescent="0.25">
      <c r="A2" s="4" t="s">
        <v>26</v>
      </c>
      <c r="B2" s="4" t="s">
        <v>27</v>
      </c>
      <c r="C2" s="4">
        <v>60</v>
      </c>
    </row>
    <row r="3" spans="1:8" x14ac:dyDescent="0.25">
      <c r="A3" s="4" t="s">
        <v>26</v>
      </c>
      <c r="B3" s="4" t="s">
        <v>45</v>
      </c>
      <c r="C3" s="4">
        <v>300</v>
      </c>
    </row>
    <row r="4" spans="1:8" x14ac:dyDescent="0.25">
      <c r="A4" s="4" t="s">
        <v>15</v>
      </c>
      <c r="B4" s="4" t="s">
        <v>16</v>
      </c>
      <c r="C4" s="4">
        <v>190</v>
      </c>
    </row>
    <row r="5" spans="1:8" x14ac:dyDescent="0.25">
      <c r="A5" s="4" t="s">
        <v>15</v>
      </c>
      <c r="B5" s="4" t="s">
        <v>46</v>
      </c>
      <c r="C5" s="4">
        <v>400</v>
      </c>
    </row>
    <row r="6" spans="1:8" x14ac:dyDescent="0.25">
      <c r="A6" s="4" t="s">
        <v>15</v>
      </c>
      <c r="B6" s="4" t="s">
        <v>47</v>
      </c>
      <c r="C6" s="4">
        <v>220</v>
      </c>
    </row>
    <row r="7" spans="1:8" x14ac:dyDescent="0.25">
      <c r="A7" s="4" t="s">
        <v>28</v>
      </c>
      <c r="B7" s="4" t="s">
        <v>29</v>
      </c>
      <c r="C7" s="4">
        <v>4000</v>
      </c>
    </row>
    <row r="8" spans="1:8" x14ac:dyDescent="0.25">
      <c r="A8" s="4" t="s">
        <v>28</v>
      </c>
      <c r="B8" s="4" t="s">
        <v>32</v>
      </c>
      <c r="C8" s="6">
        <v>10000</v>
      </c>
    </row>
    <row r="9" spans="1:8" x14ac:dyDescent="0.25">
      <c r="A9" s="4" t="s">
        <v>28</v>
      </c>
      <c r="B9" s="4" t="s">
        <v>33</v>
      </c>
      <c r="C9" s="4">
        <f>C8*(D9*E9*F9)/(D9*E9)</f>
        <v>880</v>
      </c>
      <c r="D9" s="4">
        <v>2.7</v>
      </c>
      <c r="E9" s="4">
        <v>0.9</v>
      </c>
      <c r="F9" s="4">
        <v>8.7999999999999995E-2</v>
      </c>
    </row>
    <row r="10" spans="1:8" x14ac:dyDescent="0.25">
      <c r="A10" s="4" t="s">
        <v>28</v>
      </c>
      <c r="B10" s="4" t="s">
        <v>34</v>
      </c>
      <c r="C10" s="4">
        <f>C8*(D10*E10*F10)/(D10*E10)</f>
        <v>1100</v>
      </c>
      <c r="D10" s="4">
        <v>2.7</v>
      </c>
      <c r="E10" s="4">
        <v>1.1000000000000001</v>
      </c>
      <c r="F10" s="4">
        <v>0.11</v>
      </c>
    </row>
    <row r="11" spans="1:8" x14ac:dyDescent="0.25">
      <c r="A11" s="4" t="s">
        <v>28</v>
      </c>
      <c r="B11" s="4" t="s">
        <v>43</v>
      </c>
      <c r="C11" s="8">
        <f>H11*F11</f>
        <v>155</v>
      </c>
      <c r="D11" s="4">
        <v>1</v>
      </c>
      <c r="E11" s="4">
        <v>0.6</v>
      </c>
      <c r="F11" s="4">
        <v>0.05</v>
      </c>
      <c r="G11" s="4">
        <f>F11*E11*D11*10</f>
        <v>0.3</v>
      </c>
      <c r="H11" s="7">
        <v>3100</v>
      </c>
    </row>
    <row r="12" spans="1:8" x14ac:dyDescent="0.25">
      <c r="A12" s="4" t="s">
        <v>28</v>
      </c>
      <c r="B12" s="4" t="s">
        <v>48</v>
      </c>
      <c r="C12" s="22">
        <f>D12/(E12*F12)</f>
        <v>120.93523246439129</v>
      </c>
      <c r="D12" s="4">
        <v>360</v>
      </c>
      <c r="E12" s="21">
        <v>1.22</v>
      </c>
      <c r="F12" s="4">
        <v>2.44</v>
      </c>
    </row>
    <row r="13" spans="1:8" x14ac:dyDescent="0.25">
      <c r="A13" s="4" t="s">
        <v>28</v>
      </c>
      <c r="B13" s="4" t="s">
        <v>49</v>
      </c>
      <c r="C13" s="22">
        <f t="shared" ref="C13:C16" si="0">D13/(E13*F13)</f>
        <v>129.33351249664068</v>
      </c>
      <c r="D13" s="4">
        <v>385</v>
      </c>
      <c r="E13" s="21">
        <v>1.22</v>
      </c>
      <c r="F13" s="4">
        <v>2.44</v>
      </c>
    </row>
    <row r="14" spans="1:8" x14ac:dyDescent="0.25">
      <c r="A14" s="4" t="s">
        <v>28</v>
      </c>
      <c r="B14" s="4" t="s">
        <v>50</v>
      </c>
      <c r="C14" s="22">
        <f t="shared" si="0"/>
        <v>179.72319269013707</v>
      </c>
      <c r="D14" s="4">
        <v>535</v>
      </c>
      <c r="E14" s="21">
        <v>1.22</v>
      </c>
      <c r="F14" s="4">
        <v>2.44</v>
      </c>
    </row>
    <row r="15" spans="1:8" x14ac:dyDescent="0.25">
      <c r="A15" s="4" t="s">
        <v>28</v>
      </c>
      <c r="B15" s="4" t="s">
        <v>51</v>
      </c>
      <c r="C15" s="22">
        <f t="shared" si="0"/>
        <v>290.5804891158291</v>
      </c>
      <c r="D15" s="4">
        <v>865</v>
      </c>
      <c r="E15" s="21">
        <v>1.22</v>
      </c>
      <c r="F15" s="4">
        <v>2.44</v>
      </c>
    </row>
    <row r="16" spans="1:8" x14ac:dyDescent="0.25">
      <c r="A16" s="4" t="s">
        <v>28</v>
      </c>
      <c r="B16" s="4" t="s">
        <v>52</v>
      </c>
      <c r="C16" s="22">
        <f t="shared" si="0"/>
        <v>195.17602794947595</v>
      </c>
      <c r="D16" s="4">
        <v>581</v>
      </c>
      <c r="E16" s="21">
        <v>1.22</v>
      </c>
      <c r="F16" s="4">
        <v>2.44</v>
      </c>
    </row>
    <row r="17" spans="1:8" x14ac:dyDescent="0.25">
      <c r="A17" s="4" t="s">
        <v>28</v>
      </c>
      <c r="B17" s="4" t="s">
        <v>53</v>
      </c>
      <c r="C17" s="4">
        <v>173</v>
      </c>
      <c r="D17" s="4">
        <v>692</v>
      </c>
      <c r="E17" s="21">
        <v>1.25</v>
      </c>
      <c r="F17" s="4">
        <v>2.7</v>
      </c>
    </row>
    <row r="18" spans="1:8" x14ac:dyDescent="0.25">
      <c r="A18" s="4" t="s">
        <v>28</v>
      </c>
      <c r="B18" s="4" t="s">
        <v>54</v>
      </c>
      <c r="C18" s="4">
        <v>173</v>
      </c>
      <c r="D18" s="4">
        <v>800</v>
      </c>
      <c r="E18" s="21">
        <v>1.25</v>
      </c>
      <c r="F18" s="4">
        <v>2.7</v>
      </c>
    </row>
    <row r="19" spans="1:8" x14ac:dyDescent="0.25">
      <c r="A19" s="21" t="s">
        <v>28</v>
      </c>
      <c r="B19" s="21" t="s">
        <v>80</v>
      </c>
      <c r="C19" s="6">
        <f>340/(1.525*1.525)</f>
        <v>146.19725880139751</v>
      </c>
      <c r="E19" s="21"/>
    </row>
    <row r="20" spans="1:8" x14ac:dyDescent="0.25">
      <c r="A20" s="21" t="s">
        <v>28</v>
      </c>
      <c r="B20" s="21" t="s">
        <v>81</v>
      </c>
      <c r="C20" s="6">
        <f>430/(1.525*1.525)</f>
        <v>184.89653319000271</v>
      </c>
      <c r="E20" s="21"/>
    </row>
    <row r="21" spans="1:8" x14ac:dyDescent="0.25">
      <c r="A21" s="21" t="s">
        <v>28</v>
      </c>
      <c r="B21" s="21" t="s">
        <v>82</v>
      </c>
      <c r="C21" s="6">
        <f>540/(1.525*1.525)</f>
        <v>232.19564633163131</v>
      </c>
      <c r="E21" s="21"/>
    </row>
    <row r="22" spans="1:8" x14ac:dyDescent="0.25">
      <c r="A22" s="4" t="s">
        <v>17</v>
      </c>
      <c r="B22" s="4" t="s">
        <v>18</v>
      </c>
      <c r="C22" s="4">
        <v>44</v>
      </c>
    </row>
    <row r="23" spans="1:8" x14ac:dyDescent="0.25">
      <c r="A23" s="4" t="s">
        <v>17</v>
      </c>
      <c r="B23" s="4" t="s">
        <v>19</v>
      </c>
      <c r="C23" s="4">
        <v>42</v>
      </c>
    </row>
    <row r="24" spans="1:8" x14ac:dyDescent="0.25">
      <c r="A24" s="4" t="s">
        <v>17</v>
      </c>
      <c r="B24" s="4" t="s">
        <v>20</v>
      </c>
      <c r="C24" s="4">
        <v>31</v>
      </c>
    </row>
    <row r="25" spans="1:8" x14ac:dyDescent="0.25">
      <c r="A25" s="4" t="s">
        <v>17</v>
      </c>
      <c r="B25" s="4" t="s">
        <v>30</v>
      </c>
      <c r="C25" s="6">
        <f>1400/(1.5*46.67)</f>
        <v>19.998571530604959</v>
      </c>
    </row>
    <row r="26" spans="1:8" x14ac:dyDescent="0.25">
      <c r="A26" s="4" t="s">
        <v>17</v>
      </c>
      <c r="B26" s="4" t="s">
        <v>31</v>
      </c>
      <c r="C26" s="6">
        <f>880/60</f>
        <v>14.666666666666666</v>
      </c>
    </row>
    <row r="27" spans="1:8" x14ac:dyDescent="0.25">
      <c r="A27" s="4" t="s">
        <v>17</v>
      </c>
      <c r="B27" s="4" t="s">
        <v>35</v>
      </c>
      <c r="D27" s="4" t="s">
        <v>36</v>
      </c>
      <c r="E27" s="4" t="s">
        <v>37</v>
      </c>
      <c r="F27" s="4" t="s">
        <v>38</v>
      </c>
      <c r="H27" s="4" t="s">
        <v>39</v>
      </c>
    </row>
    <row r="28" spans="1:8" x14ac:dyDescent="0.25">
      <c r="A28" s="4" t="s">
        <v>17</v>
      </c>
      <c r="B28" s="4" t="s">
        <v>40</v>
      </c>
      <c r="C28" s="6">
        <f>H28*F28</f>
        <v>86.65</v>
      </c>
      <c r="D28" s="4">
        <v>1</v>
      </c>
      <c r="E28" s="4">
        <v>0.6</v>
      </c>
      <c r="F28" s="4">
        <v>0.05</v>
      </c>
      <c r="G28" s="4">
        <f>F28*E28*D28*10</f>
        <v>0.3</v>
      </c>
      <c r="H28" s="7">
        <v>1733</v>
      </c>
    </row>
    <row r="29" spans="1:8" x14ac:dyDescent="0.25">
      <c r="A29" s="4" t="s">
        <v>17</v>
      </c>
      <c r="B29" s="4" t="s">
        <v>41</v>
      </c>
      <c r="C29" s="8">
        <f>H29*F29</f>
        <v>279</v>
      </c>
      <c r="D29" s="4">
        <v>1</v>
      </c>
      <c r="E29" s="4">
        <v>0.6</v>
      </c>
      <c r="F29" s="4">
        <v>0.05</v>
      </c>
      <c r="G29" s="4">
        <f>F29*E29*D29*10</f>
        <v>0.3</v>
      </c>
      <c r="H29" s="7">
        <v>5580</v>
      </c>
    </row>
    <row r="30" spans="1:8" x14ac:dyDescent="0.25">
      <c r="A30" s="4" t="s">
        <v>17</v>
      </c>
      <c r="B30" s="4" t="s">
        <v>42</v>
      </c>
      <c r="C30" s="8">
        <f>H30*F30</f>
        <v>50</v>
      </c>
      <c r="D30" s="4">
        <v>1</v>
      </c>
      <c r="E30" s="4">
        <v>0.6</v>
      </c>
      <c r="F30" s="4">
        <v>0.05</v>
      </c>
      <c r="G30" s="4">
        <f>F30*E30*D30*10</f>
        <v>0.3</v>
      </c>
      <c r="H30" s="7">
        <v>1000</v>
      </c>
    </row>
    <row r="31" spans="1:8" x14ac:dyDescent="0.25">
      <c r="A31" s="4" t="s">
        <v>17</v>
      </c>
      <c r="B31" s="4" t="s">
        <v>44</v>
      </c>
      <c r="C31" s="8">
        <f>H31*F31</f>
        <v>65</v>
      </c>
      <c r="D31" s="4">
        <v>1</v>
      </c>
      <c r="E31" s="4">
        <v>0.6</v>
      </c>
      <c r="F31" s="4">
        <v>0.05</v>
      </c>
      <c r="G31" s="4">
        <f>F31*E31*D31*10</f>
        <v>0.3</v>
      </c>
      <c r="H31" s="7">
        <v>1300</v>
      </c>
    </row>
    <row r="32" spans="1:8" x14ac:dyDescent="0.25">
      <c r="A32" s="21" t="s">
        <v>79</v>
      </c>
      <c r="B32" s="4" t="s">
        <v>14</v>
      </c>
      <c r="C32" s="4">
        <v>1300</v>
      </c>
    </row>
    <row r="33" spans="1:3" x14ac:dyDescent="0.25">
      <c r="A33" s="21" t="s">
        <v>79</v>
      </c>
      <c r="B33" s="4" t="s">
        <v>21</v>
      </c>
      <c r="C33" s="4">
        <v>130</v>
      </c>
    </row>
    <row r="34" spans="1:3" x14ac:dyDescent="0.25">
      <c r="A34" s="21" t="s">
        <v>79</v>
      </c>
      <c r="B34" s="4" t="s">
        <v>22</v>
      </c>
      <c r="C34" s="4">
        <v>270</v>
      </c>
    </row>
    <row r="35" spans="1:3" x14ac:dyDescent="0.25">
      <c r="A35" s="21" t="s">
        <v>79</v>
      </c>
      <c r="B35" s="4" t="s">
        <v>23</v>
      </c>
      <c r="C35" s="4">
        <v>120</v>
      </c>
    </row>
    <row r="36" spans="1:3" x14ac:dyDescent="0.25">
      <c r="A36" s="21" t="s">
        <v>79</v>
      </c>
      <c r="B36" s="4" t="s">
        <v>24</v>
      </c>
      <c r="C36" s="4">
        <v>165</v>
      </c>
    </row>
    <row r="37" spans="1:3" x14ac:dyDescent="0.25">
      <c r="A37" s="21" t="s">
        <v>79</v>
      </c>
      <c r="B37" s="4" t="s">
        <v>25</v>
      </c>
      <c r="C37" s="4">
        <v>230</v>
      </c>
    </row>
    <row r="38" spans="1:3" x14ac:dyDescent="0.25">
      <c r="A38" s="21" t="s">
        <v>79</v>
      </c>
      <c r="B38" s="4" t="s">
        <v>55</v>
      </c>
      <c r="C38" s="4">
        <v>280</v>
      </c>
    </row>
    <row r="39" spans="1:3" x14ac:dyDescent="0.25">
      <c r="A39" s="21" t="s">
        <v>79</v>
      </c>
      <c r="B39" s="4" t="s">
        <v>56</v>
      </c>
      <c r="C39" s="4">
        <v>220</v>
      </c>
    </row>
    <row r="40" spans="1:3" x14ac:dyDescent="0.25">
      <c r="A40" s="21" t="s">
        <v>28</v>
      </c>
      <c r="B40" s="21" t="s">
        <v>83</v>
      </c>
      <c r="C40" s="4">
        <v>350</v>
      </c>
    </row>
    <row r="41" spans="1:3" x14ac:dyDescent="0.25">
      <c r="A41" s="21" t="s">
        <v>28</v>
      </c>
      <c r="B41" s="21" t="s">
        <v>84</v>
      </c>
      <c r="C41" s="4">
        <v>400</v>
      </c>
    </row>
    <row r="42" spans="1:3" x14ac:dyDescent="0.25">
      <c r="A42" s="21" t="s">
        <v>28</v>
      </c>
      <c r="B42" s="21" t="s">
        <v>85</v>
      </c>
      <c r="C42" s="4">
        <v>200</v>
      </c>
    </row>
  </sheetData>
  <autoFilter ref="A1:I39"/>
  <sortState ref="A2:I36">
    <sortCondition ref="A2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4-гранник</vt:lpstr>
      <vt:lpstr>Фундамент</vt:lpstr>
      <vt:lpstr>Стена р.м2</vt:lpstr>
      <vt:lpstr>Кровля р.м2</vt:lpstr>
      <vt:lpstr>Пол, м2</vt:lpstr>
      <vt:lpstr>Ц+Р</vt:lpstr>
      <vt:lpstr>КРОВЛЯ</vt:lpstr>
      <vt:lpstr>ПОЛ</vt:lpstr>
      <vt:lpstr>СТЕНЫ</vt:lpstr>
      <vt:lpstr>ТАБЛИЦА</vt:lpstr>
      <vt:lpstr>ТАБЛИЦА2</vt:lpstr>
      <vt:lpstr>ТАБЛИЦА3</vt:lpstr>
      <vt:lpstr>ТАБЛИЦА4</vt:lpstr>
      <vt:lpstr>ФУНДАМЕНТЫ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МХ</dc:creator>
  <cp:lastModifiedBy>Долгополов Егор</cp:lastModifiedBy>
  <dcterms:created xsi:type="dcterms:W3CDTF">2012-04-08T09:12:26Z</dcterms:created>
  <dcterms:modified xsi:type="dcterms:W3CDTF">2012-06-06T18:46:25Z</dcterms:modified>
</cp:coreProperties>
</file>