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bookViews>
    <workbookView xWindow="-75" yWindow="-180" windowWidth="12720" windowHeight="10275" firstSheet="1" activeTab="4"/>
  </bookViews>
  <sheets>
    <sheet name="Тарифы" sheetId="13" state="hidden" r:id="rId1"/>
    <sheet name="01.2012" sheetId="20" r:id="rId2"/>
    <sheet name="Карточки" sheetId="25" r:id="rId3"/>
    <sheet name="Ведомость оплаты" sheetId="27" r:id="rId4"/>
    <sheet name="Ведомость оплаты (2)" sheetId="28" r:id="rId5"/>
  </sheets>
  <definedNames>
    <definedName name="_xlnm._FilterDatabase" localSheetId="1" hidden="1">'01.2012'!$D$2:$AB$57</definedName>
    <definedName name="Z_B7749F0D_A6E5_4550_B277_2D5630BDBD61_.wvu.Cols" localSheetId="1" hidden="1">'01.2012'!$F:$F,'01.2012'!$N:$N,'01.2012'!$P:$P,'01.2012'!$R:$R,'01.2012'!$Q:$V,'01.2012'!#REF!,'01.2012'!#REF!</definedName>
    <definedName name="Z_B7749F0D_A6E5_4550_B277_2D5630BDBD61_.wvu.FilterData" localSheetId="1" hidden="1">'01.2012'!$D$2:$AB$57</definedName>
    <definedName name="Z_B7749F0D_A6E5_4550_B277_2D5630BDBD61_.wvu.PrintArea" localSheetId="1" hidden="1">'01.2012'!$D$2:$AB$57</definedName>
    <definedName name="Z_B7749F0D_A6E5_4550_B277_2D5630BDBD61_.wvu.PrintTitles" localSheetId="1" hidden="1">'01.2012'!#REF!</definedName>
    <definedName name="Z_B7749F0D_A6E5_4550_B277_2D5630BDBD61_.wvu.Rows" localSheetId="1" hidden="1">'01.2012'!#REF!</definedName>
    <definedName name="_xlnm.Print_Titles" localSheetId="1">'01.2012'!$1:$1</definedName>
    <definedName name="_xlnm.Print_Area" localSheetId="1">'01.2012'!$D$1:$AB$57</definedName>
    <definedName name="_xlnm.Print_Area" localSheetId="3">'Ведомость оплаты'!$B$1:$E$40</definedName>
    <definedName name="_xlnm.Print_Area" localSheetId="4">'Ведомость оплаты (2)'!$B$1:$E$40</definedName>
    <definedName name="_xlnm.Print_Area" localSheetId="2">Карточки!$A$1:$L$13</definedName>
    <definedName name="Отдел" localSheetId="4">OFFSET('Ведомость оплаты (2)'!$A$1,,,SUM(--NOT(ISERROR('Ведомость оплаты (2)'!$A$1:$A$25))))</definedName>
    <definedName name="Отдел">OFFSET('Ведомость оплаты'!$A$1,,,SUM(--NOT(ISERROR('Ведомость оплаты'!$A$1:$A$25))))</definedName>
  </definedNames>
  <calcPr calcId="145621"/>
  <customWorkbookViews>
    <customWorkbookView name="Купон" guid="{B7749F0D-A6E5-4550-B277-2D5630BDBD61}" maximized="1" windowWidth="1148" windowHeight="746" tabRatio="599" activeSheetId="1"/>
  </customWorkbookViews>
</workbook>
</file>

<file path=xl/calcChain.xml><?xml version="1.0" encoding="utf-8"?>
<calcChain xmlns="http://schemas.openxmlformats.org/spreadsheetml/2006/main">
  <c r="B9" i="28" l="1" a="1"/>
  <c r="B9" i="28" s="1"/>
  <c r="C11" i="28" s="1" a="1"/>
  <c r="C11" i="28" s="1"/>
  <c r="D11" i="28" l="1"/>
  <c r="B11" i="28" l="1"/>
  <c r="AD3" i="20" l="1"/>
  <c r="A13" i="25" l="1"/>
  <c r="E17" i="25" s="1"/>
  <c r="H13" i="25"/>
  <c r="L17" i="25" s="1"/>
  <c r="E18" i="25"/>
  <c r="L18" i="25"/>
  <c r="A21" i="25"/>
  <c r="B21" i="25"/>
  <c r="H21" i="25"/>
  <c r="I21" i="25"/>
  <c r="J21" i="25"/>
  <c r="A25" i="25"/>
  <c r="E30" i="25" s="1"/>
  <c r="H25" i="25"/>
  <c r="A33" i="25"/>
  <c r="B33" i="25"/>
  <c r="A37" i="25"/>
  <c r="H37" i="25"/>
  <c r="A49" i="25"/>
  <c r="H49" i="25"/>
  <c r="A61" i="25"/>
  <c r="H61" i="25"/>
  <c r="A73" i="25"/>
  <c r="H73" i="25"/>
  <c r="A85" i="25"/>
  <c r="H85" i="25"/>
  <c r="A97" i="25"/>
  <c r="H97" i="25"/>
  <c r="A109" i="25"/>
  <c r="H109" i="25"/>
  <c r="A121" i="25"/>
  <c r="H121" i="25"/>
  <c r="A133" i="25"/>
  <c r="H133" i="25"/>
  <c r="A145" i="25"/>
  <c r="H145" i="25"/>
  <c r="A157" i="25"/>
  <c r="H157" i="25"/>
  <c r="A169" i="25"/>
  <c r="H169" i="25"/>
  <c r="A181" i="25"/>
  <c r="H181" i="25"/>
  <c r="A193" i="25"/>
  <c r="H193" i="25"/>
  <c r="A205" i="25"/>
  <c r="H205" i="25"/>
  <c r="A217" i="25"/>
  <c r="H217" i="25"/>
  <c r="A229" i="25"/>
  <c r="H229" i="25"/>
  <c r="A241" i="25"/>
  <c r="H241" i="25"/>
  <c r="A253" i="25"/>
  <c r="H253" i="25"/>
  <c r="A265" i="25"/>
  <c r="H265" i="25"/>
  <c r="A277" i="25"/>
  <c r="H277" i="25"/>
  <c r="A289" i="25"/>
  <c r="H289" i="25"/>
  <c r="A301" i="25"/>
  <c r="H301" i="25"/>
  <c r="A313" i="25"/>
  <c r="H313" i="25"/>
  <c r="A325" i="25"/>
  <c r="H325" i="25"/>
  <c r="A337" i="25"/>
  <c r="H337" i="25"/>
  <c r="A349" i="25"/>
  <c r="H349" i="25"/>
  <c r="A361" i="25"/>
  <c r="H361" i="25"/>
  <c r="A373" i="25"/>
  <c r="H373" i="25"/>
  <c r="A385" i="25"/>
  <c r="H385" i="25"/>
  <c r="A397" i="25"/>
  <c r="H397" i="25"/>
  <c r="A409" i="25"/>
  <c r="H409" i="25"/>
  <c r="A421" i="25"/>
  <c r="H421" i="25"/>
  <c r="A433" i="25"/>
  <c r="H433" i="25"/>
  <c r="A445" i="25"/>
  <c r="H445" i="25"/>
  <c r="A457" i="25"/>
  <c r="H457" i="25"/>
  <c r="A469" i="25"/>
  <c r="H469" i="25"/>
  <c r="A481" i="25"/>
  <c r="H481" i="25"/>
  <c r="A493" i="25"/>
  <c r="H493" i="25"/>
  <c r="H1" i="25"/>
  <c r="A1" i="25"/>
  <c r="C9" i="25" s="1"/>
  <c r="J9" i="25"/>
  <c r="K9" i="25"/>
  <c r="E29" i="25" l="1"/>
  <c r="E31" i="25"/>
  <c r="C33" i="25"/>
  <c r="D33" i="25"/>
  <c r="K21" i="25"/>
  <c r="D21" i="25"/>
  <c r="L19" i="25"/>
  <c r="C21" i="25"/>
  <c r="E19" i="25"/>
  <c r="H9" i="25"/>
  <c r="I9" i="25"/>
  <c r="L7" i="25"/>
  <c r="L5" i="25"/>
  <c r="L6" i="25"/>
  <c r="B4" i="20"/>
  <c r="B5" i="20"/>
  <c r="B6" i="20"/>
  <c r="B7" i="20"/>
  <c r="B15" i="20"/>
  <c r="B16" i="20"/>
  <c r="B20" i="20"/>
  <c r="B21" i="20"/>
  <c r="B22" i="20"/>
  <c r="B27" i="20"/>
  <c r="B28" i="20"/>
  <c r="B29" i="20"/>
  <c r="B30" i="20"/>
  <c r="B32" i="20"/>
  <c r="B33" i="20"/>
  <c r="B35" i="20"/>
  <c r="B37" i="20"/>
  <c r="B38" i="20"/>
  <c r="B39" i="20"/>
  <c r="B40" i="20"/>
  <c r="B44" i="20"/>
  <c r="B46" i="20"/>
  <c r="B47" i="20"/>
  <c r="B48" i="20"/>
  <c r="B51" i="20"/>
  <c r="B52" i="20"/>
  <c r="B53" i="20"/>
  <c r="B2" i="20"/>
  <c r="B3" i="20"/>
  <c r="A1" i="28" l="1"/>
  <c r="A3" i="20" l="1"/>
  <c r="A4" i="20"/>
  <c r="A5" i="20"/>
  <c r="A6" i="20"/>
  <c r="A7" i="20"/>
  <c r="A15" i="20"/>
  <c r="A16" i="20"/>
  <c r="A20" i="20"/>
  <c r="A21" i="20"/>
  <c r="A22" i="20"/>
  <c r="A27" i="20"/>
  <c r="A28" i="20"/>
  <c r="A29" i="20"/>
  <c r="A30" i="20"/>
  <c r="A32" i="20"/>
  <c r="A33" i="20"/>
  <c r="A35" i="20"/>
  <c r="A37" i="20"/>
  <c r="A38" i="20"/>
  <c r="A39" i="20"/>
  <c r="A40" i="20"/>
  <c r="A44" i="20"/>
  <c r="A46" i="20"/>
  <c r="A47" i="20"/>
  <c r="A48" i="20"/>
  <c r="A51" i="20"/>
  <c r="A52" i="20"/>
  <c r="A53" i="20"/>
  <c r="A2" i="20"/>
  <c r="A1" i="27" l="1"/>
  <c r="C2" i="20" l="1"/>
  <c r="E5" i="25" l="1"/>
  <c r="E6" i="25"/>
  <c r="E7" i="25"/>
  <c r="A9" i="25"/>
  <c r="B9" i="25"/>
  <c r="J44" i="20"/>
  <c r="O44" i="20"/>
  <c r="W44" i="20"/>
  <c r="X44" i="20"/>
  <c r="Y44" i="20"/>
  <c r="J45" i="20"/>
  <c r="O45" i="20"/>
  <c r="W45" i="20" s="1"/>
  <c r="O55" i="20"/>
  <c r="K57" i="20"/>
  <c r="H46" i="20"/>
  <c r="G46" i="20"/>
  <c r="H37" i="20"/>
  <c r="G37" i="20"/>
  <c r="H28" i="20"/>
  <c r="G28" i="20"/>
  <c r="H20" i="20"/>
  <c r="G20" i="20"/>
  <c r="H14" i="20"/>
  <c r="G14" i="20"/>
  <c r="W55" i="20" l="1"/>
  <c r="Y55" i="20"/>
  <c r="X45" i="20"/>
  <c r="Z44" i="20"/>
  <c r="AA44" i="20" s="1"/>
  <c r="Y45" i="20"/>
  <c r="Z45" i="20" s="1"/>
  <c r="AB44" i="20"/>
  <c r="X55" i="20"/>
  <c r="Z55" i="20" l="1"/>
  <c r="AB55" i="20" s="1"/>
  <c r="AB45" i="20"/>
  <c r="AA45" i="20"/>
  <c r="V57" i="20"/>
  <c r="U57" i="20"/>
  <c r="T57" i="20"/>
  <c r="S57" i="20"/>
  <c r="R57" i="20"/>
  <c r="Q57" i="20"/>
  <c r="P57" i="20"/>
  <c r="N57" i="20"/>
  <c r="J57" i="20"/>
  <c r="O56" i="20"/>
  <c r="J56" i="20"/>
  <c r="O54" i="20"/>
  <c r="J54" i="20"/>
  <c r="V51" i="20"/>
  <c r="U51" i="20"/>
  <c r="T51" i="20"/>
  <c r="S51" i="20"/>
  <c r="R51" i="20"/>
  <c r="Q51" i="20"/>
  <c r="P51" i="20"/>
  <c r="N51" i="20"/>
  <c r="K51" i="20"/>
  <c r="J51" i="20"/>
  <c r="O50" i="20"/>
  <c r="O49" i="20"/>
  <c r="J50" i="20"/>
  <c r="J49" i="20"/>
  <c r="O41" i="20"/>
  <c r="J43" i="20"/>
  <c r="J42" i="20"/>
  <c r="J41" i="20"/>
  <c r="J40" i="20"/>
  <c r="V46" i="20"/>
  <c r="U46" i="20"/>
  <c r="T46" i="20"/>
  <c r="S46" i="20"/>
  <c r="R46" i="20"/>
  <c r="Q46" i="20"/>
  <c r="P46" i="20"/>
  <c r="N46" i="20"/>
  <c r="M46" i="20"/>
  <c r="L46" i="20"/>
  <c r="K46" i="20"/>
  <c r="J46" i="20"/>
  <c r="O43" i="20"/>
  <c r="O42" i="20"/>
  <c r="O40" i="20"/>
  <c r="J36" i="20"/>
  <c r="J35" i="20"/>
  <c r="J34" i="20"/>
  <c r="J33" i="20"/>
  <c r="J32" i="20"/>
  <c r="J31" i="20"/>
  <c r="O33" i="20"/>
  <c r="O34" i="20"/>
  <c r="O35" i="20"/>
  <c r="O36" i="20"/>
  <c r="U37" i="20"/>
  <c r="T37" i="20"/>
  <c r="S37" i="20"/>
  <c r="R37" i="20"/>
  <c r="Q37" i="20"/>
  <c r="P37" i="20"/>
  <c r="N37" i="20"/>
  <c r="M37" i="20"/>
  <c r="L37" i="20"/>
  <c r="K37" i="20"/>
  <c r="J37" i="20"/>
  <c r="O32" i="20"/>
  <c r="O31" i="20"/>
  <c r="K28" i="20"/>
  <c r="U28" i="20"/>
  <c r="T28" i="20"/>
  <c r="S28" i="20"/>
  <c r="R28" i="20"/>
  <c r="Q28" i="20"/>
  <c r="P28" i="20"/>
  <c r="N28" i="20"/>
  <c r="M28" i="20"/>
  <c r="L28" i="20"/>
  <c r="V20" i="20"/>
  <c r="U20" i="20"/>
  <c r="T20" i="20"/>
  <c r="S20" i="20"/>
  <c r="R20" i="20"/>
  <c r="Q20" i="20"/>
  <c r="P20" i="20"/>
  <c r="N20" i="20"/>
  <c r="M20" i="20"/>
  <c r="L20" i="20"/>
  <c r="K20" i="20"/>
  <c r="J20" i="20"/>
  <c r="V14" i="20"/>
  <c r="U14" i="20"/>
  <c r="T14" i="20"/>
  <c r="S14" i="20"/>
  <c r="R14" i="20"/>
  <c r="Q14" i="20"/>
  <c r="P14" i="20"/>
  <c r="N14" i="20"/>
  <c r="M14" i="20"/>
  <c r="L14" i="20"/>
  <c r="O6" i="20"/>
  <c r="O4" i="20"/>
  <c r="K14" i="20"/>
  <c r="J4" i="20"/>
  <c r="J5" i="20"/>
  <c r="O5" i="20"/>
  <c r="J6" i="20"/>
  <c r="J7" i="20"/>
  <c r="O7" i="20"/>
  <c r="J8" i="20"/>
  <c r="O8" i="20"/>
  <c r="J9" i="20"/>
  <c r="O9" i="20"/>
  <c r="J10" i="20"/>
  <c r="O10" i="20"/>
  <c r="J11" i="20"/>
  <c r="O11" i="20"/>
  <c r="J12" i="20"/>
  <c r="O12" i="20"/>
  <c r="J13" i="20"/>
  <c r="O13" i="20"/>
  <c r="J17" i="20"/>
  <c r="O17" i="20"/>
  <c r="J18" i="20"/>
  <c r="O18" i="20"/>
  <c r="J19" i="20"/>
  <c r="O19" i="20"/>
  <c r="J23" i="20"/>
  <c r="O23" i="20"/>
  <c r="J24" i="20"/>
  <c r="O24" i="20"/>
  <c r="J25" i="20"/>
  <c r="O25" i="20"/>
  <c r="J26" i="20"/>
  <c r="O26" i="20"/>
  <c r="J27" i="20"/>
  <c r="O27" i="20"/>
  <c r="AA55" i="20" l="1"/>
  <c r="W36" i="20"/>
  <c r="W35" i="20"/>
  <c r="W33" i="20"/>
  <c r="W42" i="20"/>
  <c r="L51" i="20"/>
  <c r="W41" i="20"/>
  <c r="O57" i="20"/>
  <c r="W56" i="20"/>
  <c r="W5" i="20"/>
  <c r="Y4" i="20"/>
  <c r="Y27" i="20"/>
  <c r="W26" i="20"/>
  <c r="W25" i="20"/>
  <c r="X24" i="20"/>
  <c r="X23" i="20"/>
  <c r="W19" i="20"/>
  <c r="W18" i="20"/>
  <c r="W17" i="20"/>
  <c r="W13" i="20"/>
  <c r="W12" i="20"/>
  <c r="W11" i="20"/>
  <c r="W10" i="20"/>
  <c r="W9" i="20"/>
  <c r="X8" i="20"/>
  <c r="W7" i="20"/>
  <c r="W6" i="20"/>
  <c r="W34" i="20"/>
  <c r="W43" i="20"/>
  <c r="M51" i="20"/>
  <c r="O51" i="20"/>
  <c r="Y49" i="20"/>
  <c r="W49" i="20"/>
  <c r="W54" i="20"/>
  <c r="Y54" i="20"/>
  <c r="Y56" i="20"/>
  <c r="X54" i="20"/>
  <c r="X56" i="20"/>
  <c r="X50" i="20"/>
  <c r="X49" i="20"/>
  <c r="W50" i="20"/>
  <c r="Y50" i="20"/>
  <c r="O46" i="20"/>
  <c r="O37" i="20"/>
  <c r="X35" i="20"/>
  <c r="Y33" i="20"/>
  <c r="Y40" i="20"/>
  <c r="Y41" i="20"/>
  <c r="Y42" i="20"/>
  <c r="Y43" i="20"/>
  <c r="W40" i="20"/>
  <c r="X40" i="20"/>
  <c r="X41" i="20"/>
  <c r="X42" i="20"/>
  <c r="X43" i="20"/>
  <c r="Y35" i="20"/>
  <c r="X36" i="20"/>
  <c r="X34" i="20"/>
  <c r="X33" i="20"/>
  <c r="Y36" i="20"/>
  <c r="Y34" i="20"/>
  <c r="X31" i="20"/>
  <c r="X32" i="20"/>
  <c r="W31" i="20"/>
  <c r="Y31" i="20"/>
  <c r="W32" i="20"/>
  <c r="Y32" i="20"/>
  <c r="X27" i="20"/>
  <c r="Y5" i="20"/>
  <c r="Y7" i="20"/>
  <c r="Y9" i="20"/>
  <c r="Y11" i="20"/>
  <c r="Y13" i="20"/>
  <c r="V27" i="20"/>
  <c r="V28" i="20" s="1"/>
  <c r="Y6" i="20"/>
  <c r="Y8" i="20"/>
  <c r="Y10" i="20"/>
  <c r="Y12" i="20"/>
  <c r="X26" i="20"/>
  <c r="W27" i="20"/>
  <c r="O28" i="20"/>
  <c r="Y23" i="20"/>
  <c r="Y25" i="20"/>
  <c r="Y24" i="20"/>
  <c r="Y26" i="20"/>
  <c r="O20" i="20"/>
  <c r="Y18" i="20"/>
  <c r="Y17" i="20"/>
  <c r="Y19" i="20"/>
  <c r="X25" i="20"/>
  <c r="W24" i="20"/>
  <c r="X19" i="20"/>
  <c r="X18" i="20"/>
  <c r="X17" i="20"/>
  <c r="X12" i="20"/>
  <c r="X13" i="20"/>
  <c r="X11" i="20"/>
  <c r="X10" i="20"/>
  <c r="X9" i="20"/>
  <c r="X7" i="20"/>
  <c r="X6" i="20"/>
  <c r="X5" i="20"/>
  <c r="X4" i="20"/>
  <c r="W4" i="20"/>
  <c r="W8" i="20"/>
  <c r="W23" i="20"/>
  <c r="J28" i="20"/>
  <c r="W51" i="20" l="1"/>
  <c r="W20" i="20"/>
  <c r="W46" i="20"/>
  <c r="Z56" i="20"/>
  <c r="AB56" i="20" s="1"/>
  <c r="W57" i="20"/>
  <c r="Z42" i="20"/>
  <c r="AB42" i="20" s="1"/>
  <c r="Z33" i="20"/>
  <c r="AA33" i="20" s="1"/>
  <c r="Z43" i="20"/>
  <c r="Z41" i="20"/>
  <c r="AA41" i="20" s="1"/>
  <c r="AA43" i="20"/>
  <c r="L57" i="20"/>
  <c r="M57" i="20"/>
  <c r="Z36" i="20"/>
  <c r="Z34" i="20"/>
  <c r="Z35" i="20"/>
  <c r="X28" i="20"/>
  <c r="Z49" i="20"/>
  <c r="X51" i="20"/>
  <c r="Y51" i="20"/>
  <c r="Y28" i="20"/>
  <c r="Z54" i="20"/>
  <c r="Y57" i="20"/>
  <c r="AA56" i="20"/>
  <c r="X57" i="20"/>
  <c r="Z50" i="20"/>
  <c r="Z40" i="20"/>
  <c r="AB43" i="20"/>
  <c r="AA42" i="20"/>
  <c r="Z31" i="20"/>
  <c r="Y46" i="20"/>
  <c r="X46" i="20"/>
  <c r="Y37" i="20"/>
  <c r="Z32" i="20"/>
  <c r="V37" i="20"/>
  <c r="X37" i="20"/>
  <c r="W37" i="20"/>
  <c r="W28" i="20"/>
  <c r="X20" i="20"/>
  <c r="Y20" i="20"/>
  <c r="Z57" i="20" l="1"/>
  <c r="Z46" i="20"/>
  <c r="AB41" i="20"/>
  <c r="AB33" i="20"/>
  <c r="AB36" i="20"/>
  <c r="AA36" i="20"/>
  <c r="AB34" i="20"/>
  <c r="Z51" i="20"/>
  <c r="AA54" i="20"/>
  <c r="AB49" i="20"/>
  <c r="AA35" i="20"/>
  <c r="AB35" i="20"/>
  <c r="AA34" i="20"/>
  <c r="AA57" i="20"/>
  <c r="AA49" i="20"/>
  <c r="AB54" i="20"/>
  <c r="AA50" i="20"/>
  <c r="AB50" i="20"/>
  <c r="AB32" i="20"/>
  <c r="AA32" i="20"/>
  <c r="AA31" i="20"/>
  <c r="AB31" i="20"/>
  <c r="AA40" i="20"/>
  <c r="AA46" i="20" s="1"/>
  <c r="AB40" i="20"/>
  <c r="Z37" i="20"/>
  <c r="AA51" i="20" l="1"/>
  <c r="AB46" i="20"/>
  <c r="AB51" i="20"/>
  <c r="AB57" i="20"/>
  <c r="AA37" i="20"/>
  <c r="AB37" i="20"/>
  <c r="O3" i="20" l="1"/>
  <c r="C3" i="20" s="1"/>
  <c r="C4" i="20" l="1"/>
  <c r="C5" i="20" s="1"/>
  <c r="C6" i="20" s="1"/>
  <c r="C7" i="20" s="1"/>
  <c r="O14" i="20"/>
  <c r="N10" i="25" s="1"/>
  <c r="W3" i="20"/>
  <c r="Y3" i="20"/>
  <c r="Y14" i="20" s="1"/>
  <c r="Z18" i="20"/>
  <c r="X3" i="20"/>
  <c r="X14" i="20" s="1"/>
  <c r="W14" i="20" l="1"/>
  <c r="C8" i="20"/>
  <c r="Z13" i="20"/>
  <c r="Z12" i="20"/>
  <c r="AA12" i="20" s="1"/>
  <c r="Z17" i="20"/>
  <c r="Z27" i="20"/>
  <c r="AA18" i="20"/>
  <c r="AB18" i="20"/>
  <c r="Z8" i="20"/>
  <c r="Z4" i="20"/>
  <c r="Z10" i="20"/>
  <c r="Z7" i="20"/>
  <c r="Z23" i="20"/>
  <c r="Z6" i="20"/>
  <c r="Z9" i="20"/>
  <c r="Z26" i="20"/>
  <c r="Z24" i="20"/>
  <c r="Z5" i="20"/>
  <c r="Z11" i="20"/>
  <c r="Z19" i="20"/>
  <c r="Z25" i="20"/>
  <c r="Z3" i="20"/>
  <c r="C9" i="20" l="1"/>
  <c r="A9" i="20" s="1"/>
  <c r="AB13" i="20"/>
  <c r="AB12" i="20"/>
  <c r="Z14" i="20"/>
  <c r="O10" i="25" s="1"/>
  <c r="Z28" i="20"/>
  <c r="AA17" i="20"/>
  <c r="Z20" i="20"/>
  <c r="AA13" i="20"/>
  <c r="AB17" i="20"/>
  <c r="AA27" i="20"/>
  <c r="AB27" i="20"/>
  <c r="AA19" i="20"/>
  <c r="AB19" i="20"/>
  <c r="AA5" i="20"/>
  <c r="AB5" i="20"/>
  <c r="AA24" i="20"/>
  <c r="AB24" i="20"/>
  <c r="AB26" i="20"/>
  <c r="AA26" i="20"/>
  <c r="AB9" i="20"/>
  <c r="AA9" i="20"/>
  <c r="AA6" i="20"/>
  <c r="AB6" i="20"/>
  <c r="AA8" i="20"/>
  <c r="AB8" i="20"/>
  <c r="AB25" i="20"/>
  <c r="AA25" i="20"/>
  <c r="AB11" i="20"/>
  <c r="AA11" i="20"/>
  <c r="AA23" i="20"/>
  <c r="AB23" i="20"/>
  <c r="AA7" i="20"/>
  <c r="AB7" i="20"/>
  <c r="AB10" i="20"/>
  <c r="AA10" i="20"/>
  <c r="AA4" i="20"/>
  <c r="AB4" i="20"/>
  <c r="AB3" i="20"/>
  <c r="AA3" i="20"/>
  <c r="B8" i="20" l="1"/>
  <c r="A8" i="20"/>
  <c r="AA14" i="20"/>
  <c r="D9" i="25"/>
  <c r="C10" i="20"/>
  <c r="A10" i="20" s="1"/>
  <c r="AA28" i="20"/>
  <c r="AB28" i="20"/>
  <c r="AA20" i="20"/>
  <c r="AB20" i="20"/>
  <c r="AB14" i="20"/>
  <c r="B14" i="20" l="1"/>
  <c r="A14" i="20"/>
  <c r="B9" i="20"/>
  <c r="B10" i="20"/>
  <c r="C45" i="25"/>
  <c r="K33" i="25"/>
  <c r="B11" i="20"/>
  <c r="B12" i="20"/>
  <c r="J33" i="25"/>
  <c r="B57" i="25"/>
  <c r="L41" i="25"/>
  <c r="E43" i="25"/>
  <c r="L42" i="25"/>
  <c r="E54" i="25"/>
  <c r="L43" i="25"/>
  <c r="P10" i="25"/>
  <c r="B12" i="28"/>
  <c r="C11" i="20"/>
  <c r="A11" i="20" s="1"/>
  <c r="C12" i="28" l="1" a="1"/>
  <c r="C12" i="28" s="1"/>
  <c r="D12" i="28" s="1"/>
  <c r="L29" i="25"/>
  <c r="D57" i="25"/>
  <c r="J45" i="25"/>
  <c r="H45" i="25"/>
  <c r="B13" i="20"/>
  <c r="E41" i="25"/>
  <c r="L31" i="25"/>
  <c r="K45" i="25"/>
  <c r="I57" i="25"/>
  <c r="B45" i="25"/>
  <c r="E55" i="25"/>
  <c r="I45" i="25"/>
  <c r="C57" i="25"/>
  <c r="H33" i="25"/>
  <c r="L30" i="25"/>
  <c r="A57" i="25"/>
  <c r="A45" i="25"/>
  <c r="I33" i="25"/>
  <c r="E42" i="25"/>
  <c r="J57" i="25"/>
  <c r="D45" i="25"/>
  <c r="C12" i="20"/>
  <c r="B13" i="28" l="1"/>
  <c r="L55" i="25"/>
  <c r="E67" i="25"/>
  <c r="H57" i="25"/>
  <c r="A69" i="25"/>
  <c r="D69" i="25"/>
  <c r="A12" i="20"/>
  <c r="E53" i="25"/>
  <c r="K57" i="25"/>
  <c r="L54" i="25"/>
  <c r="B17" i="20"/>
  <c r="C13" i="20"/>
  <c r="A13" i="20" s="1"/>
  <c r="C13" i="28" l="1" a="1"/>
  <c r="C13" i="28" s="1"/>
  <c r="D13" i="28" s="1"/>
  <c r="L53" i="25"/>
  <c r="C69" i="25"/>
  <c r="D81" i="25"/>
  <c r="E66" i="25"/>
  <c r="B69" i="25"/>
  <c r="B18" i="20"/>
  <c r="A81" i="25"/>
  <c r="B19" i="20"/>
  <c r="C14" i="20"/>
  <c r="B14" i="28" l="1"/>
  <c r="C81" i="25"/>
  <c r="H69" i="25"/>
  <c r="L66" i="25"/>
  <c r="B81" i="25"/>
  <c r="B23" i="20"/>
  <c r="E78" i="25"/>
  <c r="E79" i="25"/>
  <c r="L67" i="25"/>
  <c r="K69" i="25"/>
  <c r="J69" i="25"/>
  <c r="I69" i="25"/>
  <c r="C15" i="20"/>
  <c r="C14" i="28" l="1" a="1"/>
  <c r="C14" i="28" s="1"/>
  <c r="B15" i="28" s="1"/>
  <c r="B24" i="20"/>
  <c r="L79" i="25"/>
  <c r="A93" i="25"/>
  <c r="C93" i="25"/>
  <c r="K81" i="25"/>
  <c r="I81" i="25"/>
  <c r="J81" i="25"/>
  <c r="E91" i="25"/>
  <c r="E90" i="25"/>
  <c r="L78" i="25"/>
  <c r="B25" i="20"/>
  <c r="K93" i="25"/>
  <c r="H81" i="25"/>
  <c r="C16" i="20"/>
  <c r="D14" i="28" l="1"/>
  <c r="C15" i="28" a="1"/>
  <c r="C15" i="28" s="1"/>
  <c r="B16" i="28" s="1"/>
  <c r="B26" i="20"/>
  <c r="B31" i="20" s="1"/>
  <c r="L90" i="25"/>
  <c r="E103" i="25"/>
  <c r="B105" i="25"/>
  <c r="I93" i="25"/>
  <c r="E102" i="25"/>
  <c r="B93" i="25"/>
  <c r="A2" i="27"/>
  <c r="A2" i="28"/>
  <c r="C17" i="20"/>
  <c r="D15" i="28" l="1"/>
  <c r="C16" i="28" a="1"/>
  <c r="C16" i="28" s="1"/>
  <c r="B17" i="28" s="1"/>
  <c r="B34" i="20"/>
  <c r="B36" i="20" s="1"/>
  <c r="B41" i="20" s="1"/>
  <c r="B42" i="20" s="1"/>
  <c r="B43" i="20" s="1"/>
  <c r="B45" i="20" s="1"/>
  <c r="B49" i="20" s="1"/>
  <c r="B50" i="20" s="1"/>
  <c r="B54" i="20" s="1"/>
  <c r="B55" i="20" s="1"/>
  <c r="B56" i="20" s="1"/>
  <c r="A17" i="20"/>
  <c r="E65" i="25"/>
  <c r="C18" i="20"/>
  <c r="L65" i="25" s="1"/>
  <c r="D16" i="28" l="1"/>
  <c r="C17" i="28" a="1"/>
  <c r="C17" i="28" s="1"/>
  <c r="B18" i="28" s="1"/>
  <c r="A18" i="20"/>
  <c r="C19" i="20"/>
  <c r="D17" i="28" l="1"/>
  <c r="C18" i="28" a="1"/>
  <c r="C18" i="28" s="1"/>
  <c r="B19" i="28" s="1"/>
  <c r="A19" i="20"/>
  <c r="E77" i="25"/>
  <c r="C20" i="20"/>
  <c r="C21" i="20" s="1"/>
  <c r="C22" i="20" s="1"/>
  <c r="C23" i="20" s="1"/>
  <c r="A23" i="20" s="1"/>
  <c r="D18" i="28" l="1"/>
  <c r="C19" i="28" a="1"/>
  <c r="C19" i="28" s="1"/>
  <c r="B20" i="28" s="1"/>
  <c r="A3" i="27"/>
  <c r="C24" i="20"/>
  <c r="A24" i="20" s="1"/>
  <c r="D19" i="28" l="1"/>
  <c r="C20" i="28" a="1"/>
  <c r="C20" i="28" s="1"/>
  <c r="B21" i="28" s="1"/>
  <c r="C25" i="20"/>
  <c r="D20" i="28" l="1"/>
  <c r="C21" i="28" a="1"/>
  <c r="C21" i="28" s="1"/>
  <c r="B22" i="28" s="1"/>
  <c r="A25" i="20"/>
  <c r="C26" i="20"/>
  <c r="D21" i="28" l="1"/>
  <c r="C22" i="28" a="1"/>
  <c r="C22" i="28" s="1"/>
  <c r="B23" i="28" s="1"/>
  <c r="A26" i="20"/>
  <c r="C27" i="20"/>
  <c r="D22" i="28" l="1"/>
  <c r="C23" i="28" a="1"/>
  <c r="C23" i="28" s="1"/>
  <c r="B24" i="28" s="1"/>
  <c r="C28" i="20"/>
  <c r="C29" i="20" s="1"/>
  <c r="C30" i="20" s="1"/>
  <c r="C31" i="20" s="1"/>
  <c r="A31" i="20" s="1"/>
  <c r="D23" i="28" l="1"/>
  <c r="C24" i="28" a="1"/>
  <c r="C24" i="28" s="1"/>
  <c r="B25" i="28" s="1"/>
  <c r="C32" i="20"/>
  <c r="D24" i="28" l="1"/>
  <c r="C25" i="28" a="1"/>
  <c r="C25" i="28" s="1"/>
  <c r="B26" i="28" s="1"/>
  <c r="C33" i="20"/>
  <c r="D25" i="28" l="1"/>
  <c r="C26" i="28" a="1"/>
  <c r="C26" i="28" s="1"/>
  <c r="B27" i="28" s="1"/>
  <c r="C34" i="20"/>
  <c r="D26" i="28" l="1"/>
  <c r="C27" i="28" a="1"/>
  <c r="C27" i="28" s="1"/>
  <c r="B28" i="28" s="1"/>
  <c r="A34" i="20"/>
  <c r="C35" i="20"/>
  <c r="D27" i="28" l="1"/>
  <c r="C28" i="28" a="1"/>
  <c r="C28" i="28" s="1"/>
  <c r="B29" i="28" s="1"/>
  <c r="C36" i="20"/>
  <c r="D28" i="28" l="1"/>
  <c r="C29" i="28" a="1"/>
  <c r="C29" i="28" s="1"/>
  <c r="B30" i="28" s="1"/>
  <c r="A36" i="20"/>
  <c r="C37" i="20"/>
  <c r="C38" i="20" s="1"/>
  <c r="C39" i="20" s="1"/>
  <c r="C40" i="20" s="1"/>
  <c r="D29" i="28" l="1"/>
  <c r="C30" i="28" a="1"/>
  <c r="C30" i="28" s="1"/>
  <c r="B31" i="28" s="1"/>
  <c r="C41" i="20"/>
  <c r="D30" i="28" l="1"/>
  <c r="C31" i="28" a="1"/>
  <c r="C31" i="28" s="1"/>
  <c r="B32" i="28" s="1"/>
  <c r="A41" i="20"/>
  <c r="C42" i="20"/>
  <c r="D31" i="28" l="1"/>
  <c r="C32" i="28" a="1"/>
  <c r="C32" i="28" s="1"/>
  <c r="B33" i="28" s="1"/>
  <c r="A42" i="20"/>
  <c r="C43" i="20"/>
  <c r="D32" i="28" l="1"/>
  <c r="C33" i="28" a="1"/>
  <c r="C33" i="28" s="1"/>
  <c r="B34" i="28" s="1"/>
  <c r="A43" i="20"/>
  <c r="C44" i="20"/>
  <c r="D33" i="28" l="1"/>
  <c r="C34" i="28" a="1"/>
  <c r="C34" i="28" s="1"/>
  <c r="B35" i="28" s="1"/>
  <c r="C45" i="20"/>
  <c r="D34" i="28" l="1"/>
  <c r="C35" i="28" a="1"/>
  <c r="C35" i="28" s="1"/>
  <c r="B36" i="28" s="1"/>
  <c r="A45" i="20"/>
  <c r="C46" i="20"/>
  <c r="C47" i="20" s="1"/>
  <c r="C48" i="20" s="1"/>
  <c r="C49" i="20" s="1"/>
  <c r="D35" i="28" l="1"/>
  <c r="C36" i="28" a="1"/>
  <c r="C36" i="28" s="1"/>
  <c r="B37" i="28" s="1"/>
  <c r="A49" i="20"/>
  <c r="C50" i="20"/>
  <c r="D36" i="28" l="1"/>
  <c r="C37" i="28" a="1"/>
  <c r="C37" i="28" s="1"/>
  <c r="B38" i="28" s="1"/>
  <c r="A50" i="20"/>
  <c r="C51" i="20"/>
  <c r="C52" i="20" s="1"/>
  <c r="C53" i="20" s="1"/>
  <c r="C54" i="20" s="1"/>
  <c r="D37" i="28" l="1"/>
  <c r="C38" i="28" a="1"/>
  <c r="C38" i="28" s="1"/>
  <c r="B39" i="28" s="1"/>
  <c r="A54" i="20"/>
  <c r="C55" i="20"/>
  <c r="D38" i="28" l="1"/>
  <c r="D39" i="28" s="1"/>
  <c r="C39" i="28" a="1"/>
  <c r="C39" i="28" s="1"/>
  <c r="B40" i="28" s="1"/>
  <c r="A55" i="20"/>
  <c r="C56" i="20"/>
  <c r="C40" i="28" l="1" a="1"/>
  <c r="C40" i="28" s="1"/>
  <c r="B41" i="28" s="1"/>
  <c r="D141" i="25"/>
  <c r="H345" i="25"/>
  <c r="J285" i="25"/>
  <c r="J297" i="25"/>
  <c r="J153" i="25"/>
  <c r="D261" i="25"/>
  <c r="J105" i="25"/>
  <c r="J453" i="25"/>
  <c r="D117" i="25"/>
  <c r="J201" i="25"/>
  <c r="J489" i="25"/>
  <c r="J381" i="25"/>
  <c r="L379" i="25"/>
  <c r="I345" i="25"/>
  <c r="C273" i="25"/>
  <c r="I117" i="25"/>
  <c r="J477" i="25"/>
  <c r="D333" i="25"/>
  <c r="D93" i="25"/>
  <c r="D165" i="25"/>
  <c r="D417" i="25"/>
  <c r="E137" i="25"/>
  <c r="D129" i="25"/>
  <c r="D201" i="25"/>
  <c r="C441" i="25"/>
  <c r="H429" i="25"/>
  <c r="L115" i="25"/>
  <c r="H93" i="25"/>
  <c r="L317" i="25"/>
  <c r="K249" i="25"/>
  <c r="L343" i="25"/>
  <c r="J417" i="25"/>
  <c r="J465" i="25"/>
  <c r="I273" i="25"/>
  <c r="L233" i="25"/>
  <c r="E114" i="25"/>
  <c r="L439" i="25"/>
  <c r="L151" i="25"/>
  <c r="D369" i="25"/>
  <c r="J249" i="25"/>
  <c r="J345" i="25"/>
  <c r="D273" i="25"/>
  <c r="L438" i="25"/>
  <c r="E270" i="25"/>
  <c r="H381" i="25"/>
  <c r="B189" i="25"/>
  <c r="A249" i="25"/>
  <c r="E473" i="25"/>
  <c r="L463" i="25"/>
  <c r="L425" i="25"/>
  <c r="J177" i="25"/>
  <c r="C117" i="25"/>
  <c r="A477" i="25"/>
  <c r="J237" i="25"/>
  <c r="D213" i="25"/>
  <c r="E319" i="25"/>
  <c r="B345" i="25"/>
  <c r="L426" i="25"/>
  <c r="J141" i="25"/>
  <c r="D249" i="25"/>
  <c r="E439" i="25"/>
  <c r="E390" i="25"/>
  <c r="C285" i="25"/>
  <c r="C213" i="25"/>
  <c r="C417" i="25"/>
  <c r="E378" i="25"/>
  <c r="I177" i="25"/>
  <c r="E365" i="25"/>
  <c r="E89" i="25"/>
  <c r="D477" i="25"/>
  <c r="J333" i="25"/>
  <c r="L269" i="25"/>
  <c r="J357" i="25"/>
  <c r="J405" i="25"/>
  <c r="I429" i="25"/>
  <c r="L77" i="25"/>
  <c r="K153" i="25"/>
  <c r="D225" i="25"/>
  <c r="K225" i="25"/>
  <c r="E186" i="25"/>
  <c r="D345" i="25"/>
  <c r="H237" i="25"/>
  <c r="J273" i="25"/>
  <c r="K129" i="25"/>
  <c r="J189" i="25"/>
  <c r="K369" i="25"/>
  <c r="L451" i="25"/>
  <c r="B297" i="25"/>
  <c r="L138" i="25"/>
  <c r="E425" i="25"/>
  <c r="J429" i="25"/>
  <c r="E245" i="25"/>
  <c r="I201" i="25"/>
  <c r="B177" i="25"/>
  <c r="A225" i="25"/>
  <c r="B357" i="25"/>
  <c r="A201" i="25"/>
  <c r="K429" i="25"/>
  <c r="E101" i="25"/>
  <c r="E426" i="25"/>
  <c r="E379" i="25"/>
  <c r="D285" i="25"/>
  <c r="L174" i="25"/>
  <c r="E367" i="25"/>
  <c r="C105" i="25"/>
  <c r="L187" i="25"/>
  <c r="D105" i="25"/>
  <c r="C345" i="25"/>
  <c r="E247" i="25"/>
  <c r="E331" i="25"/>
  <c r="C237" i="25"/>
  <c r="L413" i="25"/>
  <c r="E391" i="25"/>
  <c r="B333" i="25"/>
  <c r="L305" i="25"/>
  <c r="H225" i="25"/>
  <c r="A441" i="25"/>
  <c r="A381" i="25"/>
  <c r="H285" i="25"/>
  <c r="J117" i="25"/>
  <c r="L378" i="25"/>
  <c r="C297" i="25"/>
  <c r="I153" i="25"/>
  <c r="K237" i="25"/>
  <c r="H369" i="25"/>
  <c r="E162" i="25"/>
  <c r="E403" i="25"/>
  <c r="J393" i="25"/>
  <c r="J309" i="25"/>
  <c r="K189" i="25"/>
  <c r="D441" i="25"/>
  <c r="C405" i="25"/>
  <c r="E438" i="25"/>
  <c r="A165" i="25"/>
  <c r="E341" i="25"/>
  <c r="K489" i="25"/>
  <c r="L126" i="25"/>
  <c r="C201" i="25"/>
  <c r="E149" i="25"/>
  <c r="L257" i="25"/>
  <c r="I249" i="25"/>
  <c r="I309" i="25"/>
  <c r="K285" i="25"/>
  <c r="I213" i="25"/>
  <c r="D429" i="25"/>
  <c r="L427" i="25"/>
  <c r="H141" i="25"/>
  <c r="L342" i="25"/>
  <c r="I489" i="25"/>
  <c r="L271" i="25"/>
  <c r="A321" i="25"/>
  <c r="B489" i="25"/>
  <c r="J441" i="25"/>
  <c r="L329" i="25"/>
  <c r="L127" i="25"/>
  <c r="K141" i="25"/>
  <c r="E198" i="25"/>
  <c r="L485" i="25"/>
  <c r="B237" i="25"/>
  <c r="H189" i="25"/>
  <c r="J165" i="25"/>
  <c r="E474" i="25"/>
  <c r="L318" i="25"/>
  <c r="A345" i="25"/>
  <c r="B369" i="25"/>
  <c r="C309" i="25"/>
  <c r="L150" i="25"/>
  <c r="D297" i="25"/>
  <c r="L173" i="25"/>
  <c r="I321" i="25"/>
  <c r="K309" i="25"/>
  <c r="E283" i="25"/>
  <c r="E175" i="25"/>
  <c r="K357" i="25"/>
  <c r="B441" i="25"/>
  <c r="H273" i="25"/>
  <c r="B273" i="25"/>
  <c r="H441" i="25"/>
  <c r="J213" i="25"/>
  <c r="E271" i="25"/>
  <c r="E282" i="25"/>
  <c r="E174" i="25"/>
  <c r="E450" i="25"/>
  <c r="E389" i="25"/>
  <c r="I417" i="25"/>
  <c r="A105" i="25"/>
  <c r="K201" i="25"/>
  <c r="B117" i="25"/>
  <c r="C225" i="25"/>
  <c r="A261" i="25"/>
  <c r="E317" i="25"/>
  <c r="L199" i="25"/>
  <c r="E257" i="25"/>
  <c r="I165" i="25"/>
  <c r="D237" i="25"/>
  <c r="L319" i="25"/>
  <c r="I261" i="25"/>
  <c r="L102" i="25"/>
  <c r="E377" i="25"/>
  <c r="D357" i="25"/>
  <c r="A357" i="25"/>
  <c r="L198" i="25"/>
  <c r="B261" i="25"/>
  <c r="L175" i="25"/>
  <c r="A393" i="25"/>
  <c r="E185" i="25"/>
  <c r="L283" i="25"/>
  <c r="H249" i="25"/>
  <c r="B405" i="25"/>
  <c r="E294" i="25"/>
  <c r="L330" i="25"/>
  <c r="L462" i="25"/>
  <c r="L377" i="25"/>
  <c r="K417" i="25"/>
  <c r="I381" i="25"/>
  <c r="D153" i="25"/>
  <c r="H465" i="25"/>
  <c r="L354" i="25"/>
  <c r="A177" i="25"/>
  <c r="B393" i="25"/>
  <c r="A285" i="25"/>
  <c r="L223" i="25"/>
  <c r="D177" i="25"/>
  <c r="H321" i="25"/>
  <c r="J225" i="25"/>
  <c r="C249" i="25"/>
  <c r="E449" i="25"/>
  <c r="I141" i="25"/>
  <c r="C393" i="25"/>
  <c r="C129" i="25"/>
  <c r="C465" i="25"/>
  <c r="L475" i="25"/>
  <c r="B309" i="25"/>
  <c r="L235" i="25"/>
  <c r="D309" i="25"/>
  <c r="L473" i="25"/>
  <c r="L89" i="25"/>
  <c r="L402" i="25"/>
  <c r="K393" i="25"/>
  <c r="D465" i="25"/>
  <c r="A309" i="25"/>
  <c r="B477" i="25"/>
  <c r="D489" i="25"/>
  <c r="J129" i="25"/>
  <c r="K165" i="25"/>
  <c r="J93" i="25"/>
  <c r="B141" i="25"/>
  <c r="E306" i="25"/>
  <c r="L390" i="25"/>
  <c r="B381" i="25"/>
  <c r="E293" i="25"/>
  <c r="L161" i="25"/>
  <c r="L365" i="25"/>
  <c r="K105" i="25"/>
  <c r="L103" i="25"/>
  <c r="H177" i="25"/>
  <c r="B201" i="25"/>
  <c r="A453" i="25"/>
  <c r="A213" i="25"/>
  <c r="E366" i="25"/>
  <c r="E427" i="25"/>
  <c r="C141" i="25"/>
  <c r="A333" i="25"/>
  <c r="B429" i="25"/>
  <c r="I477" i="25"/>
  <c r="C321" i="25"/>
  <c r="E197" i="25"/>
  <c r="I225" i="25"/>
  <c r="C261" i="25"/>
  <c r="E355" i="25"/>
  <c r="E463" i="25"/>
  <c r="J261" i="25"/>
  <c r="D321" i="25"/>
  <c r="L367" i="25"/>
  <c r="L282" i="25"/>
  <c r="A117" i="25"/>
  <c r="E330" i="25"/>
  <c r="L341" i="25"/>
  <c r="E305" i="25"/>
  <c r="E210" i="25"/>
  <c r="L114" i="25"/>
  <c r="L307" i="25"/>
  <c r="D189" i="25"/>
  <c r="B213" i="25"/>
  <c r="H393" i="25"/>
  <c r="L258" i="25"/>
  <c r="B417" i="25"/>
  <c r="L281" i="25"/>
  <c r="E343" i="25"/>
  <c r="E437" i="25"/>
  <c r="L222" i="25"/>
  <c r="L331" i="25"/>
  <c r="E415" i="25"/>
  <c r="L162" i="25"/>
  <c r="H477" i="25"/>
  <c r="B165" i="25"/>
  <c r="B453" i="25"/>
  <c r="K441" i="25"/>
  <c r="E354" i="25"/>
  <c r="H417" i="25"/>
  <c r="L294" i="25"/>
  <c r="C429" i="25"/>
  <c r="E485" i="25"/>
  <c r="E233" i="25"/>
  <c r="L414" i="25"/>
  <c r="C369" i="25"/>
  <c r="K273" i="25"/>
  <c r="E414" i="25"/>
  <c r="E475" i="25"/>
  <c r="I357" i="25"/>
  <c r="K405" i="25"/>
  <c r="L91" i="25"/>
  <c r="L293" i="25"/>
  <c r="E295" i="25"/>
  <c r="K213" i="25"/>
  <c r="A189" i="25"/>
  <c r="I465" i="25"/>
  <c r="C357" i="25"/>
  <c r="H129" i="25"/>
  <c r="E307" i="25"/>
  <c r="E138" i="25"/>
  <c r="L437" i="25"/>
  <c r="E163" i="25"/>
  <c r="E113" i="25"/>
  <c r="D393" i="25"/>
  <c r="L306" i="25"/>
  <c r="L449" i="25"/>
  <c r="E115" i="25"/>
  <c r="L366" i="25"/>
  <c r="E402" i="25"/>
  <c r="L113" i="25"/>
  <c r="L415" i="25"/>
  <c r="B285" i="25"/>
  <c r="E199" i="25"/>
  <c r="H117" i="25"/>
  <c r="L125" i="25"/>
  <c r="L137" i="25"/>
  <c r="I333" i="25"/>
  <c r="I297" i="25"/>
  <c r="I189" i="25"/>
  <c r="L186" i="25"/>
  <c r="I453" i="25"/>
  <c r="E259" i="25"/>
  <c r="E211" i="25"/>
  <c r="L209" i="25"/>
  <c r="D453" i="25"/>
  <c r="L234" i="25"/>
  <c r="K345" i="25"/>
  <c r="A417" i="25"/>
  <c r="K297" i="25"/>
  <c r="A297" i="25"/>
  <c r="C153" i="25"/>
  <c r="K117" i="25"/>
  <c r="C489" i="25"/>
  <c r="L101" i="25"/>
  <c r="H105" i="25"/>
  <c r="L355" i="25"/>
  <c r="E127" i="25"/>
  <c r="H261" i="25"/>
  <c r="L474" i="25"/>
  <c r="J369" i="25"/>
  <c r="B321" i="25"/>
  <c r="L259" i="25"/>
  <c r="J321" i="25"/>
  <c r="L270" i="25"/>
  <c r="C381" i="25"/>
  <c r="E401" i="25"/>
  <c r="C189" i="25"/>
  <c r="A429" i="25"/>
  <c r="H213" i="25"/>
  <c r="A369" i="25"/>
  <c r="H489" i="25"/>
  <c r="E150" i="25"/>
  <c r="I393" i="25"/>
  <c r="L461" i="25"/>
  <c r="E161" i="25"/>
  <c r="A273" i="25"/>
  <c r="K477" i="25"/>
  <c r="E234" i="25"/>
  <c r="L185" i="25"/>
  <c r="H153" i="25"/>
  <c r="E235" i="25"/>
  <c r="I369" i="25"/>
  <c r="I285" i="25"/>
  <c r="H453" i="25"/>
  <c r="L139" i="25"/>
  <c r="A465" i="25"/>
  <c r="I441" i="25"/>
  <c r="K465" i="25"/>
  <c r="E246" i="25"/>
  <c r="E353" i="25"/>
  <c r="E281" i="25"/>
  <c r="E487" i="25"/>
  <c r="L295" i="25"/>
  <c r="K261" i="25"/>
  <c r="K177" i="25"/>
  <c r="E258" i="25"/>
  <c r="H201" i="25"/>
  <c r="L353" i="25"/>
  <c r="H297" i="25"/>
  <c r="E209" i="25"/>
  <c r="L197" i="25"/>
  <c r="H309" i="25"/>
  <c r="I237" i="25"/>
  <c r="C333" i="25"/>
  <c r="K453" i="25"/>
  <c r="E318" i="25"/>
  <c r="E222" i="25"/>
  <c r="L403" i="25"/>
  <c r="E221" i="25"/>
  <c r="A405" i="25"/>
  <c r="L487" i="25"/>
  <c r="D405" i="25"/>
  <c r="I105" i="25"/>
  <c r="H165" i="25"/>
  <c r="C177" i="25"/>
  <c r="B225" i="25"/>
  <c r="E329" i="25"/>
  <c r="L389" i="25"/>
  <c r="E461" i="25"/>
  <c r="C165" i="25"/>
  <c r="K333" i="25"/>
  <c r="B465" i="25"/>
  <c r="E126" i="25"/>
  <c r="H405" i="25"/>
  <c r="E342" i="25"/>
  <c r="E413" i="25"/>
  <c r="L163" i="25"/>
  <c r="E486" i="25"/>
  <c r="D381" i="25"/>
  <c r="L247" i="25"/>
  <c r="L401" i="25"/>
  <c r="E451" i="25"/>
  <c r="E125" i="25"/>
  <c r="A153" i="25"/>
  <c r="A129" i="25"/>
  <c r="E151" i="25"/>
  <c r="E139" i="25"/>
  <c r="A237" i="25"/>
  <c r="L391" i="25"/>
  <c r="B129" i="25"/>
  <c r="A489" i="25"/>
  <c r="L149" i="25"/>
  <c r="A141" i="25"/>
  <c r="E269" i="25"/>
  <c r="H357" i="25"/>
  <c r="B153" i="25"/>
  <c r="L246" i="25"/>
  <c r="C453" i="25"/>
  <c r="H333" i="25"/>
  <c r="K381" i="25"/>
  <c r="L210" i="25"/>
  <c r="C477" i="25"/>
  <c r="I129" i="25"/>
  <c r="L450" i="25"/>
  <c r="L211" i="25"/>
  <c r="L486" i="25"/>
  <c r="E462" i="25"/>
  <c r="I405" i="25"/>
  <c r="E173" i="25"/>
  <c r="K321" i="25"/>
  <c r="E223" i="25"/>
  <c r="L245" i="25"/>
  <c r="B249" i="25"/>
  <c r="E187" i="25"/>
  <c r="L221" i="25"/>
  <c r="A7" i="28"/>
  <c r="A5" i="28"/>
  <c r="A6" i="28"/>
  <c r="A3" i="28"/>
  <c r="A4" i="28"/>
  <c r="A25" i="28"/>
  <c r="A21" i="28"/>
  <c r="A17" i="28"/>
  <c r="A13" i="28"/>
  <c r="A9" i="28"/>
  <c r="A24" i="28"/>
  <c r="A20" i="28"/>
  <c r="A16" i="28"/>
  <c r="A12" i="28"/>
  <c r="A8" i="28"/>
  <c r="A23" i="28"/>
  <c r="A19" i="28"/>
  <c r="A15" i="28"/>
  <c r="A11" i="28"/>
  <c r="A22" i="28"/>
  <c r="A18" i="28"/>
  <c r="A14" i="28"/>
  <c r="A10" i="28"/>
  <c r="A56" i="20"/>
  <c r="A8" i="27"/>
  <c r="A9" i="27"/>
  <c r="A14" i="27"/>
  <c r="A24" i="27"/>
  <c r="A11" i="27"/>
  <c r="A15" i="27"/>
  <c r="A13" i="27"/>
  <c r="A19" i="27"/>
  <c r="A23" i="27"/>
  <c r="A5" i="27"/>
  <c r="A12" i="27"/>
  <c r="A22" i="27"/>
  <c r="A20" i="27"/>
  <c r="A21" i="27"/>
  <c r="A25" i="27"/>
  <c r="A7" i="27"/>
  <c r="A17" i="27"/>
  <c r="A16" i="27"/>
  <c r="A18" i="27"/>
  <c r="A6" i="27"/>
  <c r="A10" i="27"/>
  <c r="A4" i="27"/>
  <c r="D40" i="28" l="1"/>
  <c r="C41" i="28" a="1"/>
  <c r="C41" i="28" s="1"/>
  <c r="B42" i="28" s="1"/>
  <c r="O9" i="25" a="1"/>
  <c r="O9" i="25" s="1"/>
  <c r="O11" i="25" s="1"/>
  <c r="N9" i="25" a="1"/>
  <c r="N9" i="25" s="1"/>
  <c r="N11" i="25" s="1"/>
  <c r="P9" i="25" a="1"/>
  <c r="P9" i="25" s="1"/>
  <c r="P11" i="25" s="1"/>
  <c r="E3" i="27"/>
  <c r="D41" i="28" l="1"/>
  <c r="C42" i="28" a="1"/>
  <c r="C42" i="28" s="1"/>
  <c r="B43" i="28" s="1"/>
  <c r="B9" i="27" a="1"/>
  <c r="B9" i="27" s="1"/>
  <c r="D42" i="28" l="1"/>
  <c r="C43" i="28" a="1"/>
  <c r="C43" i="28" s="1"/>
  <c r="B44" i="28" s="1"/>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3" i="27"/>
  <c r="D12" i="27"/>
  <c r="D11" i="27"/>
  <c r="C39" i="27" a="1"/>
  <c r="C39" i="27" s="1"/>
  <c r="C31" i="27" a="1"/>
  <c r="C31" i="27" s="1"/>
  <c r="C23" i="27" a="1"/>
  <c r="C23" i="27" s="1"/>
  <c r="C40" i="27" a="1"/>
  <c r="C40" i="27" s="1"/>
  <c r="C32" i="27" a="1"/>
  <c r="C32" i="27" s="1"/>
  <c r="C24" i="27" a="1"/>
  <c r="C24" i="27" s="1"/>
  <c r="C12" i="27" a="1"/>
  <c r="C12" i="27" s="1"/>
  <c r="C38" i="27" a="1"/>
  <c r="C38" i="27" s="1"/>
  <c r="C30" i="27" a="1"/>
  <c r="C30" i="27" s="1"/>
  <c r="C22" i="27" a="1"/>
  <c r="C22" i="27" s="1"/>
  <c r="C20" i="27" a="1"/>
  <c r="C20" i="27" s="1"/>
  <c r="C14" i="27" a="1"/>
  <c r="C14" i="27" s="1"/>
  <c r="C33" i="27" a="1"/>
  <c r="C33" i="27" s="1"/>
  <c r="C25" i="27" a="1"/>
  <c r="C25" i="27" s="1"/>
  <c r="C17" i="27" a="1"/>
  <c r="C17" i="27" s="1"/>
  <c r="C11" i="27" a="1"/>
  <c r="C11" i="27" s="1"/>
  <c r="C35" i="27" a="1"/>
  <c r="C35" i="27" s="1"/>
  <c r="C27" i="27" a="1"/>
  <c r="C27" i="27" s="1"/>
  <c r="C19" i="27" a="1"/>
  <c r="C19" i="27" s="1"/>
  <c r="C36" i="27" a="1"/>
  <c r="C36" i="27" s="1"/>
  <c r="C28" i="27" a="1"/>
  <c r="C28" i="27" s="1"/>
  <c r="C13" i="27" a="1"/>
  <c r="C13" i="27" s="1"/>
  <c r="C34" i="27" a="1"/>
  <c r="C34" i="27" s="1"/>
  <c r="C26" i="27" a="1"/>
  <c r="C26" i="27" s="1"/>
  <c r="C18" i="27" a="1"/>
  <c r="C18" i="27" s="1"/>
  <c r="C15" i="27" a="1"/>
  <c r="C15" i="27" s="1"/>
  <c r="C16" i="27" a="1"/>
  <c r="C16" i="27" s="1"/>
  <c r="C37" i="27" a="1"/>
  <c r="C37" i="27" s="1"/>
  <c r="C29" i="27" a="1"/>
  <c r="C29" i="27" s="1"/>
  <c r="C21" i="27" a="1"/>
  <c r="C21" i="27" s="1"/>
  <c r="D43" i="28" l="1"/>
  <c r="C44" i="28" a="1"/>
  <c r="C44" i="28" s="1"/>
  <c r="B45" i="28" s="1"/>
  <c r="D14" i="27"/>
  <c r="C45" i="28" l="1" a="1"/>
  <c r="C45" i="28" s="1"/>
  <c r="B46" i="28" s="1"/>
  <c r="D44" i="28"/>
  <c r="C46" i="28" l="1" a="1"/>
  <c r="C46" i="28" s="1"/>
  <c r="B47" i="28" s="1"/>
  <c r="D45" i="28"/>
  <c r="D46" i="28" l="1"/>
  <c r="C47" i="28" a="1"/>
  <c r="C47" i="28" s="1"/>
  <c r="B48" i="28" s="1"/>
  <c r="D47" i="28" l="1"/>
  <c r="C48" i="28" a="1"/>
  <c r="C48" i="28" s="1"/>
  <c r="B49" i="28" s="1"/>
  <c r="D48" i="28" l="1"/>
  <c r="C49" i="28" a="1"/>
  <c r="C49" i="28" s="1"/>
  <c r="B50" i="28" s="1"/>
  <c r="C50" i="28" s="1" a="1"/>
  <c r="C50" i="28" s="1"/>
  <c r="D50" i="28" s="1"/>
  <c r="D49" i="28" l="1"/>
</calcChain>
</file>

<file path=xl/comments1.xml><?xml version="1.0" encoding="utf-8"?>
<comments xmlns="http://schemas.openxmlformats.org/spreadsheetml/2006/main">
  <authors>
    <author>Гусев Александр Валентинович</author>
  </authors>
  <commentList>
    <comment ref="E8" authorId="0">
      <text>
        <r>
          <rPr>
            <b/>
            <sz val="9"/>
            <color indexed="81"/>
            <rFont val="Tahoma"/>
            <family val="2"/>
            <charset val="204"/>
          </rPr>
          <t>Высоту строк 8 и 9 регулируем размером шрифта в ячейках Е8 и Е9</t>
        </r>
      </text>
    </comment>
  </commentList>
</comments>
</file>

<file path=xl/sharedStrings.xml><?xml version="1.0" encoding="utf-8"?>
<sst xmlns="http://schemas.openxmlformats.org/spreadsheetml/2006/main" count="1035" uniqueCount="107">
  <si>
    <t>- минимальная з/плата</t>
  </si>
  <si>
    <t>Подоходный налог:</t>
  </si>
  <si>
    <t>- для договорных</t>
  </si>
  <si>
    <t>ректор</t>
  </si>
  <si>
    <t>Матинов Холиддин</t>
  </si>
  <si>
    <t>Наботов Насим</t>
  </si>
  <si>
    <t>Нуриддинов А</t>
  </si>
  <si>
    <t>Зиёев Идибек</t>
  </si>
  <si>
    <t>Рахматова Зебо</t>
  </si>
  <si>
    <t>Исмоилов Мирзо</t>
  </si>
  <si>
    <t>Салимов Юсуф</t>
  </si>
  <si>
    <t>Саидов Хайрулло</t>
  </si>
  <si>
    <t>Сангов Самад</t>
  </si>
  <si>
    <t>Тољиддинов Абдукар</t>
  </si>
  <si>
    <t>Зокиров Закариё</t>
  </si>
  <si>
    <t>Давлатов Сулаймон</t>
  </si>
  <si>
    <t>Рахимов Шавкат</t>
  </si>
  <si>
    <t>№</t>
  </si>
  <si>
    <r>
      <t>Д</t>
    </r>
    <r>
      <rPr>
        <b/>
        <vertAlign val="superscript"/>
        <sz val="8"/>
        <color theme="0"/>
        <rFont val="Arial TAJ"/>
        <family val="2"/>
        <charset val="204"/>
      </rPr>
      <t>т</t>
    </r>
  </si>
  <si>
    <r>
      <t>К</t>
    </r>
    <r>
      <rPr>
        <b/>
        <vertAlign val="superscript"/>
        <sz val="8"/>
        <color theme="0"/>
        <rFont val="Arial TAJ"/>
        <family val="2"/>
        <charset val="204"/>
      </rPr>
      <t>т</t>
    </r>
  </si>
  <si>
    <t>∑ +</t>
  </si>
  <si>
    <t>∑ -</t>
  </si>
  <si>
    <t>Солехов Файзулло</t>
  </si>
  <si>
    <t>Саидов Абдуманон</t>
  </si>
  <si>
    <t>Каххорова Озода</t>
  </si>
  <si>
    <t>Аминов Муњаммад</t>
  </si>
  <si>
    <t>Давлатов Абдурахмон</t>
  </si>
  <si>
    <t>Тоиров Љурали</t>
  </si>
  <si>
    <t>Љалилов Кобилљон</t>
  </si>
  <si>
    <t>Наимов Сафар</t>
  </si>
  <si>
    <t>Муратов Акбар</t>
  </si>
  <si>
    <t>Сафаров Собир</t>
  </si>
  <si>
    <t>Сабуров Хотам</t>
  </si>
  <si>
    <t>Давлатов Талиб</t>
  </si>
  <si>
    <t>зам.рек.по НЧ</t>
  </si>
  <si>
    <t>зам.рек по восп.</t>
  </si>
  <si>
    <t>зам.рек.по экон.</t>
  </si>
  <si>
    <t>советник</t>
  </si>
  <si>
    <t>нач.штаба</t>
  </si>
  <si>
    <t>пред.молод.</t>
  </si>
  <si>
    <t>секретарь</t>
  </si>
  <si>
    <t>помощник</t>
  </si>
  <si>
    <t>УПРАВЛЕНИЕ</t>
  </si>
  <si>
    <t>Фамилия, Имя, Отчество</t>
  </si>
  <si>
    <t>Должность</t>
  </si>
  <si>
    <t>Р.д.</t>
  </si>
  <si>
    <t>Час</t>
  </si>
  <si>
    <t>З/плата</t>
  </si>
  <si>
    <t>Допол.</t>
  </si>
  <si>
    <t>Налог</t>
  </si>
  <si>
    <t>Пенс.</t>
  </si>
  <si>
    <t>Проф.</t>
  </si>
  <si>
    <t>Бободжонова Нарзия</t>
  </si>
  <si>
    <t>ОТДЕЛ КАДРОВ</t>
  </si>
  <si>
    <t>БУХГАЛТЕРИЯ И ФИНАНСЫ</t>
  </si>
  <si>
    <t>бухгалтер</t>
  </si>
  <si>
    <t>экономист</t>
  </si>
  <si>
    <t>кассир</t>
  </si>
  <si>
    <t>Ахмадджонов Исмоил</t>
  </si>
  <si>
    <t>гл.бух</t>
  </si>
  <si>
    <t>Хайдарова М</t>
  </si>
  <si>
    <t>Мирзоев Бахриддин</t>
  </si>
  <si>
    <t>Аълоева М</t>
  </si>
  <si>
    <t>Муратова Надежда</t>
  </si>
  <si>
    <t>начальник</t>
  </si>
  <si>
    <t>ОТДЕЛ АНАЛИЗА И ЭКОНОМИКИ</t>
  </si>
  <si>
    <t>вед.спец.</t>
  </si>
  <si>
    <t>программист</t>
  </si>
  <si>
    <t>ываываыва</t>
  </si>
  <si>
    <t>ывацукцукцукцукцу</t>
  </si>
  <si>
    <t>паап</t>
  </si>
  <si>
    <t>иап</t>
  </si>
  <si>
    <t>ваываыва</t>
  </si>
  <si>
    <t>фывфыв</t>
  </si>
  <si>
    <t>кееееке</t>
  </si>
  <si>
    <t>мимими</t>
  </si>
  <si>
    <t>ОТДЕЛ ПО НАУКЕ</t>
  </si>
  <si>
    <t>ОТДЕЛ 1</t>
  </si>
  <si>
    <t>ОТДЕЛ 2</t>
  </si>
  <si>
    <t>Ходжаев С</t>
  </si>
  <si>
    <t>спец</t>
  </si>
  <si>
    <t>Итого:</t>
  </si>
  <si>
    <t>Институт ТАК СЕБЕ</t>
  </si>
  <si>
    <t>Ф.И.О. работника</t>
  </si>
  <si>
    <t>Начислено</t>
  </si>
  <si>
    <t>Удержано</t>
  </si>
  <si>
    <t xml:space="preserve"> - карточки</t>
  </si>
  <si>
    <t xml:space="preserve"> - лист учета</t>
  </si>
  <si>
    <t xml:space="preserve"> - разница</t>
  </si>
  <si>
    <t>Расчетный бухгалтер</t>
  </si>
  <si>
    <t>Гл.бухгалтер</t>
  </si>
  <si>
    <t>Отп.</t>
  </si>
  <si>
    <t>Болнич.</t>
  </si>
  <si>
    <t>КОНТРОЛЬ</t>
  </si>
  <si>
    <t>Карточка расшифровки зарплаты для 01.2012</t>
  </si>
  <si>
    <t>ВЕДОМОСТЬ ОПЛАТЫ</t>
  </si>
  <si>
    <t>заработной платы за 01.2012</t>
  </si>
  <si>
    <t>Сумма</t>
  </si>
  <si>
    <t>Подпись</t>
  </si>
  <si>
    <t>Институт ____________</t>
  </si>
  <si>
    <r>
      <t xml:space="preserve">Начальство требует ведомость в двух вариантах: первый - чтобы общий лист по всему институту, второй - по каждому отделу.
Первое, с грехом пополам, думаю мне по силам, а второе для моего умышка больно крепка.. Я пробовала в ячейке </t>
    </r>
    <r>
      <rPr>
        <b/>
        <i/>
        <sz val="18"/>
        <color rgb="FFFF0000"/>
        <rFont val="Arial Cyr"/>
        <charset val="204"/>
      </rPr>
      <t>E4</t>
    </r>
    <r>
      <rPr>
        <b/>
        <i/>
        <sz val="18"/>
        <color rgb="FF002060"/>
        <rFont val="Arial Cyr"/>
        <charset val="204"/>
      </rPr>
      <t xml:space="preserve"> использовать выпадающий список, где по алфавиту можно было бы выбрать отдел и ниже выдала бы ведомость соответствующего отдела. Да запарилась со своим скудным знанием, если сможет кто нибудь, буду очень признательна</t>
    </r>
  </si>
  <si>
    <t>инженер ОК</t>
  </si>
  <si>
    <t>на руку</t>
  </si>
  <si>
    <t>ОБЩИЙ</t>
  </si>
  <si>
    <t>На руки</t>
  </si>
  <si>
    <t>Остаток на нач.</t>
  </si>
  <si>
    <t>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</si>
</sst>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Red]\-0.0\ "/>
    <numFmt numFmtId="165" formatCode=";;;"/>
  </numFmts>
  <fonts count="36">
    <font>
      <sz val="10"/>
      <name val="Arial Cyr"/>
      <charset val="204"/>
    </font>
    <font>
      <sz val="10"/>
      <name val="Arial Cyr"/>
      <charset val="204"/>
    </font>
    <font>
      <sz val="8"/>
      <name val="Arial Cyr"/>
      <charset val="204"/>
    </font>
    <font>
      <sz val="12"/>
      <name val="Times New Roman"/>
      <family val="1"/>
      <charset val="204"/>
    </font>
    <font>
      <b/>
      <sz val="10"/>
      <name val="Arial Cyr"/>
      <charset val="204"/>
    </font>
    <font>
      <b/>
      <i/>
      <sz val="10"/>
      <name val="Arial Cyr"/>
      <charset val="204"/>
    </font>
    <font>
      <u/>
      <sz val="10"/>
      <name val="Arial Cyr"/>
      <charset val="204"/>
    </font>
    <font>
      <u/>
      <sz val="12"/>
      <name val="Times New Roman"/>
      <family val="1"/>
      <charset val="204"/>
    </font>
    <font>
      <sz val="7"/>
      <name val="Arial TAJ"/>
      <family val="2"/>
      <charset val="204"/>
    </font>
    <font>
      <sz val="8"/>
      <name val="Arial TAJ"/>
      <family val="2"/>
      <charset val="204"/>
    </font>
    <font>
      <sz val="10"/>
      <name val="Arial TAJ"/>
      <family val="2"/>
      <charset val="204"/>
    </font>
    <font>
      <b/>
      <sz val="11"/>
      <name val="Arial Cyr"/>
      <charset val="204"/>
    </font>
    <font>
      <sz val="8"/>
      <name val="arial"/>
      <family val="2"/>
      <charset val="204"/>
    </font>
    <font>
      <b/>
      <sz val="8"/>
      <name val="arial"/>
      <family val="2"/>
      <charset val="204"/>
    </font>
    <font>
      <sz val="9"/>
      <name val="arial"/>
      <family val="2"/>
      <charset val="204"/>
    </font>
    <font>
      <sz val="9"/>
      <color theme="1"/>
      <name val="arial"/>
      <family val="2"/>
      <charset val="204"/>
    </font>
    <font>
      <b/>
      <sz val="9"/>
      <name val="arial"/>
      <family val="2"/>
      <charset val="204"/>
    </font>
    <font>
      <b/>
      <sz val="9"/>
      <color theme="1"/>
      <name val="arial"/>
      <family val="2"/>
      <charset val="204"/>
    </font>
    <font>
      <b/>
      <sz val="9"/>
      <color theme="1"/>
      <name val="Times New Roman Tj"/>
      <family val="1"/>
      <charset val="204"/>
    </font>
    <font>
      <b/>
      <sz val="8"/>
      <color theme="0"/>
      <name val="Arial TAJ"/>
      <family val="2"/>
      <charset val="204"/>
    </font>
    <font>
      <b/>
      <vertAlign val="superscript"/>
      <sz val="8"/>
      <color theme="0"/>
      <name val="Arial TAJ"/>
      <family val="2"/>
      <charset val="204"/>
    </font>
    <font>
      <sz val="11"/>
      <name val="Palatino Linotype"/>
      <family val="1"/>
      <charset val="204"/>
    </font>
    <font>
      <b/>
      <sz val="9"/>
      <name val="Palatino Linotype"/>
      <family val="1"/>
      <charset val="204"/>
    </font>
    <font>
      <b/>
      <sz val="8"/>
      <name val="Palatino Linotype"/>
      <family val="1"/>
      <charset val="204"/>
    </font>
    <font>
      <sz val="9"/>
      <name val="Times New Roman"/>
      <family val="1"/>
      <charset val="204"/>
    </font>
    <font>
      <b/>
      <sz val="10"/>
      <name val="arial"/>
      <family val="2"/>
      <charset val="204"/>
    </font>
    <font>
      <sz val="8"/>
      <name val="Palatino Linotype"/>
      <family val="1"/>
      <charset val="204"/>
    </font>
    <font>
      <b/>
      <sz val="28"/>
      <name val="arial"/>
      <family val="2"/>
      <charset val="204"/>
    </font>
    <font>
      <b/>
      <sz val="11"/>
      <color theme="0"/>
      <name val="Arial Cyr"/>
      <charset val="204"/>
    </font>
    <font>
      <b/>
      <i/>
      <sz val="18"/>
      <color rgb="FFFF0000"/>
      <name val="Arial Cyr"/>
      <charset val="204"/>
    </font>
    <font>
      <b/>
      <i/>
      <sz val="18"/>
      <color rgb="FF002060"/>
      <name val="Arial Cyr"/>
      <charset val="204"/>
    </font>
    <font>
      <sz val="10"/>
      <color theme="0"/>
      <name val="Arial Cyr"/>
      <charset val="204"/>
    </font>
    <font>
      <sz val="25"/>
      <color theme="0"/>
      <name val="Palatino Linotype"/>
      <family val="1"/>
      <charset val="204"/>
    </font>
    <font>
      <b/>
      <sz val="9"/>
      <color indexed="81"/>
      <name val="Tahoma"/>
      <family val="2"/>
      <charset val="204"/>
    </font>
    <font>
      <sz val="14"/>
      <color theme="0"/>
      <name val="Palatino Linotype"/>
      <family val="1"/>
      <charset val="204"/>
    </font>
    <font>
      <sz val="28"/>
      <color theme="0"/>
      <name val="Palatino Linotype"/>
      <family val="1"/>
      <charset val="204"/>
    </font>
  </fonts>
  <fills count="8">
    <fill>
      <patternFill patternType="none"/>
    </fill>
    <fill>
      <patternFill patternType="gray125"/>
    </fill>
    <fill>
      <patternFill patternType="solid">
        <fgColor theme="2" tint="-9.9978637043366805E-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thin">
        <color indexed="64"/>
      </top>
      <bottom style="thin">
        <color indexed="64"/>
      </bottom>
      <diagonal/>
    </border>
    <border>
      <left style="hair">
        <color auto="1"/>
      </left>
      <right/>
      <top/>
      <bottom/>
      <diagonal/>
    </border>
    <border>
      <left style="thin">
        <color indexed="64"/>
      </left>
      <right style="hair">
        <color auto="1"/>
      </right>
      <top style="thin">
        <color indexed="64"/>
      </top>
      <bottom/>
      <diagonal/>
    </border>
    <border>
      <left style="hair">
        <color auto="1"/>
      </left>
      <right/>
      <top style="thin">
        <color indexed="64"/>
      </top>
      <bottom/>
      <diagonal/>
    </border>
    <border>
      <left style="hair">
        <color auto="1"/>
      </left>
      <right style="hair">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auto="1"/>
      </right>
      <top style="hair">
        <color auto="1"/>
      </top>
      <bottom style="thin">
        <color indexed="64"/>
      </bottom>
      <diagonal/>
    </border>
    <border>
      <left style="dashDotDot">
        <color theme="0" tint="-0.499984740745262"/>
      </left>
      <right/>
      <top/>
      <bottom/>
      <diagonal/>
    </border>
    <border>
      <left/>
      <right/>
      <top style="dashDotDot">
        <color theme="0" tint="-0.499984740745262"/>
      </top>
      <bottom/>
      <diagonal/>
    </border>
    <border>
      <left style="dashDotDot">
        <color theme="0" tint="-0.499984740745262"/>
      </left>
      <right/>
      <top style="dashDotDot">
        <color theme="0" tint="-0.499984740745262"/>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0" fillId="0" borderId="0" xfId="0" applyAlignment="1">
      <alignment horizontal="center"/>
    </xf>
    <xf numFmtId="0" fontId="3" fillId="0" borderId="0" xfId="0" applyFont="1"/>
    <xf numFmtId="0" fontId="5" fillId="0" borderId="0" xfId="0" applyFont="1"/>
    <xf numFmtId="0" fontId="6" fillId="0" borderId="0" xfId="0" applyFont="1"/>
    <xf numFmtId="0" fontId="7" fillId="0" borderId="0" xfId="0" applyFont="1"/>
    <xf numFmtId="0" fontId="0" fillId="0" borderId="0" xfId="0"/>
    <xf numFmtId="49" fontId="8" fillId="0" borderId="0" xfId="0" applyNumberFormat="1" applyFont="1" applyFill="1" applyBorder="1" applyAlignment="1">
      <alignment horizontal="right" vertical="center"/>
    </xf>
    <xf numFmtId="0" fontId="10" fillId="0" borderId="0" xfId="0" applyFont="1" applyBorder="1" applyAlignment="1"/>
    <xf numFmtId="0" fontId="10" fillId="0" borderId="0" xfId="0" applyFont="1" applyBorder="1"/>
    <xf numFmtId="0" fontId="10" fillId="0" borderId="0" xfId="0" applyNumberFormat="1" applyFont="1" applyBorder="1" applyAlignment="1"/>
    <xf numFmtId="0" fontId="10" fillId="0" borderId="0" xfId="0" applyFont="1" applyBorder="1" applyAlignment="1">
      <alignment horizontal="center"/>
    </xf>
    <xf numFmtId="2" fontId="10" fillId="0" borderId="0" xfId="0" applyNumberFormat="1" applyFont="1" applyBorder="1" applyAlignment="1">
      <alignment horizontal="center"/>
    </xf>
    <xf numFmtId="2" fontId="10" fillId="0" borderId="0" xfId="0" applyNumberFormat="1" applyFont="1" applyBorder="1" applyAlignment="1"/>
    <xf numFmtId="0" fontId="10" fillId="0" borderId="0" xfId="0" applyNumberFormat="1" applyFont="1" applyBorder="1" applyAlignment="1">
      <alignment horizontal="center"/>
    </xf>
    <xf numFmtId="49" fontId="0" fillId="0" borderId="0" xfId="0" applyNumberFormat="1"/>
    <xf numFmtId="2" fontId="4" fillId="0" borderId="0" xfId="0" applyNumberFormat="1" applyFont="1" applyAlignment="1">
      <alignment horizontal="center"/>
    </xf>
    <xf numFmtId="0" fontId="0" fillId="2" borderId="0" xfId="0" applyFill="1" applyAlignment="1">
      <alignment horizontal="center"/>
    </xf>
    <xf numFmtId="0" fontId="4" fillId="2" borderId="0" xfId="0" applyFont="1" applyFill="1" applyAlignment="1">
      <alignment horizontal="center"/>
    </xf>
    <xf numFmtId="49" fontId="0" fillId="2" borderId="0" xfId="0" applyNumberFormat="1" applyFill="1"/>
    <xf numFmtId="49" fontId="4" fillId="2" borderId="0" xfId="0" applyNumberFormat="1" applyFont="1" applyFill="1"/>
    <xf numFmtId="9" fontId="4" fillId="2" borderId="0" xfId="1" applyFont="1" applyFill="1" applyAlignment="1">
      <alignment horizontal="center"/>
    </xf>
    <xf numFmtId="0" fontId="0" fillId="0" borderId="0" xfId="0" applyAlignment="1">
      <alignment horizontal="center" vertical="center"/>
    </xf>
    <xf numFmtId="0" fontId="5" fillId="0" borderId="0" xfId="0" applyFont="1" applyAlignment="1">
      <alignment horizontal="center" vertical="center"/>
    </xf>
    <xf numFmtId="0" fontId="8" fillId="0" borderId="13" xfId="0" applyNumberFormat="1" applyFont="1" applyBorder="1" applyAlignment="1"/>
    <xf numFmtId="1" fontId="9" fillId="0" borderId="13" xfId="0" applyNumberFormat="1" applyFont="1" applyBorder="1" applyAlignment="1"/>
    <xf numFmtId="0" fontId="9" fillId="0" borderId="13" xfId="0" applyNumberFormat="1" applyFont="1" applyBorder="1" applyAlignment="1"/>
    <xf numFmtId="164" fontId="9" fillId="0" borderId="13" xfId="0" applyNumberFormat="1" applyFont="1" applyBorder="1" applyAlignment="1"/>
    <xf numFmtId="0" fontId="12" fillId="0" borderId="13" xfId="0" applyNumberFormat="1" applyFont="1" applyBorder="1" applyAlignment="1"/>
    <xf numFmtId="0" fontId="15" fillId="0" borderId="5" xfId="0" applyFont="1" applyBorder="1" applyAlignment="1">
      <alignment horizontal="center" vertical="center"/>
    </xf>
    <xf numFmtId="0" fontId="14" fillId="0" borderId="5" xfId="0" applyNumberFormat="1" applyFont="1" applyBorder="1" applyAlignment="1">
      <alignment horizontal="right"/>
    </xf>
    <xf numFmtId="2" fontId="14" fillId="0" borderId="5" xfId="0" applyNumberFormat="1" applyFont="1" applyBorder="1" applyAlignment="1"/>
    <xf numFmtId="2" fontId="14" fillId="0" borderId="5" xfId="0" applyNumberFormat="1" applyFont="1" applyBorder="1"/>
    <xf numFmtId="2" fontId="14" fillId="0" borderId="5" xfId="0" applyNumberFormat="1" applyFont="1" applyFill="1" applyBorder="1" applyAlignment="1"/>
    <xf numFmtId="2" fontId="14" fillId="0" borderId="6" xfId="0" applyNumberFormat="1" applyFont="1" applyBorder="1" applyAlignment="1"/>
    <xf numFmtId="0" fontId="14" fillId="0" borderId="0" xfId="0" applyFont="1" applyBorder="1" applyAlignment="1"/>
    <xf numFmtId="0" fontId="14" fillId="0" borderId="8" xfId="0" applyNumberFormat="1" applyFont="1" applyBorder="1" applyAlignment="1">
      <alignment horizontal="right"/>
    </xf>
    <xf numFmtId="2" fontId="14" fillId="0" borderId="8" xfId="0" applyNumberFormat="1" applyFont="1" applyBorder="1" applyAlignment="1"/>
    <xf numFmtId="2" fontId="14" fillId="0" borderId="8" xfId="0" applyNumberFormat="1" applyFont="1" applyFill="1" applyBorder="1" applyAlignment="1"/>
    <xf numFmtId="2" fontId="14" fillId="0" borderId="9" xfId="0" applyNumberFormat="1" applyFont="1" applyBorder="1" applyAlignment="1"/>
    <xf numFmtId="0" fontId="17" fillId="0" borderId="10" xfId="0" applyFont="1" applyBorder="1" applyAlignment="1">
      <alignment horizontal="center" vertical="center"/>
    </xf>
    <xf numFmtId="0" fontId="16" fillId="0" borderId="12" xfId="0" applyNumberFormat="1" applyFont="1" applyBorder="1" applyAlignment="1">
      <alignment horizontal="right"/>
    </xf>
    <xf numFmtId="2" fontId="16" fillId="0" borderId="12" xfId="0" applyNumberFormat="1" applyFont="1" applyBorder="1" applyAlignment="1"/>
    <xf numFmtId="2" fontId="16" fillId="0" borderId="11" xfId="0" applyNumberFormat="1" applyFont="1" applyBorder="1" applyAlignment="1"/>
    <xf numFmtId="0" fontId="16" fillId="0" borderId="0" xfId="0" applyFont="1" applyBorder="1" applyAlignment="1"/>
    <xf numFmtId="0" fontId="17" fillId="0" borderId="0" xfId="0" applyFont="1" applyBorder="1" applyAlignment="1">
      <alignment horizontal="center" vertical="center"/>
    </xf>
    <xf numFmtId="0" fontId="16" fillId="0" borderId="0" xfId="0" applyNumberFormat="1" applyFont="1" applyBorder="1" applyAlignment="1">
      <alignment horizontal="right"/>
    </xf>
    <xf numFmtId="2" fontId="16" fillId="0" borderId="0" xfId="0" applyNumberFormat="1" applyFont="1" applyBorder="1" applyAlignment="1"/>
    <xf numFmtId="0" fontId="14" fillId="0" borderId="13" xfId="0" applyNumberFormat="1" applyFont="1" applyBorder="1" applyAlignment="1"/>
    <xf numFmtId="1" fontId="14" fillId="0" borderId="13" xfId="0" applyNumberFormat="1" applyFont="1" applyBorder="1" applyAlignment="1"/>
    <xf numFmtId="164" fontId="14" fillId="0" borderId="13" xfId="0" applyNumberFormat="1" applyFont="1" applyBorder="1" applyAlignment="1"/>
    <xf numFmtId="0" fontId="15" fillId="0" borderId="2" xfId="0" applyFont="1" applyBorder="1" applyAlignment="1">
      <alignment horizontal="center" vertical="center"/>
    </xf>
    <xf numFmtId="0" fontId="14" fillId="0" borderId="2" xfId="0" applyNumberFormat="1" applyFont="1" applyBorder="1" applyAlignment="1">
      <alignment horizontal="right"/>
    </xf>
    <xf numFmtId="2" fontId="14" fillId="0" borderId="2" xfId="0" applyNumberFormat="1" applyFont="1" applyBorder="1" applyAlignment="1"/>
    <xf numFmtId="2" fontId="14" fillId="0" borderId="2" xfId="0" applyNumberFormat="1" applyFont="1" applyFill="1" applyBorder="1" applyAlignment="1"/>
    <xf numFmtId="0" fontId="12" fillId="0" borderId="5" xfId="0" applyNumberFormat="1" applyFont="1" applyBorder="1" applyAlignment="1"/>
    <xf numFmtId="0" fontId="12" fillId="0" borderId="8" xfId="0" applyNumberFormat="1" applyFont="1" applyBorder="1" applyAlignment="1"/>
    <xf numFmtId="0" fontId="13" fillId="0" borderId="11" xfId="0" applyNumberFormat="1" applyFont="1" applyBorder="1" applyAlignment="1"/>
    <xf numFmtId="0" fontId="13" fillId="0" borderId="10" xfId="0" applyNumberFormat="1" applyFont="1" applyBorder="1" applyAlignment="1"/>
    <xf numFmtId="0" fontId="13" fillId="0" borderId="0" xfId="0" applyNumberFormat="1" applyFont="1" applyBorder="1" applyAlignment="1"/>
    <xf numFmtId="0" fontId="12" fillId="0" borderId="2" xfId="0" applyNumberFormat="1" applyFont="1" applyBorder="1" applyAlignment="1"/>
    <xf numFmtId="0" fontId="14" fillId="0" borderId="4" xfId="0" applyFont="1" applyBorder="1" applyAlignment="1">
      <alignment horizontal="center" vertical="center"/>
    </xf>
    <xf numFmtId="0" fontId="9" fillId="0" borderId="3" xfId="0" applyFont="1" applyBorder="1" applyAlignment="1">
      <alignment horizontal="center" vertical="center"/>
    </xf>
    <xf numFmtId="0" fontId="14"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0" fillId="0" borderId="0" xfId="0" applyFont="1" applyBorder="1" applyAlignment="1">
      <alignment horizontal="center" vertical="center"/>
    </xf>
    <xf numFmtId="0" fontId="15" fillId="0" borderId="5" xfId="0" applyFont="1" applyBorder="1" applyAlignment="1">
      <alignment horizontal="left" vertical="top"/>
    </xf>
    <xf numFmtId="0" fontId="15" fillId="0" borderId="8" xfId="0" applyFont="1" applyBorder="1" applyAlignment="1">
      <alignment horizontal="left" vertical="top"/>
    </xf>
    <xf numFmtId="0" fontId="17" fillId="0" borderId="11" xfId="0" applyFont="1" applyBorder="1" applyAlignment="1">
      <alignment horizontal="left" vertical="top"/>
    </xf>
    <xf numFmtId="0" fontId="17" fillId="0" borderId="0" xfId="0" applyFont="1" applyBorder="1" applyAlignment="1">
      <alignment horizontal="left" vertical="top"/>
    </xf>
    <xf numFmtId="0" fontId="15" fillId="0" borderId="2" xfId="0" applyFont="1" applyBorder="1" applyAlignment="1">
      <alignment horizontal="left" vertical="top"/>
    </xf>
    <xf numFmtId="0" fontId="10" fillId="0" borderId="0" xfId="0" applyFont="1" applyBorder="1" applyAlignment="1">
      <alignment horizontal="left"/>
    </xf>
    <xf numFmtId="49" fontId="19" fillId="3" borderId="1" xfId="0" applyNumberFormat="1" applyFont="1" applyFill="1" applyBorder="1" applyAlignment="1">
      <alignment horizontal="left" vertical="center"/>
    </xf>
    <xf numFmtId="49" fontId="19" fillId="3" borderId="1" xfId="0" applyNumberFormat="1" applyFont="1" applyFill="1" applyBorder="1" applyAlignment="1">
      <alignment horizontal="center" vertical="center"/>
    </xf>
    <xf numFmtId="0" fontId="19" fillId="3" borderId="1" xfId="0" applyNumberFormat="1" applyFont="1" applyFill="1" applyBorder="1" applyAlignment="1">
      <alignment horizontal="center" vertical="center"/>
    </xf>
    <xf numFmtId="2" fontId="14" fillId="0" borderId="4" xfId="0" applyNumberFormat="1" applyFont="1" applyBorder="1" applyAlignment="1"/>
    <xf numFmtId="2" fontId="14" fillId="0" borderId="7" xfId="0" applyNumberFormat="1" applyFont="1" applyBorder="1" applyAlignment="1"/>
    <xf numFmtId="2" fontId="14" fillId="0" borderId="17" xfId="0" applyNumberFormat="1" applyFont="1" applyBorder="1" applyAlignment="1"/>
    <xf numFmtId="2" fontId="14" fillId="0" borderId="16" xfId="0" applyNumberFormat="1" applyFont="1" applyBorder="1" applyAlignment="1"/>
    <xf numFmtId="2" fontId="16" fillId="0" borderId="10" xfId="0" applyNumberFormat="1" applyFont="1" applyBorder="1" applyAlignment="1"/>
    <xf numFmtId="2" fontId="16" fillId="0" borderId="18" xfId="0" applyNumberFormat="1" applyFont="1" applyBorder="1" applyAlignment="1"/>
    <xf numFmtId="0" fontId="14" fillId="0" borderId="17" xfId="0" applyNumberFormat="1" applyFont="1" applyBorder="1" applyAlignment="1">
      <alignment horizontal="right"/>
    </xf>
    <xf numFmtId="0" fontId="14" fillId="0" borderId="16" xfId="0" applyNumberFormat="1" applyFont="1" applyBorder="1" applyAlignment="1">
      <alignment horizontal="right"/>
    </xf>
    <xf numFmtId="0" fontId="16" fillId="0" borderId="18" xfId="0" applyNumberFormat="1" applyFont="1" applyBorder="1" applyAlignment="1">
      <alignment horizontal="right"/>
    </xf>
    <xf numFmtId="0" fontId="0" fillId="0" borderId="0" xfId="0" applyAlignment="1">
      <alignment vertical="center"/>
    </xf>
    <xf numFmtId="2" fontId="0" fillId="0" borderId="0" xfId="0" applyNumberFormat="1"/>
    <xf numFmtId="0" fontId="25" fillId="0" borderId="0" xfId="0" applyFont="1" applyAlignment="1">
      <alignment vertical="center"/>
    </xf>
    <xf numFmtId="2" fontId="11" fillId="0" borderId="9" xfId="0" applyNumberFormat="1" applyFont="1" applyBorder="1" applyAlignment="1">
      <alignment horizontal="center" vertical="center"/>
    </xf>
    <xf numFmtId="2" fontId="11" fillId="0" borderId="8" xfId="0" applyNumberFormat="1" applyFont="1" applyBorder="1" applyAlignment="1">
      <alignment horizontal="center" vertical="center"/>
    </xf>
    <xf numFmtId="0" fontId="22" fillId="0" borderId="0" xfId="0" applyFont="1" applyAlignment="1">
      <alignment vertical="center"/>
    </xf>
    <xf numFmtId="0" fontId="24" fillId="0" borderId="0" xfId="0" applyFont="1" applyAlignment="1">
      <alignment vertical="top" wrapText="1"/>
    </xf>
    <xf numFmtId="0" fontId="22" fillId="0" borderId="26" xfId="0" applyFont="1" applyBorder="1" applyAlignment="1">
      <alignment vertical="center"/>
    </xf>
    <xf numFmtId="0" fontId="0" fillId="0" borderId="26" xfId="0" applyBorder="1" applyAlignment="1">
      <alignment vertical="center"/>
    </xf>
    <xf numFmtId="0" fontId="25" fillId="0" borderId="26" xfId="0" applyFont="1" applyBorder="1" applyAlignment="1">
      <alignment vertical="center"/>
    </xf>
    <xf numFmtId="0" fontId="0" fillId="0" borderId="26" xfId="0" applyBorder="1"/>
    <xf numFmtId="0" fontId="0" fillId="0" borderId="27" xfId="0" applyBorder="1"/>
    <xf numFmtId="2" fontId="11" fillId="0" borderId="25" xfId="0" applyNumberFormat="1" applyFont="1" applyBorder="1" applyAlignment="1">
      <alignment horizontal="center" vertical="center"/>
    </xf>
    <xf numFmtId="0" fontId="0" fillId="0" borderId="27" xfId="0" applyBorder="1" applyAlignment="1">
      <alignment horizontal="center"/>
    </xf>
    <xf numFmtId="0" fontId="4" fillId="6" borderId="29"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xf>
    <xf numFmtId="0" fontId="24"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right" vertical="top"/>
    </xf>
    <xf numFmtId="0" fontId="13" fillId="0" borderId="0" xfId="0" applyNumberFormat="1" applyFont="1" applyAlignment="1">
      <alignment horizontal="right" vertical="center"/>
    </xf>
    <xf numFmtId="165" fontId="0" fillId="0" borderId="0" xfId="0" applyNumberFormat="1"/>
    <xf numFmtId="0" fontId="22" fillId="0" borderId="0" xfId="0" applyFont="1" applyAlignment="1">
      <alignment horizontal="centerContinuous" vertical="center"/>
    </xf>
    <xf numFmtId="0" fontId="26" fillId="0" borderId="0" xfId="0" applyFont="1" applyAlignment="1">
      <alignment horizontal="centerContinuous" vertical="center"/>
    </xf>
    <xf numFmtId="0" fontId="31" fillId="0" borderId="0" xfId="0" applyFont="1"/>
    <xf numFmtId="0" fontId="0" fillId="0" borderId="5" xfId="0" applyFont="1" applyBorder="1"/>
    <xf numFmtId="0" fontId="4" fillId="6" borderId="32" xfId="0" applyFont="1" applyFill="1" applyBorder="1" applyAlignment="1">
      <alignment horizontal="center" vertical="center"/>
    </xf>
    <xf numFmtId="0" fontId="4" fillId="6" borderId="30" xfId="0" applyFont="1" applyFill="1" applyBorder="1" applyAlignment="1">
      <alignment horizontal="center" vertical="center"/>
    </xf>
    <xf numFmtId="0" fontId="0" fillId="0" borderId="17" xfId="0" applyFont="1" applyBorder="1"/>
    <xf numFmtId="0" fontId="0" fillId="0" borderId="16" xfId="0" applyFont="1" applyBorder="1"/>
    <xf numFmtId="0" fontId="0" fillId="0" borderId="33" xfId="0" applyFont="1" applyBorder="1" applyAlignment="1">
      <alignment horizontal="center"/>
    </xf>
    <xf numFmtId="0" fontId="0" fillId="0" borderId="25" xfId="0" applyFont="1" applyBorder="1" applyAlignment="1">
      <alignment horizontal="center"/>
    </xf>
    <xf numFmtId="0" fontId="0" fillId="0" borderId="0" xfId="0" applyFont="1"/>
    <xf numFmtId="4" fontId="0" fillId="0" borderId="5" xfId="0" applyNumberFormat="1" applyFont="1" applyBorder="1"/>
    <xf numFmtId="0" fontId="13" fillId="0" borderId="0" xfId="0" applyFont="1" applyAlignment="1">
      <alignment horizontal="left" vertical="center"/>
    </xf>
    <xf numFmtId="0" fontId="13" fillId="0" borderId="0" xfId="0" applyFont="1" applyAlignment="1">
      <alignment horizontal="left"/>
    </xf>
    <xf numFmtId="0" fontId="13" fillId="0" borderId="0" xfId="0" applyNumberFormat="1" applyFont="1" applyAlignment="1">
      <alignment horizontal="right" vertical="center"/>
    </xf>
    <xf numFmtId="0" fontId="24"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right" vertical="top"/>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1" fillId="0" borderId="24" xfId="0" applyFont="1" applyBorder="1" applyAlignment="1">
      <alignment horizontal="center" vertical="center" textRotation="45"/>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xf>
    <xf numFmtId="0" fontId="23" fillId="0" borderId="22" xfId="0" applyFont="1" applyBorder="1" applyAlignment="1">
      <alignment horizontal="center" vertical="center" wrapText="1"/>
    </xf>
    <xf numFmtId="4" fontId="28" fillId="3" borderId="25" xfId="0" applyNumberFormat="1" applyFont="1" applyFill="1" applyBorder="1" applyAlignment="1">
      <alignment horizontal="center" vertical="center"/>
    </xf>
    <xf numFmtId="4" fontId="4" fillId="0" borderId="0" xfId="0" applyNumberFormat="1" applyFont="1"/>
    <xf numFmtId="0" fontId="32" fillId="0" borderId="23" xfId="0" applyFont="1" applyBorder="1" applyAlignment="1">
      <alignment horizontal="center" vertical="center"/>
    </xf>
    <xf numFmtId="0" fontId="35" fillId="0" borderId="23" xfId="0" applyFont="1" applyBorder="1" applyAlignment="1">
      <alignment horizontal="center" vertical="center"/>
    </xf>
    <xf numFmtId="0" fontId="34" fillId="0" borderId="24" xfId="0" applyFont="1" applyBorder="1" applyAlignment="1">
      <alignment horizontal="center" vertical="center"/>
    </xf>
    <xf numFmtId="0" fontId="0" fillId="0" borderId="27" xfId="0" applyNumberFormat="1" applyBorder="1"/>
    <xf numFmtId="0" fontId="0" fillId="0" borderId="27" xfId="0" applyNumberFormat="1" applyBorder="1" applyAlignment="1">
      <alignment horizontal="center"/>
    </xf>
    <xf numFmtId="0" fontId="0" fillId="0" borderId="28" xfId="0" applyNumberFormat="1" applyBorder="1"/>
    <xf numFmtId="0" fontId="0" fillId="7" borderId="0" xfId="0" applyFont="1" applyFill="1"/>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27" fillId="5" borderId="0" xfId="0" applyFont="1" applyFill="1" applyAlignment="1">
      <alignment horizontal="center" vertical="center"/>
    </xf>
    <xf numFmtId="0" fontId="27" fillId="5" borderId="31" xfId="0" applyFont="1" applyFill="1" applyBorder="1" applyAlignment="1">
      <alignment horizontal="center" vertical="center"/>
    </xf>
    <xf numFmtId="0" fontId="0" fillId="0" borderId="19" xfId="0" quotePrefix="1" applyFont="1" applyBorder="1" applyAlignment="1">
      <alignment horizontal="left" vertical="center"/>
    </xf>
    <xf numFmtId="0" fontId="0" fillId="0" borderId="0" xfId="0" applyFont="1" applyAlignment="1">
      <alignment horizontal="left" vertical="center"/>
    </xf>
    <xf numFmtId="0" fontId="11" fillId="0" borderId="0" xfId="0" applyFont="1" applyAlignment="1">
      <alignment horizontal="center"/>
    </xf>
    <xf numFmtId="0" fontId="30" fillId="4" borderId="0" xfId="0" applyFont="1" applyFill="1" applyAlignment="1">
      <alignment horizontal="left" vertical="center" wrapText="1" indent="1"/>
    </xf>
    <xf numFmtId="0" fontId="0" fillId="0" borderId="0" xfId="0" applyAlignment="1">
      <alignment horizontal="right"/>
    </xf>
    <xf numFmtId="0" fontId="0" fillId="0" borderId="0" xfId="0" applyFont="1" applyAlignment="1">
      <alignment horizontal="right"/>
    </xf>
  </cellXfs>
  <cellStyles count="2">
    <cellStyle name="Обычный" xfId="0" builtinId="0"/>
    <cellStyle name="Процентный" xfId="1" builtinId="5"/>
  </cellStyles>
  <dxfs count="21">
    <dxf>
      <fill>
        <patternFill>
          <bgColor theme="0" tint="-0.14996795556505021"/>
        </patternFill>
      </fill>
    </dxf>
    <dxf>
      <font>
        <color theme="0"/>
      </font>
    </dxf>
    <dxf>
      <font>
        <color theme="0"/>
      </font>
      <border>
        <left/>
        <right/>
        <top/>
        <bottom/>
      </border>
    </dxf>
    <dxf>
      <font>
        <b/>
        <i val="0"/>
      </font>
      <border>
        <left/>
        <right/>
        <top style="thin">
          <color auto="1"/>
        </top>
        <vertical/>
        <horizontal/>
      </border>
    </dxf>
    <dxf>
      <font>
        <color theme="0"/>
      </font>
      <border>
        <left/>
        <right/>
        <top/>
        <bottom/>
      </border>
    </dxf>
    <dxf>
      <font>
        <b/>
        <i val="0"/>
      </font>
      <border>
        <left/>
        <right/>
        <top style="thin">
          <color auto="1"/>
        </top>
        <vertical/>
        <horizontal/>
      </border>
    </dxf>
    <dxf>
      <font>
        <color theme="0"/>
      </font>
      <border>
        <left/>
        <right/>
        <top/>
        <bottom/>
      </border>
    </dxf>
    <dxf>
      <font>
        <b/>
        <i val="0"/>
      </font>
      <border>
        <left/>
        <right/>
        <top style="thin">
          <color auto="1"/>
        </top>
        <vertical/>
        <horizontal/>
      </border>
    </dxf>
    <dxf>
      <font>
        <color theme="0"/>
      </font>
    </dxf>
    <dxf>
      <font>
        <color theme="0"/>
      </font>
      <border>
        <left/>
        <right/>
        <top/>
        <bottom/>
      </border>
    </dxf>
    <dxf>
      <font>
        <b/>
        <i val="0"/>
      </font>
      <border>
        <left/>
        <right/>
        <top style="thin">
          <color auto="1"/>
        </top>
        <vertical/>
        <horizontal/>
      </border>
    </dxf>
    <dxf>
      <font>
        <color theme="0"/>
      </font>
    </dxf>
    <dxf>
      <font>
        <color theme="0"/>
      </font>
      <border>
        <left/>
        <right/>
        <top/>
        <bottom/>
      </border>
    </dxf>
    <dxf>
      <font>
        <b/>
        <i val="0"/>
      </font>
      <border>
        <left/>
        <right/>
        <top style="thin">
          <color auto="1"/>
        </top>
        <vertical/>
        <horizontal/>
      </border>
    </dxf>
    <dxf>
      <font>
        <color theme="0"/>
      </font>
    </dxf>
    <dxf>
      <fill>
        <patternFill>
          <bgColor rgb="FFFF0000"/>
        </patternFill>
      </fill>
    </dxf>
    <dxf>
      <font>
        <color theme="0"/>
      </font>
    </dxf>
    <dxf>
      <font>
        <color theme="0"/>
      </font>
    </dxf>
    <dxf>
      <fill>
        <patternFill>
          <bgColor rgb="FFFF0000"/>
        </patternFill>
      </fill>
    </dxf>
    <dxf>
      <font>
        <color theme="0"/>
      </font>
    </dxf>
    <dxf>
      <fill>
        <patternFill>
          <bgColor theme="0" tint="-0.14996795556505021"/>
        </patternFill>
      </fill>
    </dxf>
  </dxfs>
  <tableStyles count="0" defaultTableStyle="TableStyleMedium9" defaultPivotStyle="PivotStyleLight16"/>
  <colors>
    <mruColors>
      <color rgb="FFFF3300"/>
      <color rgb="FFCC0000"/>
      <color rgb="FFC0C0C0"/>
      <color rgb="FF0000FF"/>
      <color rgb="FF01E91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enableFormatConditionsCalculation="0">
    <tabColor theme="8" tint="-0.499984740745262"/>
  </sheetPr>
  <dimension ref="B1:T4"/>
  <sheetViews>
    <sheetView workbookViewId="0"/>
  </sheetViews>
  <sheetFormatPr defaultRowHeight="12.75"/>
  <cols>
    <col min="1" max="1" width="4.7109375" bestFit="1" customWidth="1"/>
    <col min="2" max="2" width="34" customWidth="1"/>
    <col min="3" max="8" width="9.5703125" style="1" bestFit="1" customWidth="1"/>
    <col min="9" max="9" width="2.85546875" style="4" bestFit="1" customWidth="1"/>
    <col min="10" max="10" width="3.5703125" customWidth="1"/>
    <col min="11" max="11" width="5.28515625" style="3" bestFit="1" customWidth="1"/>
    <col min="12" max="12" width="4.42578125" style="4" bestFit="1" customWidth="1"/>
    <col min="13" max="13" width="2.140625" bestFit="1" customWidth="1"/>
    <col min="14" max="14" width="2.85546875" style="23" bestFit="1" customWidth="1"/>
    <col min="15" max="15" width="2.140625" style="22" bestFit="1" customWidth="1"/>
    <col min="16" max="16" width="5.28515625" style="22" bestFit="1" customWidth="1"/>
    <col min="17" max="17" width="9.140625" style="22"/>
    <col min="18" max="18" width="4.42578125" style="22" bestFit="1" customWidth="1"/>
    <col min="19" max="19" width="2.140625" style="22" bestFit="1" customWidth="1"/>
    <col min="20" max="20" width="5.28515625" style="22" bestFit="1" customWidth="1"/>
  </cols>
  <sheetData>
    <row r="1" spans="2:20" s="6" customFormat="1" ht="15.75">
      <c r="B1" s="15"/>
      <c r="C1" s="16"/>
      <c r="D1" s="1"/>
      <c r="E1" s="1"/>
      <c r="F1" s="1"/>
      <c r="G1" s="1"/>
      <c r="H1" s="1"/>
      <c r="I1" s="5"/>
      <c r="J1" s="2"/>
      <c r="K1" s="3"/>
      <c r="L1" s="5"/>
      <c r="M1" s="2"/>
      <c r="N1" s="23"/>
      <c r="O1" s="22"/>
      <c r="P1" s="22"/>
      <c r="Q1" s="22"/>
      <c r="R1" s="22"/>
      <c r="S1" s="22"/>
      <c r="T1" s="22"/>
    </row>
    <row r="2" spans="2:20" s="6" customFormat="1" ht="15.75">
      <c r="B2" s="20" t="s">
        <v>1</v>
      </c>
      <c r="C2" s="17"/>
      <c r="D2" s="1"/>
      <c r="E2" s="1"/>
      <c r="F2" s="1"/>
      <c r="G2" s="1"/>
      <c r="H2" s="1"/>
      <c r="I2" s="5"/>
      <c r="J2" s="2"/>
      <c r="K2" s="3"/>
      <c r="L2" s="5"/>
      <c r="M2" s="2"/>
      <c r="N2" s="23"/>
      <c r="O2" s="22"/>
      <c r="P2" s="22"/>
      <c r="Q2" s="22"/>
      <c r="R2" s="22"/>
      <c r="S2" s="22"/>
      <c r="T2" s="22"/>
    </row>
    <row r="3" spans="2:20" s="6" customFormat="1" ht="15.75">
      <c r="B3" s="19" t="s">
        <v>0</v>
      </c>
      <c r="C3" s="18">
        <v>40</v>
      </c>
      <c r="D3" s="1"/>
      <c r="E3" s="1"/>
      <c r="F3" s="1"/>
      <c r="G3" s="1"/>
      <c r="H3" s="1"/>
      <c r="I3" s="5"/>
      <c r="J3" s="2"/>
      <c r="K3" s="3"/>
      <c r="L3" s="5"/>
      <c r="M3" s="2"/>
      <c r="N3" s="23"/>
      <c r="O3" s="22"/>
      <c r="P3" s="22"/>
      <c r="Q3" s="22"/>
      <c r="R3" s="22"/>
      <c r="S3" s="22"/>
      <c r="T3" s="22"/>
    </row>
    <row r="4" spans="2:20" s="6" customFormat="1" ht="15.75">
      <c r="B4" s="19" t="s">
        <v>2</v>
      </c>
      <c r="C4" s="21">
        <v>0.13</v>
      </c>
      <c r="D4" s="1"/>
      <c r="E4" s="1"/>
      <c r="F4" s="1"/>
      <c r="G4" s="1"/>
      <c r="H4" s="1"/>
      <c r="I4" s="5"/>
      <c r="J4" s="2"/>
      <c r="K4" s="3"/>
      <c r="L4" s="5"/>
      <c r="M4" s="2"/>
      <c r="N4" s="23"/>
      <c r="O4" s="22"/>
      <c r="P4" s="22"/>
      <c r="Q4" s="22"/>
      <c r="R4" s="22"/>
      <c r="S4" s="22"/>
      <c r="T4" s="22"/>
    </row>
  </sheetData>
  <customSheetViews>
    <customSheetView guid="{B7749F0D-A6E5-4550-B277-2D5630BDBD61}" showGridLines="0" outlineSymbols="0" zeroValues="0" state="hidden" showRuler="0" topLeftCell="A5">
      <pane ySplit="2" topLeftCell="A7" activePane="bottomLeft" state="frozen"/>
      <selection pane="bottomLeft" activeCell="B30" sqref="B30"/>
      <pageMargins left="0.75" right="0.36" top="0.7" bottom="1" header="0.5" footer="0.5"/>
      <pageSetup paperSize="9" scale="95" orientation="landscape" horizontalDpi="180" verticalDpi="180" r:id="rId1"/>
      <headerFooter alignWithMargins="0"/>
    </customSheetView>
  </customSheetViews>
  <phoneticPr fontId="2" type="noConversion"/>
  <pageMargins left="0.75" right="0.36" top="0.7" bottom="1" header="0.5" footer="0.5"/>
  <pageSetup paperSize="9" scale="95" orientation="landscape" horizontalDpi="180" verticalDpi="18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G57"/>
  <sheetViews>
    <sheetView topLeftCell="A7" workbookViewId="0">
      <selection activeCell="E26" sqref="E26"/>
    </sheetView>
  </sheetViews>
  <sheetFormatPr defaultRowHeight="12.75"/>
  <cols>
    <col min="1" max="3" width="9.140625" style="9" customWidth="1"/>
    <col min="4" max="4" width="3.85546875" style="68" bestFit="1" customWidth="1"/>
    <col min="5" max="5" width="31.42578125" style="74" customWidth="1"/>
    <col min="6" max="6" width="14.42578125" style="11" customWidth="1"/>
    <col min="7" max="7" width="3" style="12" customWidth="1"/>
    <col min="8" max="8" width="2.5703125" style="14" customWidth="1"/>
    <col min="9" max="9" width="3.5703125" style="13" customWidth="1"/>
    <col min="10" max="10" width="5.140625" style="13" customWidth="1"/>
    <col min="11" max="11" width="10" style="13" customWidth="1"/>
    <col min="12" max="12" width="6.5703125" style="10" customWidth="1"/>
    <col min="13" max="13" width="6.85546875" style="10" customWidth="1"/>
    <col min="14" max="14" width="7" style="9" customWidth="1"/>
    <col min="15" max="15" width="10" style="10" bestFit="1" customWidth="1"/>
    <col min="16" max="16" width="3.140625" style="13" bestFit="1" customWidth="1"/>
    <col min="17" max="22" width="3.140625" style="10" bestFit="1" customWidth="1"/>
    <col min="23" max="23" width="8.85546875" style="10" bestFit="1" customWidth="1"/>
    <col min="24" max="25" width="7.7109375" style="10" bestFit="1" customWidth="1"/>
    <col min="26" max="26" width="8.85546875" style="10" bestFit="1" customWidth="1"/>
    <col min="27" max="27" width="3" style="10" bestFit="1" customWidth="1"/>
    <col min="28" max="28" width="10" style="10" bestFit="1" customWidth="1"/>
    <col min="29" max="16384" width="9.140625" style="9"/>
  </cols>
  <sheetData>
    <row r="1" spans="1:33" s="7" customFormat="1" ht="21.75" customHeight="1">
      <c r="D1" s="76" t="s">
        <v>17</v>
      </c>
      <c r="E1" s="75" t="s">
        <v>43</v>
      </c>
      <c r="F1" s="76" t="s">
        <v>44</v>
      </c>
      <c r="G1" s="77" t="s">
        <v>18</v>
      </c>
      <c r="H1" s="77" t="s">
        <v>19</v>
      </c>
      <c r="I1" s="76" t="s">
        <v>45</v>
      </c>
      <c r="J1" s="76" t="s">
        <v>46</v>
      </c>
      <c r="K1" s="77" t="s">
        <v>47</v>
      </c>
      <c r="L1" s="77" t="s">
        <v>91</v>
      </c>
      <c r="M1" s="77" t="s">
        <v>92</v>
      </c>
      <c r="N1" s="76" t="s">
        <v>48</v>
      </c>
      <c r="O1" s="77" t="s">
        <v>20</v>
      </c>
      <c r="P1" s="77">
        <v>10</v>
      </c>
      <c r="Q1" s="77">
        <v>41</v>
      </c>
      <c r="R1" s="77">
        <v>46</v>
      </c>
      <c r="S1" s="77">
        <v>50</v>
      </c>
      <c r="T1" s="77">
        <v>50</v>
      </c>
      <c r="U1" s="77">
        <v>50</v>
      </c>
      <c r="V1" s="77">
        <v>71</v>
      </c>
      <c r="W1" s="77" t="s">
        <v>49</v>
      </c>
      <c r="X1" s="77" t="s">
        <v>50</v>
      </c>
      <c r="Y1" s="77" t="s">
        <v>51</v>
      </c>
      <c r="Z1" s="77" t="s">
        <v>21</v>
      </c>
      <c r="AA1" s="77" t="s">
        <v>18</v>
      </c>
      <c r="AB1" s="77" t="s">
        <v>19</v>
      </c>
    </row>
    <row r="2" spans="1:33" s="8" customFormat="1">
      <c r="A2" s="35">
        <f>IF(D2*AB2,SUMPRODUCT((C$2:C2=C2)*(D$2:D2*AB$2:AB2&gt;0)),0)</f>
        <v>0</v>
      </c>
      <c r="B2" s="8">
        <f>IF(D2*AB2,MAX(B$1:B1)+1,)</f>
        <v>0</v>
      </c>
      <c r="C2" s="8">
        <f>IF(COUNTA(E2:O2)=1,(INT(MAX(C$1:C1)/1000)+1)*1000,C1)</f>
        <v>1000</v>
      </c>
      <c r="D2" s="62"/>
      <c r="E2" s="142" t="s">
        <v>42</v>
      </c>
      <c r="F2" s="143"/>
      <c r="G2" s="143"/>
      <c r="H2" s="143"/>
      <c r="I2" s="24"/>
      <c r="J2" s="24"/>
      <c r="K2" s="25"/>
      <c r="L2" s="26"/>
      <c r="M2" s="26"/>
      <c r="N2" s="26"/>
      <c r="O2" s="27"/>
      <c r="P2" s="26"/>
      <c r="Q2" s="26"/>
      <c r="R2" s="26"/>
      <c r="S2" s="26"/>
      <c r="T2" s="26"/>
      <c r="U2" s="26"/>
      <c r="V2" s="26"/>
      <c r="W2" s="26"/>
      <c r="X2" s="26"/>
      <c r="Y2" s="26"/>
      <c r="Z2" s="26"/>
      <c r="AA2" s="26"/>
      <c r="AB2" s="26"/>
    </row>
    <row r="3" spans="1:33" s="35" customFormat="1">
      <c r="A3" s="35">
        <f>IF(D3*AB3,SUMPRODUCT((C$2:C3=C3)*(D$2:D3*AB$2:AB3&gt;0)),0)</f>
        <v>1</v>
      </c>
      <c r="B3" s="8">
        <f>IF(D3*AB3,MAX(B$1:B2)+1,)</f>
        <v>1</v>
      </c>
      <c r="C3" s="8">
        <f>IF(COUNTA(E3:O3)=1,(INT(MAX(C$1:C2)/1000)+1)*1000,C2)</f>
        <v>1000</v>
      </c>
      <c r="D3" s="61">
        <v>1</v>
      </c>
      <c r="E3" s="69" t="s">
        <v>29</v>
      </c>
      <c r="F3" s="29" t="s">
        <v>3</v>
      </c>
      <c r="G3" s="30"/>
      <c r="H3" s="84"/>
      <c r="I3" s="55">
        <v>25</v>
      </c>
      <c r="J3" s="55">
        <v>50</v>
      </c>
      <c r="K3" s="31">
        <v>235.3</v>
      </c>
      <c r="L3" s="31"/>
      <c r="M3" s="31"/>
      <c r="N3" s="31"/>
      <c r="O3" s="80">
        <f t="shared" ref="O3:O13" si="0">SUM(K3:N3)</f>
        <v>235.3</v>
      </c>
      <c r="P3" s="78"/>
      <c r="Q3" s="31"/>
      <c r="R3" s="32"/>
      <c r="S3" s="31"/>
      <c r="T3" s="31"/>
      <c r="U3" s="31"/>
      <c r="V3" s="31"/>
      <c r="W3" s="33">
        <f>ROUND(IF(O3-M3&gt;Тарифы!$C$3,IF(O3-M3&gt;100,(O3-M3-((O3-M3)/100)-100)*0.13+4.8,((O3-M3-((O3-M3)/100)-Тарифы!$C$3)*0.08)),),2)</f>
        <v>22.08</v>
      </c>
      <c r="X3" s="31">
        <f t="shared" ref="X3:X13" si="1">ROUND((O3-M3)/100,2)</f>
        <v>2.35</v>
      </c>
      <c r="Y3" s="31">
        <f>ROUND((O3-M3)/100,2)</f>
        <v>2.35</v>
      </c>
      <c r="Z3" s="80">
        <f t="shared" ref="Z3:Z7" si="2">SUM(P3:Y3)</f>
        <v>26.78</v>
      </c>
      <c r="AA3" s="78">
        <f t="shared" ref="AA3:AA13" si="3">ROUND(ABS(IF((O3-Z3+H3-G3)&lt;0,O3-Z3+H3-G3,0)),2)</f>
        <v>0</v>
      </c>
      <c r="AB3" s="34">
        <f t="shared" ref="AB3:AB13" si="4">ROUND(IF((O3-Z3+H3-G3)&gt;0,O3-Z3+H3-G3,0),2)</f>
        <v>208.52</v>
      </c>
      <c r="AD3" s="35">
        <f>(MATCH($E$2:$E$57,$E$2:$E$57,0)=ROW(E2:$E$57)-1)*(ROW(E2:$E$57)-2)*ISNUMBER($D$2:$D$57)*($AB$2:$AB$57&gt;0)</f>
        <v>0</v>
      </c>
    </row>
    <row r="4" spans="1:33" s="35" customFormat="1">
      <c r="A4" s="35">
        <f>IF(D4*AB4,SUMPRODUCT((C$2:C4=C4)*(D$2:D4*AB$2:AB4&gt;0)),0)</f>
        <v>2</v>
      </c>
      <c r="B4" s="8">
        <f>IF(D4*AB4,MAX(B$1:B3)+1,)</f>
        <v>2</v>
      </c>
      <c r="C4" s="8">
        <f>IF(COUNTA(E4:O4)=1,(INT(MAX(C$1:C3)/1000)+1)*1000,C3)</f>
        <v>1000</v>
      </c>
      <c r="D4" s="61">
        <v>2</v>
      </c>
      <c r="E4" s="69" t="s">
        <v>30</v>
      </c>
      <c r="F4" s="29" t="s">
        <v>34</v>
      </c>
      <c r="G4" s="30"/>
      <c r="H4" s="84"/>
      <c r="I4" s="55">
        <v>25</v>
      </c>
      <c r="J4" s="55">
        <f t="shared" ref="J4:J28" si="5">SUM(I4*8)</f>
        <v>200</v>
      </c>
      <c r="K4" s="31">
        <v>197.34</v>
      </c>
      <c r="L4" s="31"/>
      <c r="M4" s="31"/>
      <c r="N4" s="31">
        <v>45.6</v>
      </c>
      <c r="O4" s="80">
        <f t="shared" si="0"/>
        <v>242.94</v>
      </c>
      <c r="P4" s="78"/>
      <c r="Q4" s="31"/>
      <c r="R4" s="31"/>
      <c r="S4" s="31"/>
      <c r="T4" s="31"/>
      <c r="U4" s="31"/>
      <c r="V4" s="33"/>
      <c r="W4" s="33">
        <f>ROUND(IF(O4-M4&gt;Тарифы!$C$3,IF(O4-M4&gt;100,(O4-M4-((O4-M4)/100)-100)*0.13+4.8,((O4-M4-((O4-M4)/100)-Тарифы!$C$3)*0.08)),),2)</f>
        <v>23.07</v>
      </c>
      <c r="X4" s="31">
        <f t="shared" si="1"/>
        <v>2.4300000000000002</v>
      </c>
      <c r="Y4" s="31">
        <f t="shared" ref="Y4:Y19" si="6">ROUND((O4-M4)/100,2)</f>
        <v>2.4300000000000002</v>
      </c>
      <c r="Z4" s="80">
        <f t="shared" si="2"/>
        <v>27.93</v>
      </c>
      <c r="AA4" s="78">
        <f t="shared" si="3"/>
        <v>0</v>
      </c>
      <c r="AB4" s="34">
        <f t="shared" si="4"/>
        <v>215.01</v>
      </c>
    </row>
    <row r="5" spans="1:33" s="35" customFormat="1">
      <c r="A5" s="35">
        <f>IF(D5*AB5,SUMPRODUCT((C$2:C5=C5)*(D$2:D5*AB$2:AB5&gt;0)),0)</f>
        <v>3</v>
      </c>
      <c r="B5" s="8">
        <f>IF(D5*AB5,MAX(B$1:B4)+1,)</f>
        <v>3</v>
      </c>
      <c r="C5" s="8">
        <f>IF(COUNTA(E5:O5)=1,(INT(MAX(C$1:C4)/1000)+1)*1000,C4)</f>
        <v>1000</v>
      </c>
      <c r="D5" s="61">
        <v>3</v>
      </c>
      <c r="E5" s="69" t="s">
        <v>31</v>
      </c>
      <c r="F5" s="29" t="s">
        <v>35</v>
      </c>
      <c r="G5" s="30"/>
      <c r="H5" s="84"/>
      <c r="I5" s="55">
        <v>25</v>
      </c>
      <c r="J5" s="55">
        <f t="shared" si="5"/>
        <v>200</v>
      </c>
      <c r="K5" s="31">
        <v>197.4</v>
      </c>
      <c r="L5" s="31"/>
      <c r="M5" s="31"/>
      <c r="N5" s="31"/>
      <c r="O5" s="80">
        <f t="shared" si="0"/>
        <v>197.4</v>
      </c>
      <c r="P5" s="78"/>
      <c r="Q5" s="31"/>
      <c r="R5" s="31"/>
      <c r="S5" s="31"/>
      <c r="T5" s="31"/>
      <c r="U5" s="31"/>
      <c r="V5" s="31"/>
      <c r="W5" s="33">
        <f>ROUND(IF(O5-M5&gt;Тарифы!$C$3,IF(O5-M5&gt;100,(O5-M5-((O5-M5)/100)-100)*0.13+4.8,((O5-M5-((O5-M5)/100)-Тарифы!$C$3)*0.08)),),2)</f>
        <v>17.21</v>
      </c>
      <c r="X5" s="31">
        <f t="shared" si="1"/>
        <v>1.97</v>
      </c>
      <c r="Y5" s="31">
        <f t="shared" si="6"/>
        <v>1.97</v>
      </c>
      <c r="Z5" s="80">
        <f t="shared" si="2"/>
        <v>21.15</v>
      </c>
      <c r="AA5" s="78">
        <f t="shared" si="3"/>
        <v>0</v>
      </c>
      <c r="AB5" s="34">
        <f t="shared" si="4"/>
        <v>176.25</v>
      </c>
    </row>
    <row r="6" spans="1:33" s="35" customFormat="1">
      <c r="A6" s="35">
        <f>IF(D6*AB6,SUMPRODUCT((C$2:C6=C6)*(D$2:D6*AB$2:AB6&gt;0)),0)</f>
        <v>4</v>
      </c>
      <c r="B6" s="8">
        <f>IF(D6*AB6,MAX(B$1:B5)+1,)</f>
        <v>4</v>
      </c>
      <c r="C6" s="8">
        <f>IF(COUNTA(E6:O6)=1,(INT(MAX(C$1:C5)/1000)+1)*1000,C5)</f>
        <v>1000</v>
      </c>
      <c r="D6" s="61">
        <v>4</v>
      </c>
      <c r="E6" s="69" t="s">
        <v>32</v>
      </c>
      <c r="F6" s="29" t="s">
        <v>36</v>
      </c>
      <c r="G6" s="30"/>
      <c r="H6" s="84"/>
      <c r="I6" s="55">
        <v>25</v>
      </c>
      <c r="J6" s="55">
        <f t="shared" si="5"/>
        <v>200</v>
      </c>
      <c r="K6" s="31">
        <v>197.34</v>
      </c>
      <c r="L6" s="31"/>
      <c r="M6" s="31"/>
      <c r="N6" s="31">
        <v>45.6</v>
      </c>
      <c r="O6" s="80">
        <f t="shared" si="0"/>
        <v>242.94</v>
      </c>
      <c r="P6" s="78"/>
      <c r="Q6" s="31"/>
      <c r="R6" s="31"/>
      <c r="S6" s="31"/>
      <c r="T6" s="31"/>
      <c r="U6" s="31"/>
      <c r="V6" s="31"/>
      <c r="W6" s="33">
        <f>ROUND(IF(O6-M6&gt;Тарифы!$C$3,IF(O6-M6&gt;100,(O6-M6-((O6-M6)/100)-100)*0.13+4.8,((O6-M6-((O6-M6)/100)-Тарифы!$C$3)*0.08)),),2)</f>
        <v>23.07</v>
      </c>
      <c r="X6" s="31">
        <f t="shared" si="1"/>
        <v>2.4300000000000002</v>
      </c>
      <c r="Y6" s="31">
        <f t="shared" si="6"/>
        <v>2.4300000000000002</v>
      </c>
      <c r="Z6" s="80">
        <f t="shared" si="2"/>
        <v>27.93</v>
      </c>
      <c r="AA6" s="78">
        <f t="shared" si="3"/>
        <v>0</v>
      </c>
      <c r="AB6" s="34">
        <f t="shared" si="4"/>
        <v>215.01</v>
      </c>
    </row>
    <row r="7" spans="1:33" s="35" customFormat="1">
      <c r="A7" s="35">
        <f>IF(D7*AB7,SUMPRODUCT((C$2:C7=C7)*(D$2:D7*AB$2:AB7&gt;0)),0)</f>
        <v>5</v>
      </c>
      <c r="B7" s="8">
        <f>IF(D7*AB7,MAX(B$1:B6)+1,)</f>
        <v>5</v>
      </c>
      <c r="C7" s="8">
        <f>IF(COUNTA(E7:O7)=1,(INT(MAX(C$1:C6)/1000)+1)*1000,C6)</f>
        <v>1000</v>
      </c>
      <c r="D7" s="61">
        <v>5</v>
      </c>
      <c r="E7" s="69" t="s">
        <v>23</v>
      </c>
      <c r="F7" s="29" t="s">
        <v>37</v>
      </c>
      <c r="G7" s="30"/>
      <c r="H7" s="84">
        <v>0</v>
      </c>
      <c r="I7" s="55">
        <v>25</v>
      </c>
      <c r="J7" s="55">
        <f t="shared" si="5"/>
        <v>200</v>
      </c>
      <c r="K7" s="33">
        <v>98.67</v>
      </c>
      <c r="L7" s="31"/>
      <c r="M7" s="31"/>
      <c r="N7" s="31"/>
      <c r="O7" s="80">
        <f t="shared" si="0"/>
        <v>98.67</v>
      </c>
      <c r="P7" s="78"/>
      <c r="Q7" s="31"/>
      <c r="R7" s="31"/>
      <c r="S7" s="31"/>
      <c r="T7" s="31"/>
      <c r="U7" s="31"/>
      <c r="V7" s="31"/>
      <c r="W7" s="33">
        <f>ROUND(IF(O7-M7&gt;Тарифы!$C$3,IF(O7-M7&gt;100,(O7-M7-((O7-M7)/100)-100)*0.13+4.8,((O7-M7-((O7-M7)/100)-Тарифы!$C$3)*0.08)),),2)</f>
        <v>4.6100000000000003</v>
      </c>
      <c r="X7" s="31">
        <f t="shared" si="1"/>
        <v>0.99</v>
      </c>
      <c r="Y7" s="31">
        <f t="shared" si="6"/>
        <v>0.99</v>
      </c>
      <c r="Z7" s="80">
        <f t="shared" si="2"/>
        <v>6.5900000000000007</v>
      </c>
      <c r="AA7" s="78">
        <f t="shared" si="3"/>
        <v>0</v>
      </c>
      <c r="AB7" s="34">
        <f t="shared" si="4"/>
        <v>92.08</v>
      </c>
    </row>
    <row r="8" spans="1:33" s="35" customFormat="1">
      <c r="A8" s="35">
        <f>IF(D8*AB8,SUMPRODUCT((C$2:C8=C8)*(D$2:D8*AB$2:AB8&gt;0)),0)</f>
        <v>0</v>
      </c>
      <c r="B8" s="8">
        <f>IF(D8*AB8,MAX(B$1:B7)+1,)</f>
        <v>0</v>
      </c>
      <c r="C8" s="8">
        <f>IF(COUNTA(E8:O8)=1,(INT(MAX(C$1:C7)/1000)+1)*1000,C7)</f>
        <v>1000</v>
      </c>
      <c r="D8" s="61">
        <v>6</v>
      </c>
      <c r="E8" s="69" t="s">
        <v>33</v>
      </c>
      <c r="F8" s="29" t="s">
        <v>38</v>
      </c>
      <c r="G8" s="30"/>
      <c r="H8" s="84"/>
      <c r="I8" s="55">
        <v>25</v>
      </c>
      <c r="J8" s="55">
        <f t="shared" si="5"/>
        <v>200</v>
      </c>
      <c r="K8" s="31"/>
      <c r="L8" s="31"/>
      <c r="M8" s="31"/>
      <c r="N8" s="31"/>
      <c r="O8" s="80">
        <f t="shared" si="0"/>
        <v>0</v>
      </c>
      <c r="P8" s="78"/>
      <c r="Q8" s="31"/>
      <c r="R8" s="31"/>
      <c r="S8" s="31"/>
      <c r="T8" s="31"/>
      <c r="U8" s="31"/>
      <c r="V8" s="31"/>
      <c r="W8" s="33">
        <f>ROUND(IF(O8-M8&gt;Тарифы!$C$3,IF(O8-M8&gt;100,(O8-M8-((O8-M8)/100)-100)*0.13+4.8,((O8-M8-((O8-M8)/100)-Тарифы!$C$3)*0.08)),),2)</f>
        <v>0</v>
      </c>
      <c r="X8" s="31">
        <f t="shared" si="1"/>
        <v>0</v>
      </c>
      <c r="Y8" s="31">
        <f t="shared" si="6"/>
        <v>0</v>
      </c>
      <c r="Z8" s="80">
        <f t="shared" ref="Z8:Z27" si="7">SUM(P8:Y8)</f>
        <v>0</v>
      </c>
      <c r="AA8" s="78">
        <f t="shared" si="3"/>
        <v>0</v>
      </c>
      <c r="AB8" s="34">
        <f t="shared" si="4"/>
        <v>0</v>
      </c>
    </row>
    <row r="9" spans="1:33" s="35" customFormat="1">
      <c r="A9" s="35">
        <f>IF(D9*AB9,SUMPRODUCT((C$2:C9=C9)*(D$2:D9*AB$2:AB9&gt;0)),0)</f>
        <v>6</v>
      </c>
      <c r="B9" s="8">
        <f>IF(D9*AB9,MAX(B$1:B8)+1,)</f>
        <v>6</v>
      </c>
      <c r="C9" s="8">
        <f>IF(COUNTA(E9:O9)=1,(INT(MAX(C$1:C8)/1000)+1)*1000,C8)</f>
        <v>1000</v>
      </c>
      <c r="D9" s="61">
        <v>7</v>
      </c>
      <c r="E9" s="69" t="s">
        <v>4</v>
      </c>
      <c r="F9" s="29" t="s">
        <v>39</v>
      </c>
      <c r="G9" s="30"/>
      <c r="H9" s="84"/>
      <c r="I9" s="55">
        <v>19</v>
      </c>
      <c r="J9" s="55">
        <f t="shared" si="5"/>
        <v>152</v>
      </c>
      <c r="K9" s="31">
        <v>79</v>
      </c>
      <c r="L9" s="31"/>
      <c r="M9" s="31"/>
      <c r="N9" s="31"/>
      <c r="O9" s="80">
        <f t="shared" si="0"/>
        <v>79</v>
      </c>
      <c r="P9" s="78"/>
      <c r="Q9" s="31"/>
      <c r="R9" s="31"/>
      <c r="S9" s="31"/>
      <c r="T9" s="31"/>
      <c r="U9" s="31"/>
      <c r="V9" s="31"/>
      <c r="W9" s="33">
        <f>ROUND(IF(O9-M9&gt;Тарифы!$C$3,IF(O9-M9&gt;100,(O9-M9-((O9-M9)/100)-100)*0.13+4.8,((O9-M9-((O9-M9)/100)-Тарифы!$C$3)*0.08)),),2)</f>
        <v>3.06</v>
      </c>
      <c r="X9" s="31">
        <f t="shared" si="1"/>
        <v>0.79</v>
      </c>
      <c r="Y9" s="31">
        <f t="shared" si="6"/>
        <v>0.79</v>
      </c>
      <c r="Z9" s="80">
        <f t="shared" si="7"/>
        <v>4.6400000000000006</v>
      </c>
      <c r="AA9" s="78">
        <f t="shared" si="3"/>
        <v>0</v>
      </c>
      <c r="AB9" s="34">
        <f t="shared" si="4"/>
        <v>74.36</v>
      </c>
    </row>
    <row r="10" spans="1:33" s="35" customFormat="1">
      <c r="A10" s="35">
        <f>IF(D10*AB10,SUMPRODUCT((C$2:C10=C10)*(D$2:D10*AB$2:AB10&gt;0)),0)</f>
        <v>7</v>
      </c>
      <c r="B10" s="8">
        <f>IF(D10*AB10,MAX(B$1:B9)+1,)</f>
        <v>7</v>
      </c>
      <c r="C10" s="8">
        <f>IF(COUNTA(E10:O10)=1,(INT(MAX(C$1:C9)/1000)+1)*1000,C9)</f>
        <v>1000</v>
      </c>
      <c r="D10" s="61">
        <v>8</v>
      </c>
      <c r="E10" s="69" t="s">
        <v>5</v>
      </c>
      <c r="F10" s="29" t="s">
        <v>40</v>
      </c>
      <c r="G10" s="30"/>
      <c r="H10" s="84"/>
      <c r="I10" s="55">
        <v>25</v>
      </c>
      <c r="J10" s="55">
        <f t="shared" si="5"/>
        <v>200</v>
      </c>
      <c r="K10" s="31">
        <v>104</v>
      </c>
      <c r="L10" s="31"/>
      <c r="M10" s="31"/>
      <c r="N10" s="31"/>
      <c r="O10" s="80">
        <f t="shared" si="0"/>
        <v>104</v>
      </c>
      <c r="P10" s="78"/>
      <c r="Q10" s="31"/>
      <c r="R10" s="31"/>
      <c r="S10" s="31"/>
      <c r="T10" s="31"/>
      <c r="U10" s="31"/>
      <c r="V10" s="31"/>
      <c r="W10" s="33">
        <f>ROUND(IF(O10-M10&gt;Тарифы!$C$3,IF(O10-M10&gt;100,(O10-M10-((O10-M10)/100)-100)*0.13+4.8,((O10-M10-((O10-M10)/100)-Тарифы!$C$3)*0.08)),),2)</f>
        <v>5.18</v>
      </c>
      <c r="X10" s="31">
        <f t="shared" si="1"/>
        <v>1.04</v>
      </c>
      <c r="Y10" s="31">
        <f t="shared" si="6"/>
        <v>1.04</v>
      </c>
      <c r="Z10" s="80">
        <f t="shared" si="7"/>
        <v>7.26</v>
      </c>
      <c r="AA10" s="78">
        <f t="shared" si="3"/>
        <v>0</v>
      </c>
      <c r="AB10" s="34">
        <f t="shared" si="4"/>
        <v>96.74</v>
      </c>
    </row>
    <row r="11" spans="1:33" s="35" customFormat="1">
      <c r="A11" s="35">
        <f>IF(D11*AB11,SUMPRODUCT((C$2:C11=C11)*(D$2:D11*AB$2:AB11&gt;0)),0)</f>
        <v>8</v>
      </c>
      <c r="B11" s="8">
        <f>IF(D11*AB11,MAX(B$1:B10)+1,)</f>
        <v>8</v>
      </c>
      <c r="C11" s="8">
        <f>IF(COUNTA(E11:O11)=1,(INT(MAX(C$1:C10)/1000)+1)*1000,C10)</f>
        <v>1000</v>
      </c>
      <c r="D11" s="61">
        <v>9</v>
      </c>
      <c r="E11" s="69" t="s">
        <v>6</v>
      </c>
      <c r="F11" s="29" t="s">
        <v>40</v>
      </c>
      <c r="G11" s="30"/>
      <c r="H11" s="84"/>
      <c r="I11" s="55">
        <v>25</v>
      </c>
      <c r="J11" s="55">
        <f t="shared" si="5"/>
        <v>200</v>
      </c>
      <c r="K11" s="31">
        <v>104</v>
      </c>
      <c r="L11" s="31"/>
      <c r="M11" s="31"/>
      <c r="N11" s="31"/>
      <c r="O11" s="80">
        <f t="shared" si="0"/>
        <v>104</v>
      </c>
      <c r="P11" s="78"/>
      <c r="Q11" s="31"/>
      <c r="R11" s="31"/>
      <c r="S11" s="31"/>
      <c r="T11" s="31"/>
      <c r="U11" s="31"/>
      <c r="V11" s="31"/>
      <c r="W11" s="33">
        <f>ROUND(IF(O11-M11&gt;Тарифы!$C$3,IF(O11-M11&gt;100,(O11-M11-((O11-M11)/100)-100)*0.13+4.8,((O11-M11-((O11-M11)/100)-Тарифы!$C$3)*0.08)),),2)</f>
        <v>5.18</v>
      </c>
      <c r="X11" s="31">
        <f t="shared" si="1"/>
        <v>1.04</v>
      </c>
      <c r="Y11" s="31">
        <f t="shared" si="6"/>
        <v>1.04</v>
      </c>
      <c r="Z11" s="80">
        <f t="shared" si="7"/>
        <v>7.26</v>
      </c>
      <c r="AA11" s="78">
        <f t="shared" si="3"/>
        <v>0</v>
      </c>
      <c r="AB11" s="34">
        <f t="shared" si="4"/>
        <v>96.74</v>
      </c>
    </row>
    <row r="12" spans="1:33" s="35" customFormat="1">
      <c r="A12" s="35">
        <f>IF(D12*AB12,SUMPRODUCT((C$2:C12=C12)*(D$2:D12*AB$2:AB12&gt;0)),0)</f>
        <v>9</v>
      </c>
      <c r="B12" s="8">
        <f>IF(D12*AB12,MAX(B$1:B11)+1,)</f>
        <v>9</v>
      </c>
      <c r="C12" s="8">
        <f>IF(COUNTA(E12:O12)=1,(INT(MAX(C$1:C11)/1000)+1)*1000,C11)</f>
        <v>1000</v>
      </c>
      <c r="D12" s="61">
        <v>10</v>
      </c>
      <c r="E12" s="69" t="s">
        <v>22</v>
      </c>
      <c r="F12" s="29" t="s">
        <v>41</v>
      </c>
      <c r="G12" s="30"/>
      <c r="H12" s="84"/>
      <c r="I12" s="55">
        <v>25</v>
      </c>
      <c r="J12" s="55">
        <f t="shared" si="5"/>
        <v>200</v>
      </c>
      <c r="K12" s="31">
        <v>131.1</v>
      </c>
      <c r="L12" s="31"/>
      <c r="M12" s="31"/>
      <c r="N12" s="31"/>
      <c r="O12" s="80">
        <f t="shared" si="0"/>
        <v>131.1</v>
      </c>
      <c r="P12" s="78"/>
      <c r="Q12" s="31"/>
      <c r="R12" s="31"/>
      <c r="S12" s="31"/>
      <c r="T12" s="31"/>
      <c r="U12" s="31"/>
      <c r="V12" s="31"/>
      <c r="W12" s="33">
        <f>ROUND(IF(O12-M12&gt;Тарифы!$C$3,IF(O12-M12&gt;100,(O12-M12-((O12-M12)/100)-100)*0.13+4.8,((O12-M12-((O12-M12)/100)-Тарифы!$C$3)*0.08)),),2)</f>
        <v>8.67</v>
      </c>
      <c r="X12" s="31">
        <f t="shared" si="1"/>
        <v>1.31</v>
      </c>
      <c r="Y12" s="31">
        <f t="shared" si="6"/>
        <v>1.31</v>
      </c>
      <c r="Z12" s="80">
        <f t="shared" si="7"/>
        <v>11.290000000000001</v>
      </c>
      <c r="AA12" s="78">
        <f t="shared" si="3"/>
        <v>0</v>
      </c>
      <c r="AB12" s="34">
        <f t="shared" si="4"/>
        <v>119.81</v>
      </c>
    </row>
    <row r="13" spans="1:33" s="35" customFormat="1">
      <c r="A13" s="35">
        <f>IF(D13*AB13,SUMPRODUCT((C$2:C13=C13)*(D$2:D13*AB$2:AB13&gt;0)),0)</f>
        <v>10</v>
      </c>
      <c r="B13" s="8">
        <f>IF(D13*AB13,MAX(B$1:B12)+1,)</f>
        <v>10</v>
      </c>
      <c r="C13" s="8">
        <f>IF(COUNTA(E13:O13)=1,(INT(MAX(C$1:C12)/1000)+1)*1000,C12)</f>
        <v>1000</v>
      </c>
      <c r="D13" s="63">
        <v>11</v>
      </c>
      <c r="E13" s="70" t="s">
        <v>7</v>
      </c>
      <c r="F13" s="29" t="s">
        <v>41</v>
      </c>
      <c r="G13" s="36"/>
      <c r="H13" s="85"/>
      <c r="I13" s="56">
        <v>25</v>
      </c>
      <c r="J13" s="56">
        <f t="shared" si="5"/>
        <v>200</v>
      </c>
      <c r="K13" s="37">
        <v>197.4</v>
      </c>
      <c r="L13" s="37"/>
      <c r="M13" s="37"/>
      <c r="N13" s="37"/>
      <c r="O13" s="81">
        <f t="shared" si="0"/>
        <v>197.4</v>
      </c>
      <c r="P13" s="79"/>
      <c r="Q13" s="37"/>
      <c r="R13" s="37"/>
      <c r="S13" s="37"/>
      <c r="T13" s="37"/>
      <c r="U13" s="37"/>
      <c r="V13" s="37"/>
      <c r="W13" s="38">
        <f>ROUND(IF(O13-M13&gt;Тарифы!$C$3,IF(O13-M13&gt;100,(O13-M13-((O13-M13)/100)-100)*0.13+4.8,((O13-M13-((O13-M13)/100)-Тарифы!$C$3)*0.08)),),2)</f>
        <v>17.21</v>
      </c>
      <c r="X13" s="37">
        <f t="shared" si="1"/>
        <v>1.97</v>
      </c>
      <c r="Y13" s="37">
        <f t="shared" si="6"/>
        <v>1.97</v>
      </c>
      <c r="Z13" s="81">
        <f t="shared" si="7"/>
        <v>21.15</v>
      </c>
      <c r="AA13" s="79">
        <f t="shared" si="3"/>
        <v>0</v>
      </c>
      <c r="AB13" s="39">
        <f t="shared" si="4"/>
        <v>176.25</v>
      </c>
    </row>
    <row r="14" spans="1:33" s="44" customFormat="1">
      <c r="A14" s="35">
        <f>IF(D14*AB14,SUMPRODUCT((C$2:C14=C14)*(D$2:D14*AB$2:AB14&gt;0)),0)</f>
        <v>0</v>
      </c>
      <c r="B14" s="8">
        <f>IF(D14*AB14,MAX(B$1:B13)+1,)</f>
        <v>0</v>
      </c>
      <c r="C14" s="8">
        <f>IF(COUNTA(E14:O14)=1,(INT(MAX(C$1:C13)/1000)+1)*1000,C13)</f>
        <v>1000</v>
      </c>
      <c r="D14" s="64"/>
      <c r="E14" s="71" t="s">
        <v>81</v>
      </c>
      <c r="F14" s="40"/>
      <c r="G14" s="42">
        <f t="shared" ref="G14:H14" si="8">SUM(G3:G13)</f>
        <v>0</v>
      </c>
      <c r="H14" s="83">
        <f t="shared" si="8"/>
        <v>0</v>
      </c>
      <c r="I14" s="57"/>
      <c r="J14" s="58"/>
      <c r="K14" s="42">
        <f>SUM(K3:K13)</f>
        <v>1541.55</v>
      </c>
      <c r="L14" s="42">
        <f t="shared" ref="L14:M14" si="9">SUM(L3:L13)</f>
        <v>0</v>
      </c>
      <c r="M14" s="42">
        <f t="shared" si="9"/>
        <v>0</v>
      </c>
      <c r="N14" s="42">
        <f>SUM(N3:N13)</f>
        <v>91.2</v>
      </c>
      <c r="O14" s="83">
        <f>SUM(O3:O13)</f>
        <v>1632.75</v>
      </c>
      <c r="P14" s="82">
        <f t="shared" ref="P14:Z14" si="10">SUM(P3:P13)</f>
        <v>0</v>
      </c>
      <c r="Q14" s="42">
        <f t="shared" si="10"/>
        <v>0</v>
      </c>
      <c r="R14" s="42">
        <f t="shared" si="10"/>
        <v>0</v>
      </c>
      <c r="S14" s="42">
        <f t="shared" si="10"/>
        <v>0</v>
      </c>
      <c r="T14" s="42">
        <f t="shared" si="10"/>
        <v>0</v>
      </c>
      <c r="U14" s="42">
        <f t="shared" si="10"/>
        <v>0</v>
      </c>
      <c r="V14" s="42">
        <f t="shared" si="10"/>
        <v>0</v>
      </c>
      <c r="W14" s="42">
        <f t="shared" si="10"/>
        <v>129.34</v>
      </c>
      <c r="X14" s="42">
        <f t="shared" si="10"/>
        <v>16.32</v>
      </c>
      <c r="Y14" s="42">
        <f t="shared" si="10"/>
        <v>16.32</v>
      </c>
      <c r="Z14" s="83">
        <f t="shared" si="10"/>
        <v>161.97999999999999</v>
      </c>
      <c r="AA14" s="43">
        <f>SUM(AA3:AA13)</f>
        <v>0</v>
      </c>
      <c r="AB14" s="43">
        <f>SUM(AB3:AB13)</f>
        <v>1470.77</v>
      </c>
      <c r="AF14" s="35"/>
      <c r="AG14" s="35"/>
    </row>
    <row r="15" spans="1:33" s="44" customFormat="1">
      <c r="A15" s="35">
        <f>IF(D15*AB15,SUMPRODUCT((C$2:C15=C15)*(D$2:D15*AB$2:AB15&gt;0)),0)</f>
        <v>0</v>
      </c>
      <c r="B15" s="8">
        <f>IF(D15*AB15,MAX(B$1:B14)+1,)</f>
        <v>0</v>
      </c>
      <c r="C15" s="8">
        <f>IF(COUNTA(E15:O15)=1,(INT(MAX(C$1:C14)/1000)+1)*1000,C14)</f>
        <v>1000</v>
      </c>
      <c r="D15" s="65"/>
      <c r="E15" s="72"/>
      <c r="F15" s="45"/>
      <c r="G15" s="46"/>
      <c r="H15" s="46"/>
      <c r="I15" s="59"/>
      <c r="J15" s="59"/>
      <c r="K15" s="47"/>
      <c r="L15" s="47"/>
      <c r="M15" s="47"/>
      <c r="N15" s="47"/>
      <c r="O15" s="47"/>
      <c r="P15" s="47"/>
      <c r="Q15" s="47"/>
      <c r="R15" s="47"/>
      <c r="S15" s="47"/>
      <c r="T15" s="47"/>
      <c r="U15" s="47"/>
      <c r="V15" s="47"/>
      <c r="W15" s="47"/>
      <c r="X15" s="47"/>
      <c r="Y15" s="47"/>
      <c r="Z15" s="47"/>
      <c r="AA15" s="47"/>
      <c r="AB15" s="47"/>
    </row>
    <row r="16" spans="1:33" s="35" customFormat="1" ht="12.75" customHeight="1">
      <c r="A16" s="35">
        <f>IF(D16*AB16,SUMPRODUCT((C$2:C16=C16)*(D$2:D16*AB$2:AB16&gt;0)),0)</f>
        <v>0</v>
      </c>
      <c r="B16" s="8">
        <f>IF(D16*AB16,MAX(B$1:B15)+1,)</f>
        <v>0</v>
      </c>
      <c r="C16" s="8">
        <f>IF(COUNTA(E16:O16)=1,(INT(MAX(C$1:C15)/1000)+1)*1000,C15)</f>
        <v>2000</v>
      </c>
      <c r="D16" s="66"/>
      <c r="E16" s="142" t="s">
        <v>53</v>
      </c>
      <c r="F16" s="143"/>
      <c r="G16" s="143"/>
      <c r="H16" s="143"/>
      <c r="I16" s="28"/>
      <c r="J16" s="28"/>
      <c r="K16" s="49"/>
      <c r="L16" s="48"/>
      <c r="M16" s="48"/>
      <c r="N16" s="48"/>
      <c r="O16" s="50"/>
      <c r="P16" s="48"/>
      <c r="Q16" s="48"/>
      <c r="R16" s="48"/>
      <c r="S16" s="48"/>
      <c r="T16" s="48"/>
      <c r="U16" s="48"/>
      <c r="V16" s="48"/>
      <c r="W16" s="48"/>
      <c r="X16" s="48"/>
      <c r="Y16" s="48"/>
      <c r="Z16" s="48"/>
      <c r="AA16" s="48"/>
      <c r="AB16" s="48"/>
    </row>
    <row r="17" spans="1:28" s="35" customFormat="1">
      <c r="A17" s="35">
        <f>IF(D17*AB17,SUMPRODUCT((C$2:C17=C17)*(D$2:D17*AB$2:AB17&gt;0)),0)</f>
        <v>1</v>
      </c>
      <c r="B17" s="8">
        <f>IF(D17*AB17,MAX(B$1:B16)+1,)</f>
        <v>11</v>
      </c>
      <c r="C17" s="8">
        <f>IF(COUNTA(E17:O17)=1,(INT(MAX(C$1:C16)/1000)+1)*1000,C16)</f>
        <v>2000</v>
      </c>
      <c r="D17" s="61">
        <v>1</v>
      </c>
      <c r="E17" s="69" t="s">
        <v>52</v>
      </c>
      <c r="F17" s="29" t="s">
        <v>64</v>
      </c>
      <c r="G17" s="30"/>
      <c r="H17" s="84"/>
      <c r="I17" s="55">
        <v>25</v>
      </c>
      <c r="J17" s="55">
        <f t="shared" si="5"/>
        <v>200</v>
      </c>
      <c r="K17" s="31">
        <v>131.05000000000001</v>
      </c>
      <c r="L17" s="31"/>
      <c r="M17" s="31"/>
      <c r="N17" s="31"/>
      <c r="O17" s="80">
        <f>SUM(K17:N17)</f>
        <v>131.05000000000001</v>
      </c>
      <c r="P17" s="78"/>
      <c r="Q17" s="31"/>
      <c r="R17" s="32"/>
      <c r="S17" s="31"/>
      <c r="T17" s="31"/>
      <c r="U17" s="31"/>
      <c r="V17" s="31"/>
      <c r="W17" s="33">
        <f>ROUND(IF(O17-M17&gt;Тарифы!$C$3,IF(O17-M17&gt;100,(O17-M17-((O17-M17)/100)-100)*0.13+4.8,((O17-M17-((O17-M17)/100)-Тарифы!$C$3)*0.08)),),2)</f>
        <v>8.67</v>
      </c>
      <c r="X17" s="31">
        <f>ROUND((O17-M17)/100,2)</f>
        <v>1.31</v>
      </c>
      <c r="Y17" s="31">
        <f t="shared" si="6"/>
        <v>1.31</v>
      </c>
      <c r="Z17" s="80">
        <f t="shared" si="7"/>
        <v>11.290000000000001</v>
      </c>
      <c r="AA17" s="78">
        <f>ROUND(ABS(IF((O17-Z17+H17-G17)&lt;0,O17-Z17+H17-G17,0)),2)</f>
        <v>0</v>
      </c>
      <c r="AB17" s="34">
        <f>ROUND(IF((O17-Z17+H17-G17)&gt;0,O17-Z17+H17-G17,0),2)</f>
        <v>119.76</v>
      </c>
    </row>
    <row r="18" spans="1:28" s="35" customFormat="1">
      <c r="A18" s="35">
        <f>IF(D18*AB18,SUMPRODUCT((C$2:C18=C18)*(D$2:D18*AB$2:AB18&gt;0)),0)</f>
        <v>2</v>
      </c>
      <c r="B18" s="8">
        <f>IF(D18*AB18,MAX(B$1:B17)+1,)</f>
        <v>12</v>
      </c>
      <c r="C18" s="8">
        <f>IF(COUNTA(E18:O18)=1,(INT(MAX(C$1:C17)/1000)+1)*1000,C17)</f>
        <v>2000</v>
      </c>
      <c r="D18" s="61">
        <v>2</v>
      </c>
      <c r="E18" s="69" t="s">
        <v>33</v>
      </c>
      <c r="F18" s="29" t="s">
        <v>101</v>
      </c>
      <c r="G18" s="30"/>
      <c r="H18" s="84"/>
      <c r="I18" s="55">
        <v>25</v>
      </c>
      <c r="J18" s="55">
        <f t="shared" si="5"/>
        <v>200</v>
      </c>
      <c r="K18" s="31">
        <v>148</v>
      </c>
      <c r="L18" s="31"/>
      <c r="M18" s="31"/>
      <c r="N18" s="31"/>
      <c r="O18" s="80">
        <f>SUM(K18:N18)</f>
        <v>148</v>
      </c>
      <c r="P18" s="78"/>
      <c r="Q18" s="31"/>
      <c r="R18" s="32"/>
      <c r="S18" s="31"/>
      <c r="T18" s="31"/>
      <c r="U18" s="31"/>
      <c r="V18" s="31"/>
      <c r="W18" s="33">
        <f>ROUND(IF(O18-M18&gt;Тарифы!$C$3,IF(O18-M18&gt;100,(O18-M18-((O18-M18)/100)-100)*0.13+4.8,((O18-M18-((O18-M18)/100)-Тарифы!$C$3)*0.08)),),2)</f>
        <v>10.85</v>
      </c>
      <c r="X18" s="31">
        <f>ROUND((O18-M18)/100,2)</f>
        <v>1.48</v>
      </c>
      <c r="Y18" s="31">
        <f t="shared" si="6"/>
        <v>1.48</v>
      </c>
      <c r="Z18" s="80">
        <f t="shared" si="7"/>
        <v>13.81</v>
      </c>
      <c r="AA18" s="78">
        <f>ROUND(ABS(IF((O18-Z18+H18-G18)&lt;0,O18-Z18+H18-G18,0)),2)</f>
        <v>0</v>
      </c>
      <c r="AB18" s="34">
        <f>ROUND(IF((O18-Z18+H18-G18)&gt;0,O18-Z18+H18-G18,0),2)</f>
        <v>134.19</v>
      </c>
    </row>
    <row r="19" spans="1:28" s="35" customFormat="1">
      <c r="A19" s="35">
        <f>IF(D19*AB19,SUMPRODUCT((C$2:C19=C19)*(D$2:D19*AB$2:AB19&gt;0)),0)</f>
        <v>3</v>
      </c>
      <c r="B19" s="8">
        <f>IF(D19*AB19,MAX(B$1:B18)+1,)</f>
        <v>13</v>
      </c>
      <c r="C19" s="8">
        <f>IF(COUNTA(E19:O19)=1,(INT(MAX(C$1:C18)/1000)+1)*1000,C18)</f>
        <v>2000</v>
      </c>
      <c r="D19" s="61">
        <v>3</v>
      </c>
      <c r="E19" s="69" t="s">
        <v>8</v>
      </c>
      <c r="F19" s="29" t="s">
        <v>101</v>
      </c>
      <c r="G19" s="30"/>
      <c r="H19" s="84"/>
      <c r="I19" s="55">
        <v>25</v>
      </c>
      <c r="J19" s="55">
        <f t="shared" si="5"/>
        <v>200</v>
      </c>
      <c r="K19" s="31">
        <v>104</v>
      </c>
      <c r="L19" s="31"/>
      <c r="M19" s="31"/>
      <c r="N19" s="31"/>
      <c r="O19" s="80">
        <f>SUM(K19:N19)</f>
        <v>104</v>
      </c>
      <c r="P19" s="78"/>
      <c r="Q19" s="31"/>
      <c r="R19" s="32"/>
      <c r="S19" s="31"/>
      <c r="T19" s="31"/>
      <c r="U19" s="31"/>
      <c r="V19" s="31"/>
      <c r="W19" s="33">
        <f>ROUND(IF(O19-M19&gt;Тарифы!$C$3,IF(O19-M19&gt;100,(O19-M19-((O19-M19)/100)-100)*0.13+4.8,((O19-M19-((O19-M19)/100)-Тарифы!$C$3)*0.08)),),2)</f>
        <v>5.18</v>
      </c>
      <c r="X19" s="31">
        <f>ROUND((O19-M19)/100,2)</f>
        <v>1.04</v>
      </c>
      <c r="Y19" s="31">
        <f t="shared" si="6"/>
        <v>1.04</v>
      </c>
      <c r="Z19" s="80">
        <f t="shared" si="7"/>
        <v>7.26</v>
      </c>
      <c r="AA19" s="78">
        <f>ROUND(ABS(IF((O19-Z19+H19-G19)&lt;0,O19-Z19+H19-G19,0)),2)</f>
        <v>0</v>
      </c>
      <c r="AB19" s="34">
        <f>ROUND(IF((O19-Z19+H19-G19)&gt;0,O19-Z19+H19-G19,0),2)</f>
        <v>96.74</v>
      </c>
    </row>
    <row r="20" spans="1:28" s="44" customFormat="1">
      <c r="A20" s="35">
        <f>IF(D20*AB20,SUMPRODUCT((C$2:C20=C20)*(D$2:D20*AB$2:AB20&gt;0)),0)</f>
        <v>0</v>
      </c>
      <c r="B20" s="8">
        <f>IF(D20*AB20,MAX(B$1:B19)+1,)</f>
        <v>0</v>
      </c>
      <c r="C20" s="8">
        <f>IF(COUNTA(E20:O20)=1,(INT(MAX(C$1:C19)/1000)+1)*1000,C19)</f>
        <v>2000</v>
      </c>
      <c r="D20" s="64"/>
      <c r="E20" s="71" t="s">
        <v>81</v>
      </c>
      <c r="F20" s="40"/>
      <c r="G20" s="42">
        <f t="shared" ref="G20:H20" si="11">SUM(G17:G19)</f>
        <v>0</v>
      </c>
      <c r="H20" s="83">
        <f t="shared" si="11"/>
        <v>0</v>
      </c>
      <c r="I20" s="57"/>
      <c r="J20" s="58">
        <f t="shared" si="5"/>
        <v>0</v>
      </c>
      <c r="K20" s="42">
        <f>SUM(K17:K19)</f>
        <v>383.05</v>
      </c>
      <c r="L20" s="42">
        <f t="shared" ref="L20:AB20" si="12">SUM(L17:L19)</f>
        <v>0</v>
      </c>
      <c r="M20" s="42">
        <f t="shared" si="12"/>
        <v>0</v>
      </c>
      <c r="N20" s="42">
        <f t="shared" si="12"/>
        <v>0</v>
      </c>
      <c r="O20" s="83">
        <f t="shared" si="12"/>
        <v>383.05</v>
      </c>
      <c r="P20" s="82">
        <f t="shared" si="12"/>
        <v>0</v>
      </c>
      <c r="Q20" s="42">
        <f t="shared" si="12"/>
        <v>0</v>
      </c>
      <c r="R20" s="42">
        <f t="shared" si="12"/>
        <v>0</v>
      </c>
      <c r="S20" s="42">
        <f t="shared" si="12"/>
        <v>0</v>
      </c>
      <c r="T20" s="42">
        <f t="shared" si="12"/>
        <v>0</v>
      </c>
      <c r="U20" s="42">
        <f t="shared" si="12"/>
        <v>0</v>
      </c>
      <c r="V20" s="42">
        <f t="shared" si="12"/>
        <v>0</v>
      </c>
      <c r="W20" s="42">
        <f t="shared" si="12"/>
        <v>24.7</v>
      </c>
      <c r="X20" s="42">
        <f t="shared" si="12"/>
        <v>3.83</v>
      </c>
      <c r="Y20" s="42">
        <f t="shared" si="12"/>
        <v>3.83</v>
      </c>
      <c r="Z20" s="83">
        <f t="shared" si="12"/>
        <v>32.36</v>
      </c>
      <c r="AA20" s="82">
        <f t="shared" si="12"/>
        <v>0</v>
      </c>
      <c r="AB20" s="43">
        <f t="shared" si="12"/>
        <v>350.69</v>
      </c>
    </row>
    <row r="21" spans="1:28" s="35" customFormat="1">
      <c r="A21" s="35">
        <f>IF(D21*AB21,SUMPRODUCT((C$2:C21=C21)*(D$2:D21*AB$2:AB21&gt;0)),0)</f>
        <v>0</v>
      </c>
      <c r="B21" s="8">
        <f>IF(D21*AB21,MAX(B$1:B20)+1,)</f>
        <v>0</v>
      </c>
      <c r="C21" s="8">
        <f>IF(COUNTA(E21:O21)=1,(INT(MAX(C$1:C20)/1000)+1)*1000,C20)</f>
        <v>2000</v>
      </c>
      <c r="D21" s="67"/>
      <c r="E21" s="73"/>
      <c r="F21" s="51"/>
      <c r="G21" s="52"/>
      <c r="H21" s="52"/>
      <c r="I21" s="60"/>
      <c r="J21" s="60"/>
      <c r="K21" s="53"/>
      <c r="L21" s="53"/>
      <c r="M21" s="53"/>
      <c r="N21" s="53"/>
      <c r="O21" s="53"/>
      <c r="P21" s="53"/>
      <c r="Q21" s="53"/>
      <c r="R21" s="53"/>
      <c r="S21" s="53"/>
      <c r="T21" s="53"/>
      <c r="U21" s="53"/>
      <c r="V21" s="54"/>
      <c r="W21" s="54"/>
      <c r="X21" s="53"/>
      <c r="Y21" s="53"/>
      <c r="Z21" s="53"/>
      <c r="AA21" s="53"/>
      <c r="AB21" s="53"/>
    </row>
    <row r="22" spans="1:28" s="35" customFormat="1" ht="12.75" customHeight="1">
      <c r="A22" s="35">
        <f>IF(D22*AB22,SUMPRODUCT((C$2:C22=C22)*(D$2:D22*AB$2:AB22&gt;0)),0)</f>
        <v>0</v>
      </c>
      <c r="B22" s="8">
        <f>IF(D22*AB22,MAX(B$1:B21)+1,)</f>
        <v>0</v>
      </c>
      <c r="C22" s="8">
        <f>IF(COUNTA(E22:O22)=1,(INT(MAX(C$1:C21)/1000)+1)*1000,C21)</f>
        <v>3000</v>
      </c>
      <c r="D22" s="66"/>
      <c r="E22" s="142" t="s">
        <v>54</v>
      </c>
      <c r="F22" s="143"/>
      <c r="G22" s="143"/>
      <c r="H22" s="143"/>
      <c r="I22" s="28"/>
      <c r="J22" s="28"/>
      <c r="K22" s="49"/>
      <c r="L22" s="48"/>
      <c r="M22" s="48"/>
      <c r="N22" s="48"/>
      <c r="O22" s="50"/>
      <c r="P22" s="48"/>
      <c r="Q22" s="48"/>
      <c r="R22" s="48"/>
      <c r="S22" s="48"/>
      <c r="T22" s="48"/>
      <c r="U22" s="48"/>
      <c r="V22" s="48"/>
      <c r="W22" s="48"/>
      <c r="X22" s="48"/>
      <c r="Y22" s="48"/>
      <c r="Z22" s="48"/>
      <c r="AA22" s="48"/>
      <c r="AB22" s="48"/>
    </row>
    <row r="23" spans="1:28" s="35" customFormat="1">
      <c r="A23" s="35">
        <f>IF(D23*AB23,SUMPRODUCT((C$2:C23=C23)*(D$2:D23*AB$2:AB23&gt;0)),0)</f>
        <v>1</v>
      </c>
      <c r="B23" s="8">
        <f>IF(D23*AB23,MAX(B$1:B22)+1,)</f>
        <v>14</v>
      </c>
      <c r="C23" s="8">
        <f>IF(COUNTA(E23:O23)=1,(INT(MAX(C$1:C22)/1000)+1)*1000,C22)</f>
        <v>3000</v>
      </c>
      <c r="D23" s="61">
        <v>1</v>
      </c>
      <c r="E23" s="69" t="s">
        <v>10</v>
      </c>
      <c r="F23" s="29" t="s">
        <v>59</v>
      </c>
      <c r="G23" s="30"/>
      <c r="H23" s="84"/>
      <c r="I23" s="55">
        <v>25</v>
      </c>
      <c r="J23" s="55">
        <f t="shared" si="5"/>
        <v>200</v>
      </c>
      <c r="K23" s="31">
        <v>197.34</v>
      </c>
      <c r="L23" s="31"/>
      <c r="M23" s="31"/>
      <c r="N23" s="31"/>
      <c r="O23" s="80">
        <f>SUM(K23:N23)</f>
        <v>197.34</v>
      </c>
      <c r="P23" s="78"/>
      <c r="Q23" s="31"/>
      <c r="R23" s="32"/>
      <c r="S23" s="31"/>
      <c r="T23" s="31"/>
      <c r="U23" s="31"/>
      <c r="V23" s="31"/>
      <c r="W23" s="33">
        <f>ROUND(IF(O23-M23&gt;Тарифы!$C$3,IF(O23-M23&gt;100,(O23-M23-((O23-M23)/100)-100)*0.13+4.8,((O23-M23-((O23-M23)/100)-Тарифы!$C$3)*0.08)),),2)</f>
        <v>17.2</v>
      </c>
      <c r="X23" s="31">
        <f>ROUND((O23-M23)/100,2)</f>
        <v>1.97</v>
      </c>
      <c r="Y23" s="31">
        <f t="shared" ref="Y23:Y27" si="13">ROUND((O23-M23)/100,2)</f>
        <v>1.97</v>
      </c>
      <c r="Z23" s="80">
        <f t="shared" si="7"/>
        <v>21.139999999999997</v>
      </c>
      <c r="AA23" s="78">
        <f>ROUND(ABS(IF((O23-Z23+H23-G23)&lt;0,O23-Z23+H23-G23,0)),2)</f>
        <v>0</v>
      </c>
      <c r="AB23" s="34">
        <f>ROUND(IF((O23-Z23+H23-G23)&gt;0,O23-Z23+H23-G23,0),2)</f>
        <v>176.2</v>
      </c>
    </row>
    <row r="24" spans="1:28" s="35" customFormat="1">
      <c r="A24" s="35">
        <f>IF(D24*AB24,SUMPRODUCT((C$2:C24=C24)*(D$2:D24*AB$2:AB24&gt;0)),0)</f>
        <v>2</v>
      </c>
      <c r="B24" s="8">
        <f>IF(D24*AB24,MAX(B$1:B23)+1,)</f>
        <v>15</v>
      </c>
      <c r="C24" s="8">
        <f>IF(COUNTA(E24:O24)=1,(INT(MAX(C$1:C23)/1000)+1)*1000,C23)</f>
        <v>3000</v>
      </c>
      <c r="D24" s="61">
        <v>2</v>
      </c>
      <c r="E24" s="69" t="s">
        <v>58</v>
      </c>
      <c r="F24" s="29" t="s">
        <v>55</v>
      </c>
      <c r="G24" s="30"/>
      <c r="H24" s="84"/>
      <c r="I24" s="55">
        <v>25</v>
      </c>
      <c r="J24" s="55">
        <f t="shared" si="5"/>
        <v>200</v>
      </c>
      <c r="K24" s="31">
        <v>131.05000000000001</v>
      </c>
      <c r="L24" s="31"/>
      <c r="M24" s="31"/>
      <c r="N24" s="31"/>
      <c r="O24" s="80">
        <f>SUM(K24:N24)</f>
        <v>131.05000000000001</v>
      </c>
      <c r="P24" s="78"/>
      <c r="Q24" s="31"/>
      <c r="R24" s="32"/>
      <c r="S24" s="31"/>
      <c r="T24" s="31"/>
      <c r="U24" s="31"/>
      <c r="V24" s="31"/>
      <c r="W24" s="33">
        <f>ROUND(IF(O24-M24&gt;Тарифы!$C$3,IF(O24-M24&gt;100,(O24-M24-((O24-M24)/100)-100)*0.13+4.8,((O24-M24-((O24-M24)/100)-Тарифы!$C$3)*0.08)),),2)</f>
        <v>8.67</v>
      </c>
      <c r="X24" s="31">
        <f>ROUND((O24-M24)/100,2)</f>
        <v>1.31</v>
      </c>
      <c r="Y24" s="31">
        <f t="shared" si="13"/>
        <v>1.31</v>
      </c>
      <c r="Z24" s="80">
        <f t="shared" si="7"/>
        <v>11.290000000000001</v>
      </c>
      <c r="AA24" s="78">
        <f>ROUND(ABS(IF((O24-Z24+H24-G24)&lt;0,O24-Z24+H24-G24,0)),2)</f>
        <v>0</v>
      </c>
      <c r="AB24" s="34">
        <f>ROUND(IF((O24-Z24+H24-G24)&gt;0,O24-Z24+H24-G24,0),2)</f>
        <v>119.76</v>
      </c>
    </row>
    <row r="25" spans="1:28" s="35" customFormat="1">
      <c r="A25" s="35">
        <f>IF(D25*AB25,SUMPRODUCT((C$2:C25=C25)*(D$2:D25*AB$2:AB25&gt;0)),0)</f>
        <v>3</v>
      </c>
      <c r="B25" s="8">
        <f>IF(D25*AB25,MAX(B$1:B24)+1,)</f>
        <v>16</v>
      </c>
      <c r="C25" s="8">
        <f>IF(COUNTA(E25:O25)=1,(INT(MAX(C$1:C24)/1000)+1)*1000,C24)</f>
        <v>3000</v>
      </c>
      <c r="D25" s="61">
        <v>3</v>
      </c>
      <c r="E25" s="69" t="s">
        <v>24</v>
      </c>
      <c r="F25" s="29" t="s">
        <v>56</v>
      </c>
      <c r="G25" s="30"/>
      <c r="H25" s="84"/>
      <c r="I25" s="55">
        <v>25</v>
      </c>
      <c r="J25" s="55">
        <f t="shared" si="5"/>
        <v>200</v>
      </c>
      <c r="K25" s="31">
        <v>131.05000000000001</v>
      </c>
      <c r="L25" s="31"/>
      <c r="M25" s="31"/>
      <c r="N25" s="31"/>
      <c r="O25" s="80">
        <f>SUM(K25:N25)</f>
        <v>131.05000000000001</v>
      </c>
      <c r="P25" s="78"/>
      <c r="Q25" s="31"/>
      <c r="R25" s="32"/>
      <c r="S25" s="31"/>
      <c r="T25" s="31"/>
      <c r="U25" s="31"/>
      <c r="V25" s="31"/>
      <c r="W25" s="33">
        <f>ROUND(IF(O25-M25&gt;Тарифы!$C$3,IF(O25-M25&gt;100,(O25-M25-((O25-M25)/100)-100)*0.13+4.8,((O25-M25-((O25-M25)/100)-Тарифы!$C$3)*0.08)),),2)</f>
        <v>8.67</v>
      </c>
      <c r="X25" s="31">
        <f>ROUND((O25-M25)/100,2)</f>
        <v>1.31</v>
      </c>
      <c r="Y25" s="31">
        <f t="shared" si="13"/>
        <v>1.31</v>
      </c>
      <c r="Z25" s="80">
        <f t="shared" si="7"/>
        <v>11.290000000000001</v>
      </c>
      <c r="AA25" s="78">
        <f>ROUND(ABS(IF((O25-Z25+H25-G25)&lt;0,O25-Z25+H25-G25,0)),2)</f>
        <v>0</v>
      </c>
      <c r="AB25" s="34">
        <f>ROUND(IF((O25-Z25+H25-G25)&gt;0,O25-Z25+H25-G25,0),2)</f>
        <v>119.76</v>
      </c>
    </row>
    <row r="26" spans="1:28" s="35" customFormat="1">
      <c r="A26" s="35">
        <f>IF(D26*AB26,SUMPRODUCT((C$2:C26=C26)*(D$2:D26*AB$2:AB26&gt;0)),0)</f>
        <v>4</v>
      </c>
      <c r="B26" s="8">
        <f>IF(D26*AB26,MAX(B$1:B25)+1,)</f>
        <v>17</v>
      </c>
      <c r="C26" s="8">
        <f>IF(COUNTA(E26:O26)=1,(INT(MAX(C$1:C25)/1000)+1)*1000,C25)</f>
        <v>3000</v>
      </c>
      <c r="D26" s="61">
        <v>4</v>
      </c>
      <c r="E26" s="69" t="s">
        <v>33</v>
      </c>
      <c r="F26" s="29" t="s">
        <v>57</v>
      </c>
      <c r="G26" s="30"/>
      <c r="H26" s="84"/>
      <c r="I26" s="55">
        <v>25</v>
      </c>
      <c r="J26" s="55">
        <f t="shared" si="5"/>
        <v>200</v>
      </c>
      <c r="K26" s="31">
        <v>104</v>
      </c>
      <c r="L26" s="31"/>
      <c r="M26" s="31"/>
      <c r="N26" s="31"/>
      <c r="O26" s="80">
        <f>SUM(K26:N26)</f>
        <v>104</v>
      </c>
      <c r="P26" s="78"/>
      <c r="Q26" s="31"/>
      <c r="R26" s="32"/>
      <c r="S26" s="31"/>
      <c r="T26" s="31"/>
      <c r="U26" s="31"/>
      <c r="V26" s="31"/>
      <c r="W26" s="33">
        <f>ROUND(IF(O26-M26&gt;Тарифы!$C$3,IF(O26-M26&gt;100,(O26-M26-((O26-M26)/100)-100)*0.13+4.8,((O26-M26-((O26-M26)/100)-Тарифы!$C$3)*0.08)),),2)</f>
        <v>5.18</v>
      </c>
      <c r="X26" s="31">
        <f>ROUND((O26-M26)/100,2)</f>
        <v>1.04</v>
      </c>
      <c r="Y26" s="31">
        <f t="shared" si="13"/>
        <v>1.04</v>
      </c>
      <c r="Z26" s="80">
        <f t="shared" si="7"/>
        <v>7.26</v>
      </c>
      <c r="AA26" s="78">
        <f>ROUND(ABS(IF((O26-Z26+H26-G26)&lt;0,O26-Z26+H26-G26,0)),2)</f>
        <v>0</v>
      </c>
      <c r="AB26" s="34">
        <f>ROUND(IF((O26-Z26+H26-G26)&gt;0,O26-Z26+H26-G26,0),2)</f>
        <v>96.74</v>
      </c>
    </row>
    <row r="27" spans="1:28" s="35" customFormat="1">
      <c r="A27" s="35">
        <f>IF(D27*AB27,SUMPRODUCT((C$2:C27=C27)*(D$2:D27*AB$2:AB27&gt;0)),0)</f>
        <v>0</v>
      </c>
      <c r="B27" s="8">
        <f>IF(D27*AB27,MAX(B$1:B26)+1,)</f>
        <v>0</v>
      </c>
      <c r="C27" s="8">
        <f>IF(COUNTA(E27:O27)=1,(INT(MAX(C$1:C26)/1000)+1)*1000,C26)</f>
        <v>3000</v>
      </c>
      <c r="D27" s="61">
        <v>5</v>
      </c>
      <c r="E27" s="69" t="s">
        <v>9</v>
      </c>
      <c r="F27" s="29" t="s">
        <v>55</v>
      </c>
      <c r="G27" s="30"/>
      <c r="H27" s="84"/>
      <c r="I27" s="55"/>
      <c r="J27" s="55">
        <f t="shared" si="5"/>
        <v>0</v>
      </c>
      <c r="K27" s="31"/>
      <c r="L27" s="31"/>
      <c r="M27" s="31"/>
      <c r="N27" s="31"/>
      <c r="O27" s="80">
        <f>SUM(K27:N27)</f>
        <v>0</v>
      </c>
      <c r="P27" s="78"/>
      <c r="Q27" s="31"/>
      <c r="R27" s="32"/>
      <c r="S27" s="31"/>
      <c r="T27" s="31"/>
      <c r="U27" s="31"/>
      <c r="V27" s="31">
        <f t="shared" ref="V27" si="14">IF(O27&gt;40,ROUND((O27-(O27/100)-100)*0.13+4.8,2),0)</f>
        <v>0</v>
      </c>
      <c r="W27" s="33">
        <f>ROUND(IF(O27-M27&gt;Тарифы!$C$3,IF(O27-M27&gt;100,(O27-M27-((O27-M27)/100)-100)*0.13+4.8,((O27-M27-((O27-M27)/100)-Тарифы!$C$3)*0.08)),),2)</f>
        <v>0</v>
      </c>
      <c r="X27" s="31">
        <f>ROUND((O27-M27)/100,2)</f>
        <v>0</v>
      </c>
      <c r="Y27" s="31">
        <f t="shared" si="13"/>
        <v>0</v>
      </c>
      <c r="Z27" s="80">
        <f t="shared" si="7"/>
        <v>0</v>
      </c>
      <c r="AA27" s="78">
        <f>ROUND(ABS(IF((O27-Z27+H27-G27)&lt;0,O27-Z27+H27-G27,0)),2)</f>
        <v>0</v>
      </c>
      <c r="AB27" s="34">
        <f>ROUND(IF((O27-Z27+H27-G27)&gt;0,O27-Z27+H27-G27,0),2)</f>
        <v>0</v>
      </c>
    </row>
    <row r="28" spans="1:28" s="44" customFormat="1">
      <c r="A28" s="35">
        <f>IF(D28*AB28,SUMPRODUCT((C$2:C28=C28)*(D$2:D28*AB$2:AB28&gt;0)),0)</f>
        <v>0</v>
      </c>
      <c r="B28" s="8">
        <f>IF(D28*AB28,MAX(B$1:B27)+1,)</f>
        <v>0</v>
      </c>
      <c r="C28" s="8">
        <f>IF(COUNTA(E28:O28)=1,(INT(MAX(C$1:C27)/1000)+1)*1000,C27)</f>
        <v>3000</v>
      </c>
      <c r="D28" s="64"/>
      <c r="E28" s="71" t="s">
        <v>81</v>
      </c>
      <c r="F28" s="40"/>
      <c r="G28" s="42">
        <f t="shared" ref="G28:H28" si="15">SUM(G23:G27)</f>
        <v>0</v>
      </c>
      <c r="H28" s="83">
        <f t="shared" si="15"/>
        <v>0</v>
      </c>
      <c r="I28" s="57"/>
      <c r="J28" s="58">
        <f t="shared" si="5"/>
        <v>0</v>
      </c>
      <c r="K28" s="42">
        <f>SUM(K23:K27)</f>
        <v>563.44000000000005</v>
      </c>
      <c r="L28" s="42">
        <f t="shared" ref="L28:AB28" si="16">SUM(L23:L27)</f>
        <v>0</v>
      </c>
      <c r="M28" s="42">
        <f t="shared" si="16"/>
        <v>0</v>
      </c>
      <c r="N28" s="42">
        <f t="shared" si="16"/>
        <v>0</v>
      </c>
      <c r="O28" s="83">
        <f t="shared" si="16"/>
        <v>563.44000000000005</v>
      </c>
      <c r="P28" s="82">
        <f t="shared" si="16"/>
        <v>0</v>
      </c>
      <c r="Q28" s="42">
        <f t="shared" si="16"/>
        <v>0</v>
      </c>
      <c r="R28" s="42">
        <f t="shared" si="16"/>
        <v>0</v>
      </c>
      <c r="S28" s="42">
        <f t="shared" si="16"/>
        <v>0</v>
      </c>
      <c r="T28" s="42">
        <f t="shared" si="16"/>
        <v>0</v>
      </c>
      <c r="U28" s="42">
        <f t="shared" si="16"/>
        <v>0</v>
      </c>
      <c r="V28" s="42">
        <f t="shared" si="16"/>
        <v>0</v>
      </c>
      <c r="W28" s="42">
        <f t="shared" si="16"/>
        <v>39.72</v>
      </c>
      <c r="X28" s="42">
        <f t="shared" si="16"/>
        <v>5.63</v>
      </c>
      <c r="Y28" s="42">
        <f t="shared" si="16"/>
        <v>5.63</v>
      </c>
      <c r="Z28" s="83">
        <f t="shared" si="16"/>
        <v>50.98</v>
      </c>
      <c r="AA28" s="82">
        <f t="shared" si="16"/>
        <v>0</v>
      </c>
      <c r="AB28" s="43">
        <f t="shared" si="16"/>
        <v>512.45999999999992</v>
      </c>
    </row>
    <row r="29" spans="1:28" s="35" customFormat="1">
      <c r="A29" s="35">
        <f>IF(D29*AB29,SUMPRODUCT((C$2:C29=C29)*(D$2:D29*AB$2:AB29&gt;0)),0)</f>
        <v>0</v>
      </c>
      <c r="B29" s="8">
        <f>IF(D29*AB29,MAX(B$1:B28)+1,)</f>
        <v>0</v>
      </c>
      <c r="C29" s="8">
        <f>IF(COUNTA(E29:O29)=1,(INT(MAX(C$1:C28)/1000)+1)*1000,C28)</f>
        <v>3000</v>
      </c>
      <c r="D29" s="67"/>
      <c r="E29" s="73"/>
      <c r="F29" s="51"/>
      <c r="G29" s="52"/>
      <c r="H29" s="52"/>
      <c r="I29" s="60"/>
      <c r="J29" s="60"/>
      <c r="K29" s="53"/>
      <c r="L29" s="53"/>
      <c r="M29" s="53"/>
      <c r="N29" s="53"/>
      <c r="O29" s="53"/>
      <c r="P29" s="53"/>
      <c r="Q29" s="53"/>
      <c r="R29" s="53"/>
      <c r="S29" s="53"/>
      <c r="T29" s="53"/>
      <c r="U29" s="53"/>
      <c r="V29" s="54"/>
      <c r="W29" s="54"/>
      <c r="X29" s="53"/>
      <c r="Y29" s="53"/>
      <c r="Z29" s="53"/>
      <c r="AA29" s="53"/>
      <c r="AB29" s="53"/>
    </row>
    <row r="30" spans="1:28" s="35" customFormat="1" ht="12.75" customHeight="1">
      <c r="A30" s="35">
        <f>IF(D30*AB30,SUMPRODUCT((C$2:C30=C30)*(D$2:D30*AB$2:AB30&gt;0)),0)</f>
        <v>0</v>
      </c>
      <c r="B30" s="8">
        <f>IF(D30*AB30,MAX(B$1:B29)+1,)</f>
        <v>0</v>
      </c>
      <c r="C30" s="8">
        <f>IF(COUNTA(E30:O30)=1,(INT(MAX(C$1:C29)/1000)+1)*1000,C29)</f>
        <v>4000</v>
      </c>
      <c r="D30" s="66"/>
      <c r="E30" s="142" t="s">
        <v>65</v>
      </c>
      <c r="F30" s="143"/>
      <c r="G30" s="143"/>
      <c r="H30" s="143"/>
      <c r="I30" s="143"/>
      <c r="J30" s="143"/>
      <c r="K30" s="49"/>
      <c r="L30" s="48"/>
      <c r="M30" s="48"/>
      <c r="N30" s="48"/>
      <c r="O30" s="50"/>
      <c r="P30" s="48"/>
      <c r="Q30" s="48"/>
      <c r="R30" s="48"/>
      <c r="S30" s="48"/>
      <c r="T30" s="48"/>
      <c r="U30" s="48"/>
      <c r="V30" s="48"/>
      <c r="W30" s="48"/>
      <c r="X30" s="48"/>
      <c r="Y30" s="48"/>
      <c r="Z30" s="48"/>
      <c r="AA30" s="48"/>
      <c r="AB30" s="48"/>
    </row>
    <row r="31" spans="1:28" s="35" customFormat="1">
      <c r="A31" s="35">
        <f>IF(D31*AB31,SUMPRODUCT((C$2:C31=C31)*(D$2:D31*AB$2:AB31&gt;0)),0)</f>
        <v>1</v>
      </c>
      <c r="B31" s="8">
        <f>IF(D31*AB31,MAX(B$1:B30)+1,)</f>
        <v>18</v>
      </c>
      <c r="C31" s="8">
        <f>IF(COUNTA(E31:O31)=1,(INT(MAX(C$1:C30)/1000)+1)*1000,C30)</f>
        <v>4000</v>
      </c>
      <c r="D31" s="61">
        <v>1</v>
      </c>
      <c r="E31" s="69" t="s">
        <v>11</v>
      </c>
      <c r="F31" s="29" t="s">
        <v>64</v>
      </c>
      <c r="G31" s="30"/>
      <c r="H31" s="84"/>
      <c r="I31" s="55">
        <v>25</v>
      </c>
      <c r="J31" s="55">
        <f t="shared" ref="J31:J36" si="17">SUM(I31*8)</f>
        <v>200</v>
      </c>
      <c r="K31" s="31">
        <v>104</v>
      </c>
      <c r="L31" s="31"/>
      <c r="M31" s="31"/>
      <c r="N31" s="31"/>
      <c r="O31" s="80">
        <f t="shared" ref="O31:O36" si="18">SUM(K31:N31)</f>
        <v>104</v>
      </c>
      <c r="P31" s="78"/>
      <c r="Q31" s="31"/>
      <c r="R31" s="32"/>
      <c r="S31" s="31"/>
      <c r="T31" s="31"/>
      <c r="U31" s="31"/>
      <c r="V31" s="31"/>
      <c r="W31" s="33">
        <f>ROUND(IF(O31-M31&gt;Тарифы!$C$3,IF(O31-M31&gt;100,(O31-M31-((O31-M31)/100)-100)*0.13+4.8,((O31-M31-((O31-M31)/100)-Тарифы!$C$3)*0.08)),),2)</f>
        <v>5.18</v>
      </c>
      <c r="X31" s="31">
        <f>ROUND((O31-M31)/100,2)</f>
        <v>1.04</v>
      </c>
      <c r="Y31" s="31">
        <f t="shared" ref="Y31:Y32" si="19">ROUND((O31-M31)/100,2)</f>
        <v>1.04</v>
      </c>
      <c r="Z31" s="80">
        <f>SUM(P31:Y31)</f>
        <v>7.26</v>
      </c>
      <c r="AA31" s="78">
        <f t="shared" ref="AA31:AA36" si="20">ROUND(ABS(IF((O31-Z31+H31-G31)&lt;0,O31-Z31+H31-G31,0)),2)</f>
        <v>0</v>
      </c>
      <c r="AB31" s="34">
        <f t="shared" ref="AB31:AB36" si="21">ROUND(IF((O31-Z31+H31-G31)&gt;0,O31-Z31+H31-G31,0),2)</f>
        <v>96.74</v>
      </c>
    </row>
    <row r="32" spans="1:28" s="35" customFormat="1">
      <c r="A32" s="35">
        <f>IF(D32*AB32,SUMPRODUCT((C$2:C32=C32)*(D$2:D32*AB$2:AB32&gt;0)),0)</f>
        <v>0</v>
      </c>
      <c r="B32" s="8">
        <f>IF(D32*AB32,MAX(B$1:B31)+1,)</f>
        <v>0</v>
      </c>
      <c r="C32" s="8">
        <f>IF(COUNTA(E32:O32)=1,(INT(MAX(C$1:C31)/1000)+1)*1000,C31)</f>
        <v>4000</v>
      </c>
      <c r="D32" s="61">
        <v>2</v>
      </c>
      <c r="E32" s="69" t="s">
        <v>60</v>
      </c>
      <c r="F32" s="29" t="s">
        <v>66</v>
      </c>
      <c r="G32" s="30"/>
      <c r="H32" s="84"/>
      <c r="I32" s="55"/>
      <c r="J32" s="55">
        <f t="shared" si="17"/>
        <v>0</v>
      </c>
      <c r="K32" s="31"/>
      <c r="L32" s="31"/>
      <c r="M32" s="31"/>
      <c r="N32" s="31"/>
      <c r="O32" s="80">
        <f t="shared" si="18"/>
        <v>0</v>
      </c>
      <c r="P32" s="78"/>
      <c r="Q32" s="31"/>
      <c r="R32" s="32"/>
      <c r="S32" s="31"/>
      <c r="T32" s="31"/>
      <c r="U32" s="31"/>
      <c r="V32" s="31"/>
      <c r="W32" s="33">
        <f>ROUND(IF(O32-M32&gt;Тарифы!$C$3,IF(O32-M32&gt;100,(O32-M32-((O32-M32)/100)-100)*0.13+4.8,((O32-M32-((O32-M32)/100)-Тарифы!$C$3)*0.08)),),2)</f>
        <v>0</v>
      </c>
      <c r="X32" s="31">
        <f>ROUND((O32-M32)/100,2)</f>
        <v>0</v>
      </c>
      <c r="Y32" s="31">
        <f t="shared" si="19"/>
        <v>0</v>
      </c>
      <c r="Z32" s="80">
        <f t="shared" ref="Z32" si="22">SUM(P32:Y32)</f>
        <v>0</v>
      </c>
      <c r="AA32" s="78">
        <f t="shared" si="20"/>
        <v>0</v>
      </c>
      <c r="AB32" s="34">
        <f t="shared" si="21"/>
        <v>0</v>
      </c>
    </row>
    <row r="33" spans="1:28" s="35" customFormat="1">
      <c r="A33" s="35">
        <f>IF(D33*AB33,SUMPRODUCT((C$2:C33=C33)*(D$2:D33*AB$2:AB33&gt;0)),0)</f>
        <v>0</v>
      </c>
      <c r="B33" s="8">
        <f>IF(D33*AB33,MAX(B$1:B32)+1,)</f>
        <v>0</v>
      </c>
      <c r="C33" s="8">
        <f>IF(COUNTA(E33:O33)=1,(INT(MAX(C$1:C32)/1000)+1)*1000,C32)</f>
        <v>4000</v>
      </c>
      <c r="D33" s="61">
        <v>3</v>
      </c>
      <c r="E33" s="69" t="s">
        <v>61</v>
      </c>
      <c r="F33" s="29" t="s">
        <v>56</v>
      </c>
      <c r="G33" s="30"/>
      <c r="H33" s="84"/>
      <c r="I33" s="55"/>
      <c r="J33" s="55">
        <f t="shared" si="17"/>
        <v>0</v>
      </c>
      <c r="K33" s="31"/>
      <c r="L33" s="31"/>
      <c r="M33" s="31"/>
      <c r="N33" s="31"/>
      <c r="O33" s="80">
        <f t="shared" si="18"/>
        <v>0</v>
      </c>
      <c r="P33" s="78"/>
      <c r="Q33" s="31"/>
      <c r="R33" s="32"/>
      <c r="S33" s="31"/>
      <c r="T33" s="31"/>
      <c r="U33" s="31"/>
      <c r="V33" s="31"/>
      <c r="W33" s="33">
        <f>ROUND(IF(O33-M33&gt;Тарифы!$C$3,IF(O33-M33&gt;100,(O33-M33-((O33-M33)/100)-100)*0.13+4.8,((O33-M33-((O33-M33)/100)-Тарифы!$C$3)*0.08)),),2)</f>
        <v>0</v>
      </c>
      <c r="X33" s="31">
        <f t="shared" ref="X33:X36" si="23">ROUND((O33-M33)/100,2)</f>
        <v>0</v>
      </c>
      <c r="Y33" s="31">
        <f t="shared" ref="Y33:Y36" si="24">ROUND((O33-M33)/100,2)</f>
        <v>0</v>
      </c>
      <c r="Z33" s="80">
        <f t="shared" ref="Z33:Z36" si="25">SUM(P33:Y33)</f>
        <v>0</v>
      </c>
      <c r="AA33" s="78">
        <f t="shared" si="20"/>
        <v>0</v>
      </c>
      <c r="AB33" s="34">
        <f t="shared" si="21"/>
        <v>0</v>
      </c>
    </row>
    <row r="34" spans="1:28" s="35" customFormat="1">
      <c r="A34" s="35">
        <f>IF(D34*AB34,SUMPRODUCT((C$2:C34=C34)*(D$2:D34*AB$2:AB34&gt;0)),0)</f>
        <v>2</v>
      </c>
      <c r="B34" s="8">
        <f>IF(D34*AB34,MAX(B$1:B33)+1,)</f>
        <v>19</v>
      </c>
      <c r="C34" s="8">
        <f>IF(COUNTA(E34:O34)=1,(INT(MAX(C$1:C33)/1000)+1)*1000,C33)</f>
        <v>4000</v>
      </c>
      <c r="D34" s="61">
        <v>4</v>
      </c>
      <c r="E34" s="69" t="s">
        <v>63</v>
      </c>
      <c r="F34" s="29" t="s">
        <v>67</v>
      </c>
      <c r="G34" s="30"/>
      <c r="H34" s="84"/>
      <c r="I34" s="55">
        <v>25</v>
      </c>
      <c r="J34" s="55">
        <f t="shared" si="17"/>
        <v>200</v>
      </c>
      <c r="K34" s="31">
        <v>104</v>
      </c>
      <c r="L34" s="31"/>
      <c r="M34" s="31"/>
      <c r="N34" s="31"/>
      <c r="O34" s="80">
        <f t="shared" si="18"/>
        <v>104</v>
      </c>
      <c r="P34" s="78"/>
      <c r="Q34" s="31"/>
      <c r="R34" s="32"/>
      <c r="S34" s="31"/>
      <c r="T34" s="31"/>
      <c r="U34" s="31"/>
      <c r="V34" s="31"/>
      <c r="W34" s="33">
        <f>ROUND(IF(O34-M34&gt;Тарифы!$C$3,IF(O34-M34&gt;100,(O34-M34-((O34-M34)/100)-100)*0.13+4.8,((O34-M34-((O34-M34)/100)-Тарифы!$C$3)*0.08)),),2)</f>
        <v>5.18</v>
      </c>
      <c r="X34" s="31">
        <f t="shared" si="23"/>
        <v>1.04</v>
      </c>
      <c r="Y34" s="31">
        <f t="shared" si="24"/>
        <v>1.04</v>
      </c>
      <c r="Z34" s="80">
        <f t="shared" si="25"/>
        <v>7.26</v>
      </c>
      <c r="AA34" s="78">
        <f t="shared" si="20"/>
        <v>0</v>
      </c>
      <c r="AB34" s="34">
        <f t="shared" si="21"/>
        <v>96.74</v>
      </c>
    </row>
    <row r="35" spans="1:28" s="35" customFormat="1">
      <c r="A35" s="35">
        <f>IF(D35*AB35,SUMPRODUCT((C$2:C35=C35)*(D$2:D35*AB$2:AB35&gt;0)),0)</f>
        <v>0</v>
      </c>
      <c r="B35" s="8">
        <f>IF(D35*AB35,MAX(B$1:B34)+1,)</f>
        <v>0</v>
      </c>
      <c r="C35" s="8">
        <f>IF(COUNTA(E35:O35)=1,(INT(MAX(C$1:C34)/1000)+1)*1000,C34)</f>
        <v>4000</v>
      </c>
      <c r="D35" s="61">
        <v>5</v>
      </c>
      <c r="E35" s="69" t="s">
        <v>62</v>
      </c>
      <c r="F35" s="29" t="s">
        <v>56</v>
      </c>
      <c r="G35" s="30"/>
      <c r="H35" s="84"/>
      <c r="I35" s="55"/>
      <c r="J35" s="55">
        <f t="shared" si="17"/>
        <v>0</v>
      </c>
      <c r="K35" s="31"/>
      <c r="L35" s="31"/>
      <c r="M35" s="31"/>
      <c r="N35" s="31"/>
      <c r="O35" s="80">
        <f t="shared" si="18"/>
        <v>0</v>
      </c>
      <c r="P35" s="78"/>
      <c r="Q35" s="31"/>
      <c r="R35" s="32"/>
      <c r="S35" s="31"/>
      <c r="T35" s="31"/>
      <c r="U35" s="31"/>
      <c r="V35" s="31"/>
      <c r="W35" s="33">
        <f>ROUND(IF(O35-M35&gt;Тарифы!$C$3,IF(O35-M35&gt;100,(O35-M35-((O35-M35)/100)-100)*0.13+4.8,((O35-M35-((O35-M35)/100)-Тарифы!$C$3)*0.08)),),2)</f>
        <v>0</v>
      </c>
      <c r="X35" s="31">
        <f t="shared" si="23"/>
        <v>0</v>
      </c>
      <c r="Y35" s="31">
        <f t="shared" si="24"/>
        <v>0</v>
      </c>
      <c r="Z35" s="80">
        <f t="shared" si="25"/>
        <v>0</v>
      </c>
      <c r="AA35" s="78">
        <f t="shared" si="20"/>
        <v>0</v>
      </c>
      <c r="AB35" s="34">
        <f t="shared" si="21"/>
        <v>0</v>
      </c>
    </row>
    <row r="36" spans="1:28" s="35" customFormat="1">
      <c r="A36" s="35">
        <f>IF(D36*AB36,SUMPRODUCT((C$2:C36=C36)*(D$2:D36*AB$2:AB36&gt;0)),0)</f>
        <v>3</v>
      </c>
      <c r="B36" s="8">
        <f>IF(D36*AB36,MAX(B$1:B35)+1,)</f>
        <v>20</v>
      </c>
      <c r="C36" s="8">
        <f>IF(COUNTA(E36:O36)=1,(INT(MAX(C$1:C35)/1000)+1)*1000,C35)</f>
        <v>4000</v>
      </c>
      <c r="D36" s="61">
        <v>6</v>
      </c>
      <c r="E36" s="69" t="s">
        <v>79</v>
      </c>
      <c r="F36" s="29" t="s">
        <v>56</v>
      </c>
      <c r="G36" s="30"/>
      <c r="H36" s="84"/>
      <c r="I36" s="55">
        <v>25</v>
      </c>
      <c r="J36" s="55">
        <f t="shared" si="17"/>
        <v>200</v>
      </c>
      <c r="K36" s="31">
        <v>104</v>
      </c>
      <c r="L36" s="31"/>
      <c r="M36" s="31"/>
      <c r="N36" s="31"/>
      <c r="O36" s="80">
        <f t="shared" si="18"/>
        <v>104</v>
      </c>
      <c r="P36" s="78"/>
      <c r="Q36" s="31"/>
      <c r="R36" s="32"/>
      <c r="S36" s="31"/>
      <c r="T36" s="31"/>
      <c r="U36" s="31"/>
      <c r="V36" s="31"/>
      <c r="W36" s="33">
        <f>ROUND(IF(O36-M36&gt;Тарифы!$C$3,IF(O36-M36&gt;100,(O36-M36-((O36-M36)/100)-100)*0.13+4.8,((O36-M36-((O36-M36)/100)-Тарифы!$C$3)*0.08)),),2)</f>
        <v>5.18</v>
      </c>
      <c r="X36" s="31">
        <f t="shared" si="23"/>
        <v>1.04</v>
      </c>
      <c r="Y36" s="31">
        <f t="shared" si="24"/>
        <v>1.04</v>
      </c>
      <c r="Z36" s="80">
        <f t="shared" si="25"/>
        <v>7.26</v>
      </c>
      <c r="AA36" s="78">
        <f t="shared" si="20"/>
        <v>0</v>
      </c>
      <c r="AB36" s="34">
        <f t="shared" si="21"/>
        <v>96.74</v>
      </c>
    </row>
    <row r="37" spans="1:28" s="44" customFormat="1">
      <c r="A37" s="35">
        <f>IF(D37*AB37,SUMPRODUCT((C$2:C37=C37)*(D$2:D37*AB$2:AB37&gt;0)),0)</f>
        <v>0</v>
      </c>
      <c r="B37" s="8">
        <f>IF(D37*AB37,MAX(B$1:B36)+1,)</f>
        <v>0</v>
      </c>
      <c r="C37" s="8">
        <f>IF(COUNTA(E37:O37)=1,(INT(MAX(C$1:C36)/1000)+1)*1000,C36)</f>
        <v>4000</v>
      </c>
      <c r="D37" s="64"/>
      <c r="E37" s="71" t="s">
        <v>81</v>
      </c>
      <c r="F37" s="40"/>
      <c r="G37" s="42">
        <f t="shared" ref="G37:H37" si="26">SUM(G31:G36)</f>
        <v>0</v>
      </c>
      <c r="H37" s="83">
        <f t="shared" si="26"/>
        <v>0</v>
      </c>
      <c r="I37" s="57"/>
      <c r="J37" s="58">
        <f t="shared" ref="J37" si="27">SUM(I37*8)</f>
        <v>0</v>
      </c>
      <c r="K37" s="42">
        <f t="shared" ref="K37:AB37" si="28">SUM(K31:K36)</f>
        <v>312</v>
      </c>
      <c r="L37" s="42">
        <f t="shared" si="28"/>
        <v>0</v>
      </c>
      <c r="M37" s="42">
        <f t="shared" si="28"/>
        <v>0</v>
      </c>
      <c r="N37" s="42">
        <f t="shared" si="28"/>
        <v>0</v>
      </c>
      <c r="O37" s="83">
        <f t="shared" si="28"/>
        <v>312</v>
      </c>
      <c r="P37" s="82">
        <f t="shared" si="28"/>
        <v>0</v>
      </c>
      <c r="Q37" s="42">
        <f t="shared" si="28"/>
        <v>0</v>
      </c>
      <c r="R37" s="42">
        <f t="shared" si="28"/>
        <v>0</v>
      </c>
      <c r="S37" s="42">
        <f t="shared" si="28"/>
        <v>0</v>
      </c>
      <c r="T37" s="42">
        <f t="shared" si="28"/>
        <v>0</v>
      </c>
      <c r="U37" s="42">
        <f t="shared" si="28"/>
        <v>0</v>
      </c>
      <c r="V37" s="42">
        <f t="shared" si="28"/>
        <v>0</v>
      </c>
      <c r="W37" s="42">
        <f t="shared" si="28"/>
        <v>15.54</v>
      </c>
      <c r="X37" s="42">
        <f t="shared" si="28"/>
        <v>3.12</v>
      </c>
      <c r="Y37" s="42">
        <f t="shared" si="28"/>
        <v>3.12</v>
      </c>
      <c r="Z37" s="83">
        <f t="shared" si="28"/>
        <v>21.78</v>
      </c>
      <c r="AA37" s="82">
        <f t="shared" si="28"/>
        <v>0</v>
      </c>
      <c r="AB37" s="43">
        <f t="shared" si="28"/>
        <v>290.21999999999997</v>
      </c>
    </row>
    <row r="38" spans="1:28" s="35" customFormat="1">
      <c r="A38" s="35">
        <f>IF(D38*AB38,SUMPRODUCT((C$2:C38=C38)*(D$2:D38*AB$2:AB38&gt;0)),0)</f>
        <v>0</v>
      </c>
      <c r="B38" s="8">
        <f>IF(D38*AB38,MAX(B$1:B37)+1,)</f>
        <v>0</v>
      </c>
      <c r="C38" s="8">
        <f>IF(COUNTA(E38:O38)=1,(INT(MAX(C$1:C37)/1000)+1)*1000,C37)</f>
        <v>4000</v>
      </c>
      <c r="D38" s="67"/>
      <c r="E38" s="73"/>
      <c r="F38" s="51"/>
      <c r="G38" s="52"/>
      <c r="H38" s="52"/>
      <c r="I38" s="60"/>
      <c r="J38" s="60"/>
      <c r="K38" s="53"/>
      <c r="L38" s="53"/>
      <c r="M38" s="53"/>
      <c r="N38" s="53"/>
      <c r="O38" s="53"/>
      <c r="P38" s="53"/>
      <c r="Q38" s="53"/>
      <c r="R38" s="53"/>
      <c r="S38" s="53"/>
      <c r="T38" s="53"/>
      <c r="U38" s="53"/>
      <c r="V38" s="54"/>
      <c r="W38" s="54"/>
      <c r="X38" s="53"/>
      <c r="Y38" s="53"/>
      <c r="Z38" s="53"/>
      <c r="AA38" s="53"/>
      <c r="AB38" s="53"/>
    </row>
    <row r="39" spans="1:28" s="35" customFormat="1" ht="12.75" customHeight="1">
      <c r="A39" s="35">
        <f>IF(D39*AB39,SUMPRODUCT((C$2:C39=C39)*(D$2:D39*AB$2:AB39&gt;0)),0)</f>
        <v>0</v>
      </c>
      <c r="B39" s="8">
        <f>IF(D39*AB39,MAX(B$1:B38)+1,)</f>
        <v>0</v>
      </c>
      <c r="C39" s="8">
        <f>IF(COUNTA(E39:O39)=1,(INT(MAX(C$1:C38)/1000)+1)*1000,C38)</f>
        <v>5000</v>
      </c>
      <c r="D39" s="66"/>
      <c r="E39" s="142" t="s">
        <v>76</v>
      </c>
      <c r="F39" s="143"/>
      <c r="G39" s="143"/>
      <c r="H39" s="143"/>
      <c r="I39" s="28"/>
      <c r="J39" s="28"/>
      <c r="K39" s="49"/>
      <c r="L39" s="48"/>
      <c r="M39" s="48"/>
      <c r="N39" s="48"/>
      <c r="O39" s="50"/>
      <c r="P39" s="48"/>
      <c r="Q39" s="48"/>
      <c r="R39" s="48"/>
      <c r="S39" s="48"/>
      <c r="T39" s="48"/>
      <c r="U39" s="48"/>
      <c r="V39" s="48"/>
      <c r="W39" s="48"/>
      <c r="X39" s="48"/>
      <c r="Y39" s="48"/>
      <c r="Z39" s="48"/>
      <c r="AA39" s="48"/>
      <c r="AB39" s="48"/>
    </row>
    <row r="40" spans="1:28" s="35" customFormat="1">
      <c r="A40" s="35">
        <f>IF(D40*AB40,SUMPRODUCT((C$2:C40=C40)*(D$2:D40*AB$2:AB40&gt;0)),0)</f>
        <v>0</v>
      </c>
      <c r="B40" s="8">
        <f>IF(D40*AB40,MAX(B$1:B39)+1,)</f>
        <v>0</v>
      </c>
      <c r="C40" s="8">
        <f>IF(COUNTA(E40:O40)=1,(INT(MAX(C$1:C39)/1000)+1)*1000,C39)</f>
        <v>5000</v>
      </c>
      <c r="D40" s="61">
        <v>1</v>
      </c>
      <c r="E40" s="69" t="s">
        <v>12</v>
      </c>
      <c r="F40" s="29" t="s">
        <v>70</v>
      </c>
      <c r="G40" s="30"/>
      <c r="H40" s="84"/>
      <c r="I40" s="55"/>
      <c r="J40" s="55">
        <f t="shared" ref="J40:J43" si="29">SUM(I40*8)</f>
        <v>0</v>
      </c>
      <c r="K40" s="31"/>
      <c r="L40" s="31"/>
      <c r="M40" s="31"/>
      <c r="N40" s="31"/>
      <c r="O40" s="80">
        <f t="shared" ref="O40:O45" si="30">SUM(K40:N40)</f>
        <v>0</v>
      </c>
      <c r="P40" s="78"/>
      <c r="Q40" s="31"/>
      <c r="R40" s="32"/>
      <c r="S40" s="31"/>
      <c r="T40" s="31"/>
      <c r="U40" s="31"/>
      <c r="V40" s="31"/>
      <c r="W40" s="33">
        <f>ROUND(IF(O40-M40&gt;Тарифы!$C$3,IF(O40-M40&gt;100,(O40-M40-((O40-M40)/100)-100)*0.13+4.8,((O40-M40-((O40-M40)/100)-Тарифы!$C$3)*0.08)),),2)</f>
        <v>0</v>
      </c>
      <c r="X40" s="31">
        <f>ROUND((O40-M40)/100,2)</f>
        <v>0</v>
      </c>
      <c r="Y40" s="31">
        <f t="shared" ref="Y40:Y45" si="31">ROUND((O40-M40)/100,2)</f>
        <v>0</v>
      </c>
      <c r="Z40" s="80">
        <f>SUM(P40:Y40)</f>
        <v>0</v>
      </c>
      <c r="AA40" s="78">
        <f>ROUND(ABS(IF((O40-Z40+H40-G40)&lt;0,O40-Z40+H40-G40,0)),2)</f>
        <v>0</v>
      </c>
      <c r="AB40" s="34">
        <f t="shared" ref="AB40:AB45" si="32">ROUND(IF((O40-Z40+H40-G40)&gt;0,O40-Z40+H40-G40,0),2)</f>
        <v>0</v>
      </c>
    </row>
    <row r="41" spans="1:28" s="35" customFormat="1">
      <c r="A41" s="35">
        <f>IF(D41*AB41,SUMPRODUCT((C$2:C41=C41)*(D$2:D41*AB$2:AB41&gt;0)),0)</f>
        <v>1</v>
      </c>
      <c r="B41" s="8">
        <f>IF(D41*AB41,MAX(B$1:B40)+1,)</f>
        <v>21</v>
      </c>
      <c r="C41" s="8">
        <f>IF(COUNTA(E41:O41)=1,(INT(MAX(C$1:C40)/1000)+1)*1000,C40)</f>
        <v>5000</v>
      </c>
      <c r="D41" s="61">
        <v>2</v>
      </c>
      <c r="E41" s="69" t="s">
        <v>13</v>
      </c>
      <c r="F41" s="29" t="s">
        <v>71</v>
      </c>
      <c r="G41" s="30"/>
      <c r="H41" s="84"/>
      <c r="I41" s="30">
        <v>25</v>
      </c>
      <c r="J41" s="55">
        <f t="shared" si="29"/>
        <v>200</v>
      </c>
      <c r="K41" s="30">
        <v>118.9</v>
      </c>
      <c r="L41" s="31"/>
      <c r="M41" s="31"/>
      <c r="N41" s="31"/>
      <c r="O41" s="80">
        <f t="shared" si="30"/>
        <v>118.9</v>
      </c>
      <c r="P41" s="78"/>
      <c r="Q41" s="31"/>
      <c r="R41" s="32"/>
      <c r="S41" s="31"/>
      <c r="T41" s="31"/>
      <c r="U41" s="31"/>
      <c r="V41" s="31"/>
      <c r="W41" s="33">
        <f>ROUND(IF(O41-M41&gt;Тарифы!$C$3,IF(O41-M41&gt;100,(O41-M41-((O41-M41)/100)-100)*0.13+4.8,((O41-M41-((O41-M41)/100)-Тарифы!$C$3)*0.08)),),2)</f>
        <v>7.1</v>
      </c>
      <c r="X41" s="31">
        <f>ROUND((O41-M41)/100,2)</f>
        <v>1.19</v>
      </c>
      <c r="Y41" s="31">
        <f t="shared" si="31"/>
        <v>1.19</v>
      </c>
      <c r="Z41" s="80">
        <f t="shared" ref="Z41:Z45" si="33">SUM(P41:Y41)</f>
        <v>9.4799999999999986</v>
      </c>
      <c r="AA41" s="78">
        <f>ROUND(ABS(IF((O41-Z41+H41-G41)&lt;0,O41-Z41+H41-G41,0)),2)</f>
        <v>0</v>
      </c>
      <c r="AB41" s="34">
        <f t="shared" si="32"/>
        <v>109.42</v>
      </c>
    </row>
    <row r="42" spans="1:28" s="35" customFormat="1">
      <c r="A42" s="35">
        <f>IF(D42*AB42,SUMPRODUCT((C$2:C42=C42)*(D$2:D42*AB$2:AB42&gt;0)),0)</f>
        <v>2</v>
      </c>
      <c r="B42" s="8">
        <f>IF(D42*AB42,MAX(B$1:B41)+1,)</f>
        <v>22</v>
      </c>
      <c r="C42" s="8">
        <f>IF(COUNTA(E42:O42)=1,(INT(MAX(C$1:C41)/1000)+1)*1000,C41)</f>
        <v>5000</v>
      </c>
      <c r="D42" s="61">
        <v>3</v>
      </c>
      <c r="E42" s="69" t="s">
        <v>14</v>
      </c>
      <c r="F42" s="29" t="s">
        <v>72</v>
      </c>
      <c r="G42" s="30"/>
      <c r="H42" s="84"/>
      <c r="I42" s="30">
        <v>25</v>
      </c>
      <c r="J42" s="55">
        <f t="shared" si="29"/>
        <v>200</v>
      </c>
      <c r="K42" s="30">
        <v>156</v>
      </c>
      <c r="L42" s="31"/>
      <c r="M42" s="31"/>
      <c r="N42" s="31"/>
      <c r="O42" s="80">
        <f t="shared" si="30"/>
        <v>156</v>
      </c>
      <c r="P42" s="78"/>
      <c r="Q42" s="31"/>
      <c r="R42" s="32"/>
      <c r="S42" s="31"/>
      <c r="T42" s="31"/>
      <c r="U42" s="31"/>
      <c r="V42" s="31"/>
      <c r="W42" s="33">
        <f>ROUND(IF(O42-M42&gt;Тарифы!$C$3,IF(O42-M42&gt;100,(O42-M42-((O42-M42)/100)-100)*0.13+4.8,((O42-M42-((O42-M42)/100)-Тарифы!$C$3)*0.08)),),2)</f>
        <v>11.88</v>
      </c>
      <c r="X42" s="31">
        <f t="shared" ref="X42:X45" si="34">ROUND((O42-M42)/100,2)</f>
        <v>1.56</v>
      </c>
      <c r="Y42" s="31">
        <f t="shared" si="31"/>
        <v>1.56</v>
      </c>
      <c r="Z42" s="80">
        <f t="shared" si="33"/>
        <v>15.000000000000002</v>
      </c>
      <c r="AA42" s="78">
        <f>ROUND(ABS(IF((O42-Z42+H42-G42)&lt;0,O42-Z42+H42-G42,0)),2)</f>
        <v>0</v>
      </c>
      <c r="AB42" s="34">
        <f t="shared" si="32"/>
        <v>141</v>
      </c>
    </row>
    <row r="43" spans="1:28" s="35" customFormat="1">
      <c r="A43" s="35">
        <f>IF(D43*AB43,SUMPRODUCT((C$2:C43=C43)*(D$2:D43*AB$2:AB43&gt;0)),0)</f>
        <v>3</v>
      </c>
      <c r="B43" s="8">
        <f>IF(D43*AB43,MAX(B$1:B42)+1,)</f>
        <v>23</v>
      </c>
      <c r="C43" s="8">
        <f>IF(COUNTA(E43:O43)=1,(INT(MAX(C$1:C42)/1000)+1)*1000,C42)</f>
        <v>5000</v>
      </c>
      <c r="D43" s="61">
        <v>4</v>
      </c>
      <c r="E43" s="69" t="s">
        <v>25</v>
      </c>
      <c r="F43" s="29" t="s">
        <v>73</v>
      </c>
      <c r="G43" s="30"/>
      <c r="H43" s="84"/>
      <c r="I43" s="30">
        <v>25</v>
      </c>
      <c r="J43" s="55">
        <f t="shared" si="29"/>
        <v>200</v>
      </c>
      <c r="K43" s="30">
        <v>118.9</v>
      </c>
      <c r="L43" s="31"/>
      <c r="M43" s="31"/>
      <c r="N43" s="31"/>
      <c r="O43" s="80">
        <f t="shared" si="30"/>
        <v>118.9</v>
      </c>
      <c r="P43" s="78"/>
      <c r="Q43" s="31"/>
      <c r="R43" s="32"/>
      <c r="S43" s="31"/>
      <c r="T43" s="31"/>
      <c r="U43" s="31"/>
      <c r="V43" s="31"/>
      <c r="W43" s="33">
        <f>ROUND(IF(O43-M43&gt;Тарифы!$C$3,IF(O43-M43&gt;100,(O43-M43-((O43-M43)/100)-100)*0.13+4.8,((O43-M43-((O43-M43)/100)-Тарифы!$C$3)*0.08)),),2)</f>
        <v>7.1</v>
      </c>
      <c r="X43" s="31">
        <f t="shared" si="34"/>
        <v>1.19</v>
      </c>
      <c r="Y43" s="31">
        <f t="shared" si="31"/>
        <v>1.19</v>
      </c>
      <c r="Z43" s="80">
        <f t="shared" si="33"/>
        <v>9.4799999999999986</v>
      </c>
      <c r="AA43" s="78">
        <f>ROUND(ABS(IF((O43-Z43+H43-G43)&lt;0,O43-Z43+H43-G43,0)),2)</f>
        <v>0</v>
      </c>
      <c r="AB43" s="34">
        <f t="shared" si="32"/>
        <v>109.42</v>
      </c>
    </row>
    <row r="44" spans="1:28" s="35" customFormat="1">
      <c r="A44" s="35">
        <f>IF(D44*AB44,SUMPRODUCT((C$2:C44=C44)*(D$2:D44*AB$2:AB44&gt;0)),0)</f>
        <v>0</v>
      </c>
      <c r="B44" s="8">
        <f>IF(D44*AB44,MAX(B$1:B43)+1,)</f>
        <v>0</v>
      </c>
      <c r="C44" s="8">
        <f>IF(COUNTA(E44:O44)=1,(INT(MAX(C$1:C43)/1000)+1)*1000,C43)</f>
        <v>5000</v>
      </c>
      <c r="D44" s="61">
        <v>5</v>
      </c>
      <c r="E44" s="69" t="s">
        <v>68</v>
      </c>
      <c r="F44" s="29" t="s">
        <v>74</v>
      </c>
      <c r="G44" s="30"/>
      <c r="H44" s="84"/>
      <c r="I44" s="55"/>
      <c r="J44" s="55">
        <f t="shared" ref="J44:J46" si="35">SUM(I44*8)</f>
        <v>0</v>
      </c>
      <c r="K44" s="31"/>
      <c r="L44" s="31"/>
      <c r="M44" s="31"/>
      <c r="N44" s="31"/>
      <c r="O44" s="80">
        <f t="shared" si="30"/>
        <v>0</v>
      </c>
      <c r="P44" s="78"/>
      <c r="Q44" s="31"/>
      <c r="R44" s="32"/>
      <c r="S44" s="31"/>
      <c r="T44" s="31"/>
      <c r="U44" s="31"/>
      <c r="V44" s="31"/>
      <c r="W44" s="33">
        <f>ROUND(IF(O44-M44&gt;Тарифы!$C$3,IF(O44-M44&gt;100,(O44-M44-((O44-M44)/100)-100)*0.13+4.8,((O44-M44-((O44-M44)/100)-Тарифы!$C$3)*0.08)),),2)</f>
        <v>0</v>
      </c>
      <c r="X44" s="31">
        <f t="shared" si="34"/>
        <v>0</v>
      </c>
      <c r="Y44" s="31">
        <f t="shared" si="31"/>
        <v>0</v>
      </c>
      <c r="Z44" s="80">
        <f t="shared" si="33"/>
        <v>0</v>
      </c>
      <c r="AA44" s="78">
        <f>ROUND(ABS(IF((O44-Z44+H44-G44)&lt;0,O44-Z44+H44-G44,0)),2)</f>
        <v>0</v>
      </c>
      <c r="AB44" s="34">
        <f t="shared" si="32"/>
        <v>0</v>
      </c>
    </row>
    <row r="45" spans="1:28" s="35" customFormat="1">
      <c r="A45" s="35">
        <f>IF(D45*AB45,SUMPRODUCT((C$2:C45=C45)*(D$2:D45*AB$2:AB45&gt;0)),0)</f>
        <v>4</v>
      </c>
      <c r="B45" s="8">
        <f>IF(D45*AB45,MAX(B$1:B44)+1,)</f>
        <v>24</v>
      </c>
      <c r="C45" s="8">
        <f>IF(COUNTA(E45:O45)=1,(INT(MAX(C$1:C44)/1000)+1)*1000,C44)</f>
        <v>5000</v>
      </c>
      <c r="D45" s="61">
        <v>6</v>
      </c>
      <c r="E45" s="69" t="s">
        <v>69</v>
      </c>
      <c r="F45" s="29" t="s">
        <v>75</v>
      </c>
      <c r="G45" s="30"/>
      <c r="H45" s="84"/>
      <c r="I45" s="55">
        <v>25</v>
      </c>
      <c r="J45" s="55">
        <f t="shared" si="35"/>
        <v>200</v>
      </c>
      <c r="K45" s="31">
        <v>104</v>
      </c>
      <c r="L45" s="31"/>
      <c r="M45" s="31"/>
      <c r="N45" s="31"/>
      <c r="O45" s="80">
        <f t="shared" si="30"/>
        <v>104</v>
      </c>
      <c r="P45" s="78"/>
      <c r="Q45" s="31"/>
      <c r="R45" s="32"/>
      <c r="S45" s="31"/>
      <c r="T45" s="31"/>
      <c r="U45" s="31"/>
      <c r="V45" s="31"/>
      <c r="W45" s="33">
        <f>ROUND(IF(O45-M45&gt;Тарифы!$C$3,IF(O45-M45&gt;100,(O45-M45-((O45-M45)/100)-100)*0.13+4.8,((O45-M45-((O45-M45)/100)-Тарифы!$C$3)*0.08)),),2)</f>
        <v>5.18</v>
      </c>
      <c r="X45" s="31">
        <f t="shared" si="34"/>
        <v>1.04</v>
      </c>
      <c r="Y45" s="31">
        <f t="shared" si="31"/>
        <v>1.04</v>
      </c>
      <c r="Z45" s="80">
        <f t="shared" si="33"/>
        <v>7.26</v>
      </c>
      <c r="AA45" s="78">
        <f>ROUND(ABS(IF((O45-Z45+K45-I45)&lt;0,O45-Z45+K45-I45,0)),2)</f>
        <v>0</v>
      </c>
      <c r="AB45" s="34">
        <f t="shared" si="32"/>
        <v>96.74</v>
      </c>
    </row>
    <row r="46" spans="1:28" s="44" customFormat="1">
      <c r="A46" s="35">
        <f>IF(D46*AB46,SUMPRODUCT((C$2:C46=C46)*(D$2:D46*AB$2:AB46&gt;0)),0)</f>
        <v>0</v>
      </c>
      <c r="B46" s="8">
        <f>IF(D46*AB46,MAX(B$1:B45)+1,)</f>
        <v>0</v>
      </c>
      <c r="C46" s="8">
        <f>IF(COUNTA(E46:O46)=1,(INT(MAX(C$1:C45)/1000)+1)*1000,C45)</f>
        <v>5000</v>
      </c>
      <c r="D46" s="64"/>
      <c r="E46" s="71" t="s">
        <v>81</v>
      </c>
      <c r="F46" s="40"/>
      <c r="G46" s="42">
        <f>SUM(G40:G45)</f>
        <v>0</v>
      </c>
      <c r="H46" s="83">
        <f>SUM(H40:H45)</f>
        <v>0</v>
      </c>
      <c r="I46" s="57"/>
      <c r="J46" s="58">
        <f t="shared" si="35"/>
        <v>0</v>
      </c>
      <c r="K46" s="42">
        <f t="shared" ref="K46:AB46" si="36">SUM(K40:K45)</f>
        <v>497.79999999999995</v>
      </c>
      <c r="L46" s="42">
        <f t="shared" si="36"/>
        <v>0</v>
      </c>
      <c r="M46" s="42">
        <f t="shared" si="36"/>
        <v>0</v>
      </c>
      <c r="N46" s="42">
        <f t="shared" si="36"/>
        <v>0</v>
      </c>
      <c r="O46" s="83">
        <f t="shared" si="36"/>
        <v>497.79999999999995</v>
      </c>
      <c r="P46" s="82">
        <f t="shared" si="36"/>
        <v>0</v>
      </c>
      <c r="Q46" s="42">
        <f t="shared" si="36"/>
        <v>0</v>
      </c>
      <c r="R46" s="42">
        <f t="shared" si="36"/>
        <v>0</v>
      </c>
      <c r="S46" s="42">
        <f t="shared" si="36"/>
        <v>0</v>
      </c>
      <c r="T46" s="42">
        <f t="shared" si="36"/>
        <v>0</v>
      </c>
      <c r="U46" s="42">
        <f t="shared" si="36"/>
        <v>0</v>
      </c>
      <c r="V46" s="42">
        <f t="shared" si="36"/>
        <v>0</v>
      </c>
      <c r="W46" s="42">
        <f t="shared" si="36"/>
        <v>31.259999999999998</v>
      </c>
      <c r="X46" s="42">
        <f t="shared" si="36"/>
        <v>4.9800000000000004</v>
      </c>
      <c r="Y46" s="42">
        <f t="shared" si="36"/>
        <v>4.9800000000000004</v>
      </c>
      <c r="Z46" s="83">
        <f t="shared" si="36"/>
        <v>41.22</v>
      </c>
      <c r="AA46" s="82">
        <f t="shared" si="36"/>
        <v>0</v>
      </c>
      <c r="AB46" s="43">
        <f t="shared" si="36"/>
        <v>456.58000000000004</v>
      </c>
    </row>
    <row r="47" spans="1:28" s="35" customFormat="1">
      <c r="A47" s="35">
        <f>IF(D47*AB47,SUMPRODUCT((C$2:C47=C47)*(D$2:D47*AB$2:AB47&gt;0)),0)</f>
        <v>0</v>
      </c>
      <c r="B47" s="8">
        <f>IF(D47*AB47,MAX(B$1:B46)+1,)</f>
        <v>0</v>
      </c>
      <c r="C47" s="8">
        <f>IF(COUNTA(E47:O47)=1,(INT(MAX(C$1:C46)/1000)+1)*1000,C46)</f>
        <v>5000</v>
      </c>
      <c r="D47" s="67"/>
      <c r="E47" s="73"/>
      <c r="F47" s="51"/>
      <c r="G47" s="52"/>
      <c r="H47" s="52"/>
      <c r="I47" s="60"/>
      <c r="J47" s="60"/>
      <c r="K47" s="53"/>
      <c r="L47" s="53"/>
      <c r="M47" s="53"/>
      <c r="N47" s="53"/>
      <c r="O47" s="53"/>
      <c r="P47" s="53"/>
      <c r="Q47" s="53"/>
      <c r="R47" s="53"/>
      <c r="S47" s="53"/>
      <c r="T47" s="53"/>
      <c r="U47" s="53"/>
      <c r="V47" s="54"/>
      <c r="W47" s="54"/>
      <c r="X47" s="53"/>
      <c r="Y47" s="53"/>
      <c r="Z47" s="53"/>
      <c r="AA47" s="53"/>
      <c r="AB47" s="53"/>
    </row>
    <row r="48" spans="1:28" s="35" customFormat="1" ht="12.75" customHeight="1">
      <c r="A48" s="35">
        <f>IF(D48*AB48,SUMPRODUCT((C$2:C48=C48)*(D$2:D48*AB$2:AB48&gt;0)),0)</f>
        <v>0</v>
      </c>
      <c r="B48" s="8">
        <f>IF(D48*AB48,MAX(B$1:B47)+1,)</f>
        <v>0</v>
      </c>
      <c r="C48" s="8">
        <f>IF(COUNTA(E48:O48)=1,(INT(MAX(C$1:C47)/1000)+1)*1000,C47)</f>
        <v>6000</v>
      </c>
      <c r="D48" s="66"/>
      <c r="E48" s="142" t="s">
        <v>77</v>
      </c>
      <c r="F48" s="143"/>
      <c r="G48" s="143"/>
      <c r="H48" s="143"/>
      <c r="I48" s="28"/>
      <c r="J48" s="28"/>
      <c r="K48" s="49"/>
      <c r="L48" s="48"/>
      <c r="M48" s="48"/>
      <c r="N48" s="48"/>
      <c r="O48" s="50"/>
      <c r="P48" s="48"/>
      <c r="Q48" s="48"/>
      <c r="R48" s="48"/>
      <c r="S48" s="48"/>
      <c r="T48" s="48"/>
      <c r="U48" s="48"/>
      <c r="V48" s="48"/>
      <c r="W48" s="48"/>
      <c r="X48" s="48"/>
      <c r="Y48" s="48"/>
      <c r="Z48" s="48"/>
      <c r="AA48" s="48"/>
      <c r="AB48" s="48"/>
    </row>
    <row r="49" spans="1:28" s="35" customFormat="1">
      <c r="A49" s="35">
        <f>IF(D49*AB49,SUMPRODUCT((C$2:C49=C49)*(D$2:D49*AB$2:AB49&gt;0)),0)</f>
        <v>1</v>
      </c>
      <c r="B49" s="8">
        <f>IF(D49*AB49,MAX(B$1:B48)+1,)</f>
        <v>25</v>
      </c>
      <c r="C49" s="8">
        <f>IF(COUNTA(E49:O49)=1,(INT(MAX(C$1:C48)/1000)+1)*1000,C48)</f>
        <v>6000</v>
      </c>
      <c r="D49" s="61">
        <v>1</v>
      </c>
      <c r="E49" s="69" t="s">
        <v>15</v>
      </c>
      <c r="F49" s="29" t="s">
        <v>64</v>
      </c>
      <c r="G49" s="30"/>
      <c r="H49" s="84"/>
      <c r="I49" s="55">
        <v>25</v>
      </c>
      <c r="J49" s="55">
        <f t="shared" ref="J49:J50" si="37">SUM(I49*8)</f>
        <v>200</v>
      </c>
      <c r="K49" s="31">
        <v>131.05000000000001</v>
      </c>
      <c r="L49" s="31"/>
      <c r="M49" s="31"/>
      <c r="N49" s="31"/>
      <c r="O49" s="80">
        <f t="shared" ref="O49:O50" si="38">SUM(K49:N49)</f>
        <v>131.05000000000001</v>
      </c>
      <c r="P49" s="78"/>
      <c r="Q49" s="31"/>
      <c r="R49" s="32"/>
      <c r="S49" s="31"/>
      <c r="T49" s="31"/>
      <c r="U49" s="31"/>
      <c r="V49" s="31"/>
      <c r="W49" s="33">
        <f>ROUND(IF(O49-M49&gt;Тарифы!$C$3,IF(O49-M49&gt;100,(O49-M49-((O49-M49)/100)-100)*0.13+4.8,((O49-M49-((O49-M49)/100)-Тарифы!$C$3)*0.08)),),2)</f>
        <v>8.67</v>
      </c>
      <c r="X49" s="31">
        <f t="shared" ref="X49:X50" si="39">ROUND((O49-M49)/100,2)</f>
        <v>1.31</v>
      </c>
      <c r="Y49" s="31">
        <f t="shared" ref="Y49:Y50" si="40">ROUND((O49-M49)/100,2)</f>
        <v>1.31</v>
      </c>
      <c r="Z49" s="80">
        <f t="shared" ref="Z49:Z50" si="41">SUM(P49:Y49)</f>
        <v>11.290000000000001</v>
      </c>
      <c r="AA49" s="78">
        <f>ROUND(ABS(IF((O49-Z49+H49-G49)&lt;0,O49-Z49+H49-G49,0)),2)</f>
        <v>0</v>
      </c>
      <c r="AB49" s="34">
        <f>ROUND(IF((O49-Z49+H49-G49)&gt;0,O49-Z49+H49-G49,0),2)</f>
        <v>119.76</v>
      </c>
    </row>
    <row r="50" spans="1:28" s="35" customFormat="1">
      <c r="A50" s="35">
        <f>IF(D50*AB50,SUMPRODUCT((C$2:C50=C50)*(D$2:D50*AB$2:AB50&gt;0)),0)</f>
        <v>2</v>
      </c>
      <c r="B50" s="8">
        <f>IF(D50*AB50,MAX(B$1:B49)+1,)</f>
        <v>26</v>
      </c>
      <c r="C50" s="8">
        <f>IF(COUNTA(E50:O50)=1,(INT(MAX(C$1:C49)/1000)+1)*1000,C49)</f>
        <v>6000</v>
      </c>
      <c r="D50" s="61">
        <v>2</v>
      </c>
      <c r="E50" s="69" t="s">
        <v>28</v>
      </c>
      <c r="F50" s="29" t="s">
        <v>80</v>
      </c>
      <c r="G50" s="30"/>
      <c r="H50" s="84"/>
      <c r="I50" s="55">
        <v>25</v>
      </c>
      <c r="J50" s="55">
        <f t="shared" si="37"/>
        <v>200</v>
      </c>
      <c r="K50" s="31">
        <v>104</v>
      </c>
      <c r="L50" s="31"/>
      <c r="M50" s="31"/>
      <c r="N50" s="31"/>
      <c r="O50" s="80">
        <f t="shared" si="38"/>
        <v>104</v>
      </c>
      <c r="P50" s="78"/>
      <c r="Q50" s="31"/>
      <c r="R50" s="32"/>
      <c r="S50" s="31"/>
      <c r="T50" s="31"/>
      <c r="U50" s="31"/>
      <c r="V50" s="31"/>
      <c r="W50" s="33">
        <f>ROUND(IF(O50-M50&gt;Тарифы!$C$3,IF(O50-M50&gt;100,(O50-M50-((O50-M50)/100)-100)*0.13+4.8,((O50-M50-((O50-M50)/100)-Тарифы!$C$3)*0.08)),),2)</f>
        <v>5.18</v>
      </c>
      <c r="X50" s="31">
        <f t="shared" si="39"/>
        <v>1.04</v>
      </c>
      <c r="Y50" s="31">
        <f t="shared" si="40"/>
        <v>1.04</v>
      </c>
      <c r="Z50" s="80">
        <f t="shared" si="41"/>
        <v>7.26</v>
      </c>
      <c r="AA50" s="78">
        <f>ROUND(ABS(IF((O50-Z50+H50-G50)&lt;0,O50-Z50+H50-G50,0)),2)</f>
        <v>0</v>
      </c>
      <c r="AB50" s="34">
        <f>ROUND(IF((O50-Z50+H50-G50)&gt;0,O50-Z50+H50-G50,0),2)</f>
        <v>96.74</v>
      </c>
    </row>
    <row r="51" spans="1:28" s="44" customFormat="1">
      <c r="A51" s="35">
        <f>IF(D51*AB51,SUMPRODUCT((C$2:C51=C51)*(D$2:D51*AB$2:AB51&gt;0)),0)</f>
        <v>0</v>
      </c>
      <c r="B51" s="8">
        <f>IF(D51*AB51,MAX(B$1:B50)+1,)</f>
        <v>0</v>
      </c>
      <c r="C51" s="8">
        <f>IF(COUNTA(E51:O51)=1,(INT(MAX(C$1:C50)/1000)+1)*1000,C50)</f>
        <v>6000</v>
      </c>
      <c r="D51" s="64"/>
      <c r="E51" s="71" t="s">
        <v>81</v>
      </c>
      <c r="F51" s="40"/>
      <c r="G51" s="41"/>
      <c r="H51" s="86"/>
      <c r="I51" s="57"/>
      <c r="J51" s="58">
        <f t="shared" ref="J51" si="42">SUM(I51*8)</f>
        <v>0</v>
      </c>
      <c r="K51" s="42">
        <f>SUM(K49:K50)</f>
        <v>235.05</v>
      </c>
      <c r="L51" s="42">
        <f>SUM(L45:L50)</f>
        <v>0</v>
      </c>
      <c r="M51" s="42">
        <f>SUM(M45:M50)</f>
        <v>0</v>
      </c>
      <c r="N51" s="42">
        <f t="shared" ref="N51:AB51" si="43">SUM(N49:N50)</f>
        <v>0</v>
      </c>
      <c r="O51" s="83">
        <f t="shared" si="43"/>
        <v>235.05</v>
      </c>
      <c r="P51" s="82">
        <f t="shared" si="43"/>
        <v>0</v>
      </c>
      <c r="Q51" s="42">
        <f t="shared" si="43"/>
        <v>0</v>
      </c>
      <c r="R51" s="42">
        <f t="shared" si="43"/>
        <v>0</v>
      </c>
      <c r="S51" s="42">
        <f t="shared" si="43"/>
        <v>0</v>
      </c>
      <c r="T51" s="42">
        <f t="shared" si="43"/>
        <v>0</v>
      </c>
      <c r="U51" s="42">
        <f t="shared" si="43"/>
        <v>0</v>
      </c>
      <c r="V51" s="42">
        <f t="shared" si="43"/>
        <v>0</v>
      </c>
      <c r="W51" s="42">
        <f t="shared" si="43"/>
        <v>13.85</v>
      </c>
      <c r="X51" s="42">
        <f t="shared" si="43"/>
        <v>2.35</v>
      </c>
      <c r="Y51" s="42">
        <f t="shared" si="43"/>
        <v>2.35</v>
      </c>
      <c r="Z51" s="83">
        <f t="shared" si="43"/>
        <v>18.55</v>
      </c>
      <c r="AA51" s="82">
        <f t="shared" si="43"/>
        <v>0</v>
      </c>
      <c r="AB51" s="42">
        <f t="shared" si="43"/>
        <v>216.5</v>
      </c>
    </row>
    <row r="52" spans="1:28" s="35" customFormat="1">
      <c r="A52" s="35">
        <f>IF(D52*AB52,SUMPRODUCT((C$2:C52=C52)*(D$2:D52*AB$2:AB52&gt;0)),0)</f>
        <v>0</v>
      </c>
      <c r="B52" s="8">
        <f>IF(D52*AB52,MAX(B$1:B51)+1,)</f>
        <v>0</v>
      </c>
      <c r="C52" s="8">
        <f>IF(COUNTA(E52:O52)=1,(INT(MAX(C$1:C51)/1000)+1)*1000,C51)</f>
        <v>6000</v>
      </c>
      <c r="D52" s="67"/>
      <c r="E52" s="73"/>
      <c r="F52" s="51"/>
      <c r="G52" s="52"/>
      <c r="H52" s="52"/>
      <c r="I52" s="60"/>
      <c r="J52" s="60"/>
      <c r="K52" s="53"/>
      <c r="L52" s="53"/>
      <c r="M52" s="53"/>
      <c r="N52" s="53"/>
      <c r="O52" s="53"/>
      <c r="P52" s="53"/>
      <c r="Q52" s="53"/>
      <c r="R52" s="53"/>
      <c r="S52" s="53"/>
      <c r="T52" s="53"/>
      <c r="U52" s="53"/>
      <c r="V52" s="54"/>
      <c r="W52" s="54"/>
      <c r="X52" s="53"/>
      <c r="Y52" s="53"/>
      <c r="Z52" s="53"/>
      <c r="AA52" s="53"/>
      <c r="AB52" s="53"/>
    </row>
    <row r="53" spans="1:28" s="35" customFormat="1" ht="12.75" customHeight="1">
      <c r="A53" s="35">
        <f>IF(D53*AB53,SUMPRODUCT((C$2:C53=C53)*(D$2:D53*AB$2:AB53&gt;0)),0)</f>
        <v>0</v>
      </c>
      <c r="B53" s="8">
        <f>IF(D53*AB53,MAX(B$1:B52)+1,)</f>
        <v>0</v>
      </c>
      <c r="C53" s="8">
        <f>IF(COUNTA(E53:O53)=1,(INT(MAX(C$1:C52)/1000)+1)*1000,C52)</f>
        <v>7000</v>
      </c>
      <c r="D53" s="66"/>
      <c r="E53" s="142" t="s">
        <v>78</v>
      </c>
      <c r="F53" s="143"/>
      <c r="G53" s="143"/>
      <c r="H53" s="143"/>
      <c r="I53" s="28"/>
      <c r="J53" s="28"/>
      <c r="K53" s="49"/>
      <c r="L53" s="48"/>
      <c r="M53" s="48"/>
      <c r="N53" s="48"/>
      <c r="O53" s="50"/>
      <c r="P53" s="48"/>
      <c r="Q53" s="48"/>
      <c r="R53" s="48"/>
      <c r="S53" s="48"/>
      <c r="T53" s="48"/>
      <c r="U53" s="48"/>
      <c r="V53" s="48"/>
      <c r="W53" s="48"/>
      <c r="X53" s="48"/>
      <c r="Y53" s="48"/>
      <c r="Z53" s="48"/>
      <c r="AA53" s="48"/>
      <c r="AB53" s="48"/>
    </row>
    <row r="54" spans="1:28" s="35" customFormat="1">
      <c r="A54" s="35">
        <f>IF(D54*AB54,SUMPRODUCT((C$2:C54=C54)*(D$2:D54*AB$2:AB54&gt;0)),0)</f>
        <v>1</v>
      </c>
      <c r="B54" s="8">
        <f>IF(D54*AB54,MAX(B$1:B53)+1,)</f>
        <v>27</v>
      </c>
      <c r="C54" s="8">
        <f>IF(COUNTA(E54:O54)=1,(INT(MAX(C$1:C53)/1000)+1)*1000,C53)</f>
        <v>7000</v>
      </c>
      <c r="D54" s="61">
        <v>1</v>
      </c>
      <c r="E54" s="69" t="s">
        <v>16</v>
      </c>
      <c r="F54" s="29" t="s">
        <v>64</v>
      </c>
      <c r="G54" s="30"/>
      <c r="H54" s="84"/>
      <c r="I54" s="55">
        <v>25</v>
      </c>
      <c r="J54" s="55">
        <f t="shared" ref="J54:J56" si="44">SUM(I54*8)</f>
        <v>200</v>
      </c>
      <c r="K54" s="31">
        <v>131.05000000000001</v>
      </c>
      <c r="L54" s="31"/>
      <c r="M54" s="31"/>
      <c r="N54" s="31"/>
      <c r="O54" s="80">
        <f t="shared" ref="O54:O56" si="45">SUM(K54:N54)</f>
        <v>131.05000000000001</v>
      </c>
      <c r="P54" s="78"/>
      <c r="Q54" s="31"/>
      <c r="R54" s="32"/>
      <c r="S54" s="31"/>
      <c r="T54" s="31"/>
      <c r="U54" s="31"/>
      <c r="V54" s="31"/>
      <c r="W54" s="33">
        <f>ROUND(IF(O54-M54&gt;Тарифы!$C$3,IF(O54-M54&gt;100,(O54-M54-((O54-M54)/100)-100)*0.13+4.8,((O54-M54-((O54-M54)/100)-Тарифы!$C$3)*0.08)),),2)</f>
        <v>8.67</v>
      </c>
      <c r="X54" s="31">
        <f t="shared" ref="X54:X56" si="46">ROUND((O54-M54)/100,2)</f>
        <v>1.31</v>
      </c>
      <c r="Y54" s="31">
        <f t="shared" ref="Y54:Y56" si="47">ROUND((O54-M54)/100,2)</f>
        <v>1.31</v>
      </c>
      <c r="Z54" s="80">
        <f t="shared" ref="Z54:Z56" si="48">SUM(P54:Y54)</f>
        <v>11.290000000000001</v>
      </c>
      <c r="AA54" s="78">
        <f>ROUND(ABS(IF((O54-Z54+H54-G54)&lt;0,O54-Z54+H54-G54,0)),2)</f>
        <v>0</v>
      </c>
      <c r="AB54" s="34">
        <f>ROUND(IF((O54-Z54+H54-G54)&gt;0,O54-Z54+H54-G54,0),2)</f>
        <v>119.76</v>
      </c>
    </row>
    <row r="55" spans="1:28" s="35" customFormat="1">
      <c r="A55" s="35">
        <f>IF(D55*AB55,SUMPRODUCT((C$2:C55=C55)*(D$2:D55*AB$2:AB55&gt;0)),0)</f>
        <v>2</v>
      </c>
      <c r="B55" s="8">
        <f>IF(D55*AB55,MAX(B$1:B54)+1,)</f>
        <v>28</v>
      </c>
      <c r="C55" s="8">
        <f>IF(COUNTA(E55:O55)=1,(INT(MAX(C$1:C54)/1000)+1)*1000,C54)</f>
        <v>7000</v>
      </c>
      <c r="D55" s="61">
        <v>2</v>
      </c>
      <c r="E55" s="69" t="s">
        <v>26</v>
      </c>
      <c r="F55" s="29" t="s">
        <v>80</v>
      </c>
      <c r="G55" s="30"/>
      <c r="H55" s="84"/>
      <c r="I55" s="55"/>
      <c r="J55" s="55"/>
      <c r="K55" s="31">
        <v>104</v>
      </c>
      <c r="L55" s="31"/>
      <c r="M55" s="31"/>
      <c r="N55" s="31"/>
      <c r="O55" s="80">
        <f t="shared" ref="O55" si="49">SUM(K55:N55)</f>
        <v>104</v>
      </c>
      <c r="P55" s="78"/>
      <c r="Q55" s="31"/>
      <c r="R55" s="32"/>
      <c r="S55" s="31"/>
      <c r="T55" s="31"/>
      <c r="U55" s="31"/>
      <c r="V55" s="31"/>
      <c r="W55" s="33">
        <f>ROUND(IF(O55-M55&gt;Тарифы!$C$3,IF(O55-M55&gt;100,(O55-M55-((O55-M55)/100)-100)*0.13+4.8,((O55-M55-((O55-M55)/100)-Тарифы!$C$3)*0.08)),),2)</f>
        <v>5.18</v>
      </c>
      <c r="X55" s="31">
        <f t="shared" ref="X55" si="50">ROUND((O55-M55)/100,2)</f>
        <v>1.04</v>
      </c>
      <c r="Y55" s="31">
        <f t="shared" ref="Y55" si="51">ROUND((O55-M55)/100,2)</f>
        <v>1.04</v>
      </c>
      <c r="Z55" s="80">
        <f t="shared" ref="Z55" si="52">SUM(P55:Y55)</f>
        <v>7.26</v>
      </c>
      <c r="AA55" s="78">
        <f>ROUND(ABS(IF((O55-Z55+H55-G55)&lt;0,O55-Z55+H55-G55,0)),2)</f>
        <v>0</v>
      </c>
      <c r="AB55" s="34">
        <f>ROUND(IF((O55-Z55+H55-G55)&gt;0,O55-Z55+H55-G55,0),2)</f>
        <v>96.74</v>
      </c>
    </row>
    <row r="56" spans="1:28" s="35" customFormat="1">
      <c r="A56" s="35">
        <f>IF(D56*AB56,SUMPRODUCT((C$2:C56=C56)*(D$2:D56*AB$2:AB56&gt;0)),0)</f>
        <v>3</v>
      </c>
      <c r="B56" s="8">
        <f>IF(D56*AB56,MAX(B$1:B55)+1,)</f>
        <v>29</v>
      </c>
      <c r="C56" s="8">
        <f>IF(COUNTA(E56:O56)=1,(INT(MAX(C$1:C55)/1000)+1)*1000,C55)</f>
        <v>7000</v>
      </c>
      <c r="D56" s="61">
        <v>3</v>
      </c>
      <c r="E56" s="69" t="s">
        <v>27</v>
      </c>
      <c r="F56" s="29" t="s">
        <v>80</v>
      </c>
      <c r="G56" s="30"/>
      <c r="H56" s="84"/>
      <c r="I56" s="55">
        <v>25</v>
      </c>
      <c r="J56" s="55">
        <f t="shared" si="44"/>
        <v>200</v>
      </c>
      <c r="K56" s="31">
        <v>104</v>
      </c>
      <c r="L56" s="31"/>
      <c r="M56" s="31"/>
      <c r="N56" s="31"/>
      <c r="O56" s="80">
        <f t="shared" si="45"/>
        <v>104</v>
      </c>
      <c r="P56" s="78"/>
      <c r="Q56" s="31"/>
      <c r="R56" s="32"/>
      <c r="S56" s="31"/>
      <c r="T56" s="31"/>
      <c r="U56" s="31"/>
      <c r="V56" s="31"/>
      <c r="W56" s="33">
        <f>ROUND(IF(O56-M56&gt;Тарифы!$C$3,IF(O56-M56&gt;100,(O56-M56-((O56-M56)/100)-100)*0.13+4.8,((O56-M56-((O56-M56)/100)-Тарифы!$C$3)*0.08)),),2)</f>
        <v>5.18</v>
      </c>
      <c r="X56" s="31">
        <f t="shared" si="46"/>
        <v>1.04</v>
      </c>
      <c r="Y56" s="31">
        <f t="shared" si="47"/>
        <v>1.04</v>
      </c>
      <c r="Z56" s="80">
        <f t="shared" si="48"/>
        <v>7.26</v>
      </c>
      <c r="AA56" s="78">
        <f>ROUND(ABS(IF((O56-Z56+H56-G56)&lt;0,O56-Z56+H56-G56,0)),2)</f>
        <v>0</v>
      </c>
      <c r="AB56" s="34">
        <f>ROUND(IF((O56-Z56+H56-G56)&gt;0,O56-Z56+H56-G56,0),2)</f>
        <v>96.74</v>
      </c>
    </row>
    <row r="57" spans="1:28" s="44" customFormat="1" ht="12">
      <c r="D57" s="64"/>
      <c r="E57" s="71" t="s">
        <v>81</v>
      </c>
      <c r="F57" s="40"/>
      <c r="G57" s="41"/>
      <c r="H57" s="86"/>
      <c r="I57" s="57"/>
      <c r="J57" s="58">
        <f t="shared" ref="J57" si="53">SUM(I57*8)</f>
        <v>0</v>
      </c>
      <c r="K57" s="42">
        <f>SUM(K54:K56)</f>
        <v>339.05</v>
      </c>
      <c r="L57" s="42">
        <f t="shared" ref="L57" si="54">SUM(L50:L56)</f>
        <v>0</v>
      </c>
      <c r="M57" s="42">
        <f t="shared" ref="M57" si="55">SUM(M50:M56)</f>
        <v>0</v>
      </c>
      <c r="N57" s="42">
        <f t="shared" ref="N57" si="56">SUM(N54:N56)</f>
        <v>0</v>
      </c>
      <c r="O57" s="83">
        <f>SUM(O54:O56)</f>
        <v>339.05</v>
      </c>
      <c r="P57" s="82">
        <f t="shared" ref="P57" si="57">SUM(P54:P56)</f>
        <v>0</v>
      </c>
      <c r="Q57" s="42">
        <f t="shared" ref="Q57" si="58">SUM(Q54:Q56)</f>
        <v>0</v>
      </c>
      <c r="R57" s="42">
        <f t="shared" ref="R57" si="59">SUM(R54:R56)</f>
        <v>0</v>
      </c>
      <c r="S57" s="42">
        <f t="shared" ref="S57" si="60">SUM(S54:S56)</f>
        <v>0</v>
      </c>
      <c r="T57" s="42">
        <f t="shared" ref="T57" si="61">SUM(T54:T56)</f>
        <v>0</v>
      </c>
      <c r="U57" s="42">
        <f t="shared" ref="U57" si="62">SUM(U54:U56)</f>
        <v>0</v>
      </c>
      <c r="V57" s="42">
        <f t="shared" ref="V57" si="63">SUM(V54:V56)</f>
        <v>0</v>
      </c>
      <c r="W57" s="42">
        <f t="shared" ref="W57" si="64">SUM(W54:W56)</f>
        <v>19.03</v>
      </c>
      <c r="X57" s="42">
        <f t="shared" ref="X57" si="65">SUM(X54:X56)</f>
        <v>3.39</v>
      </c>
      <c r="Y57" s="42">
        <f t="shared" ref="Y57" si="66">SUM(Y54:Y56)</f>
        <v>3.39</v>
      </c>
      <c r="Z57" s="83">
        <f t="shared" ref="Z57" si="67">SUM(Z54:Z56)</f>
        <v>25.810000000000002</v>
      </c>
      <c r="AA57" s="82">
        <f t="shared" ref="AA57" si="68">SUM(AA54:AA56)</f>
        <v>0</v>
      </c>
      <c r="AB57" s="42">
        <f t="shared" ref="AB57" si="69">SUM(AB54:AB56)</f>
        <v>313.24</v>
      </c>
    </row>
  </sheetData>
  <scenarios current="0" show="0" sqref="D2">
    <scenario name="ееееееее" locked="1" count="1" user="Оператор" comment="Автор: Оператор , 09.01.03_x000a_Автор изменений: Оператор , 09.01.03">
      <inputCells r="E27" val="Оrилов Оrилбой"/>
    </scenario>
    <scenario name="апавап" locked="1" count="1" user="Оператор" comment="Автор: Оператор , 09.01.03">
      <inputCells r="E4" val="Шарипов Фирeз"/>
    </scenario>
  </scenarios>
  <sortState ref="D2:CX228">
    <sortCondition ref="D228"/>
  </sortState>
  <mergeCells count="7">
    <mergeCell ref="E53:H53"/>
    <mergeCell ref="E30:J30"/>
    <mergeCell ref="E2:H2"/>
    <mergeCell ref="E16:H16"/>
    <mergeCell ref="E22:H22"/>
    <mergeCell ref="E39:H39"/>
    <mergeCell ref="E48:H48"/>
  </mergeCells>
  <phoneticPr fontId="2" type="noConversion"/>
  <conditionalFormatting sqref="E2:E57">
    <cfRule type="expression" dxfId="20" priority="1">
      <formula>COUNTIF($E$3:$E$57,$E2)*ISNUMBER($D2)&gt;1</formula>
    </cfRule>
  </conditionalFormatting>
  <dataValidations count="1">
    <dataValidation type="whole" allowBlank="1" showInputMessage="1" showErrorMessage="1" errorTitle="Неправильное значение!" error="Вы должны ввести целое число в диапазоне 1-24" sqref="I37:I39 I46:I57 I3:I29">
      <formula1>1</formula1>
      <formula2>25</formula2>
    </dataValidation>
  </dataValidations>
  <printOptions horizontalCentered="1"/>
  <pageMargins left="0.47244094488188981" right="0.31496062992125984" top="0.70866141732283472" bottom="0.27559055118110237" header="0.51181102362204722" footer="0.23622047244094491"/>
  <pageSetup paperSize="9" scale="82" fitToHeight="6" orientation="landscape" r:id="rId1"/>
  <headerFooter alignWithMargins="0">
    <oddHeader xml:space="preserve">&amp;C&amp;"Palatino Linotype,полужирный"&amp;12&amp;F&amp;"Courier New,полужирный"   -   &amp;14&amp;A&amp;R&amp;"Monotype Corsiva,обычный"&amp;14                                        </oddHeader>
  </headerFooter>
  <rowBreaks count="1" manualBreakCount="1">
    <brk id="30" min="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3"/>
  <sheetViews>
    <sheetView workbookViewId="0">
      <selection activeCell="O21" sqref="O21"/>
    </sheetView>
  </sheetViews>
  <sheetFormatPr defaultRowHeight="12.75"/>
  <cols>
    <col min="1" max="1" width="10" customWidth="1"/>
    <col min="2" max="2" width="10.42578125" customWidth="1"/>
    <col min="3" max="3" width="9" bestFit="1" customWidth="1"/>
    <col min="4" max="4" width="12.28515625" style="1" customWidth="1"/>
    <col min="5" max="5" width="7.85546875" customWidth="1"/>
    <col min="6" max="6" width="3.7109375" customWidth="1"/>
    <col min="7" max="7" width="3.7109375" style="6" customWidth="1"/>
    <col min="8" max="9" width="10.42578125" style="6" customWidth="1"/>
    <col min="10" max="10" width="9" style="6" bestFit="1" customWidth="1"/>
    <col min="11" max="11" width="12.28515625" style="1" customWidth="1"/>
    <col min="12" max="12" width="7.85546875" style="6" customWidth="1"/>
    <col min="13" max="13" width="7.7109375" customWidth="1"/>
    <col min="14" max="16" width="11.5703125" customWidth="1"/>
  </cols>
  <sheetData>
    <row r="1" spans="1:19" s="6" customFormat="1">
      <c r="A1" s="108">
        <f>INT((ROW()-1)/12)*2+1+(COLUMN()&gt;6)</f>
        <v>1</v>
      </c>
      <c r="B1" s="138"/>
      <c r="C1" s="138"/>
      <c r="D1" s="139"/>
      <c r="E1" s="138"/>
      <c r="F1" s="138"/>
      <c r="G1" s="140"/>
      <c r="H1" s="108">
        <f>INT((ROW()-1)/12)*2+1+(COLUMN()&gt;6)</f>
        <v>2</v>
      </c>
      <c r="I1" s="98"/>
      <c r="J1" s="98"/>
      <c r="K1" s="100"/>
      <c r="L1" s="98"/>
      <c r="M1" s="98"/>
    </row>
    <row r="2" spans="1:19" ht="14.25">
      <c r="A2" s="110" t="s">
        <v>82</v>
      </c>
      <c r="B2" s="110"/>
      <c r="C2" s="110"/>
      <c r="D2" s="110"/>
      <c r="E2" s="110"/>
      <c r="F2" s="92"/>
      <c r="G2" s="94"/>
      <c r="H2" s="110" t="s">
        <v>82</v>
      </c>
      <c r="I2" s="110"/>
      <c r="J2" s="110"/>
      <c r="K2" s="110"/>
      <c r="L2" s="110"/>
      <c r="M2" s="92"/>
    </row>
    <row r="3" spans="1:19" ht="14.25" customHeight="1">
      <c r="A3" s="109" t="s">
        <v>94</v>
      </c>
      <c r="B3" s="109"/>
      <c r="C3" s="109"/>
      <c r="D3" s="109"/>
      <c r="E3" s="109"/>
      <c r="F3" s="92"/>
      <c r="G3" s="94"/>
      <c r="H3" s="109" t="s">
        <v>94</v>
      </c>
      <c r="I3" s="109"/>
      <c r="J3" s="109"/>
      <c r="K3" s="109"/>
      <c r="L3" s="109"/>
      <c r="M3" s="92"/>
    </row>
    <row r="4" spans="1:19" s="6" customFormat="1" ht="11.1" customHeight="1">
      <c r="A4" s="87"/>
      <c r="B4" s="87"/>
      <c r="C4" s="87"/>
      <c r="D4" s="22"/>
      <c r="E4" s="87"/>
      <c r="F4" s="87"/>
      <c r="G4" s="95"/>
      <c r="H4" s="87"/>
      <c r="I4" s="87"/>
      <c r="J4" s="87"/>
      <c r="K4" s="22"/>
      <c r="L4" s="87"/>
      <c r="M4" s="87"/>
    </row>
    <row r="5" spans="1:19" s="6" customFormat="1" ht="11.1" customHeight="1">
      <c r="B5" s="107"/>
      <c r="C5" s="107"/>
      <c r="D5" s="107"/>
      <c r="E5" s="107" t="str">
        <f>VLOOKUP(VLOOKUP(A1,'01.2012'!$B$2:$AB$57,2,0),'01.2012'!$C$2:$E$57,3,0)</f>
        <v>УПРАВЛЕНИЕ</v>
      </c>
      <c r="F5" s="87"/>
      <c r="G5" s="95"/>
      <c r="I5" s="123"/>
      <c r="J5" s="123"/>
      <c r="K5" s="123"/>
      <c r="L5" s="123" t="str">
        <f>VLOOKUP(VLOOKUP(H1,'01.2012'!$B$2:$AB$57,2,0),'01.2012'!$C$2:$E$57,3,0)</f>
        <v>УПРАВЛЕНИЕ</v>
      </c>
      <c r="M5" s="87"/>
      <c r="N5" s="144" t="s">
        <v>93</v>
      </c>
      <c r="O5" s="144"/>
      <c r="P5" s="144"/>
    </row>
    <row r="6" spans="1:19" ht="12.75" customHeight="1">
      <c r="A6" s="104" t="s">
        <v>83</v>
      </c>
      <c r="B6" s="104"/>
      <c r="D6" s="105"/>
      <c r="E6" s="105" t="str">
        <f>VLOOKUP(A1,'01.2012'!$B$2:$AB$57,4,0)</f>
        <v>Наимов Сафар</v>
      </c>
      <c r="F6" s="89"/>
      <c r="G6" s="96"/>
      <c r="H6" s="124" t="s">
        <v>83</v>
      </c>
      <c r="I6" s="124"/>
      <c r="K6" s="125"/>
      <c r="L6" s="125" t="str">
        <f>VLOOKUP(H1,'01.2012'!$B$2:$AB$57,4,0)</f>
        <v>Муратов Акбар</v>
      </c>
      <c r="M6" s="89"/>
      <c r="N6" s="144"/>
      <c r="O6" s="144"/>
      <c r="P6" s="144"/>
    </row>
    <row r="7" spans="1:19" ht="18.75" customHeight="1">
      <c r="A7" s="93" t="s">
        <v>44</v>
      </c>
      <c r="C7" s="106"/>
      <c r="D7" s="106"/>
      <c r="E7" s="106" t="str">
        <f>VLOOKUP(A1,'01.2012'!$B$2:$AB$57,5,0)</f>
        <v>ректор</v>
      </c>
      <c r="F7" s="89"/>
      <c r="G7" s="96"/>
      <c r="H7" s="93" t="s">
        <v>44</v>
      </c>
      <c r="J7" s="126"/>
      <c r="K7" s="126"/>
      <c r="L7" s="126" t="str">
        <f>VLOOKUP(H1,'01.2012'!$B$2:$AB$57,5,0)</f>
        <v>зам.рек.по НЧ</v>
      </c>
      <c r="M7" s="89"/>
      <c r="N7" s="145"/>
      <c r="O7" s="145"/>
      <c r="P7" s="145"/>
    </row>
    <row r="8" spans="1:19" ht="39.75">
      <c r="A8" s="127" t="s">
        <v>105</v>
      </c>
      <c r="B8" s="128" t="s">
        <v>84</v>
      </c>
      <c r="C8" s="132" t="s">
        <v>85</v>
      </c>
      <c r="D8" s="128" t="s">
        <v>102</v>
      </c>
      <c r="E8" s="136" t="s">
        <v>106</v>
      </c>
      <c r="F8" s="6"/>
      <c r="G8" s="97"/>
      <c r="H8" s="127" t="s">
        <v>105</v>
      </c>
      <c r="I8" s="128" t="s">
        <v>84</v>
      </c>
      <c r="J8" s="132" t="s">
        <v>85</v>
      </c>
      <c r="K8" s="128" t="s">
        <v>102</v>
      </c>
      <c r="L8" s="135"/>
      <c r="M8" s="6"/>
      <c r="N8" s="130" t="s">
        <v>84</v>
      </c>
      <c r="O8" s="131" t="s">
        <v>85</v>
      </c>
      <c r="P8" s="130" t="s">
        <v>104</v>
      </c>
    </row>
    <row r="9" spans="1:19" ht="21">
      <c r="A9" s="99">
        <f>IF(VLOOKUP(A1,'01.2012'!$B$2:$AB$57,7,0)&lt;1,-VLOOKUP(A1,'01.2012'!$B$2:$AB$57,6,0),VLOOKUP(A1,'01.2012'!$B$2:$AB$57,7,0))</f>
        <v>0</v>
      </c>
      <c r="B9" s="90">
        <f>VLOOKUP(A1,'01.2012'!$B$2:$AB$57,14,0)</f>
        <v>235.3</v>
      </c>
      <c r="C9" s="91">
        <f>VLOOKUP(A1,'01.2012'!$B$2:$AB$57,25,0)</f>
        <v>26.78</v>
      </c>
      <c r="D9" s="90">
        <f>VLOOKUP(A1,'01.2012'!$B$2:$AB$57,27,0)</f>
        <v>208.52</v>
      </c>
      <c r="E9" s="137" t="s">
        <v>106</v>
      </c>
      <c r="F9" s="6"/>
      <c r="G9" s="97"/>
      <c r="H9" s="99">
        <f>IF(VLOOKUP(H1,'01.2012'!$B$2:$AB$57,7,0)&lt;1,-VLOOKUP(H1,'01.2012'!$B$2:$AB$57,6,0),VLOOKUP(H1,'01.2012'!$B$2:$AB$57,7,0))</f>
        <v>0</v>
      </c>
      <c r="I9" s="90">
        <f>VLOOKUP(H1,'01.2012'!$B$2:$AB$57,14,0)</f>
        <v>242.94</v>
      </c>
      <c r="J9" s="91">
        <f>VLOOKUP(H1,'01.2012'!$B$2:$AB$57,25,0)</f>
        <v>27.93</v>
      </c>
      <c r="K9" s="90">
        <f>VLOOKUP(H1,'01.2012'!$B$2:$AB$57,27,0)</f>
        <v>215.01</v>
      </c>
      <c r="L9" s="129"/>
      <c r="M9" s="6"/>
      <c r="N9" s="133">
        <f t="array" ref="N9">SUM(IF(ISNUMBER(B$1:B$500),B$1:B$500),IF(ISNUMBER(I$1:I$500),I$1:I$500))</f>
        <v>3963.1400000000003</v>
      </c>
      <c r="O9" s="133">
        <f t="array" ref="O9">SUM(IF(ISNUMBER(C$1:C$500),C$1:C$500),IF(ISNUMBER(J$1:J$500),J$1:J$500))</f>
        <v>352.67999999999995</v>
      </c>
      <c r="P9" s="133">
        <f t="array" ref="P9">SUM(IF(ISNUMBER(D$1:D$500),D$1:D$500),IF(ISNUMBER(K$1:K$500),K$1:K$500))</f>
        <v>3610.4599999999991</v>
      </c>
      <c r="Q9" s="146" t="s">
        <v>86</v>
      </c>
      <c r="R9" s="147"/>
    </row>
    <row r="10" spans="1:19">
      <c r="A10" s="6"/>
      <c r="B10" s="6"/>
      <c r="C10" s="6"/>
      <c r="E10" s="88"/>
      <c r="F10" s="6"/>
      <c r="G10" s="97"/>
      <c r="L10" s="88"/>
      <c r="M10" s="6"/>
      <c r="N10" s="134">
        <f>SUM('01.2012'!$O$2:$O$57)/2</f>
        <v>3963.1400000000008</v>
      </c>
      <c r="O10" s="134">
        <f>SUM('01.2012'!$Z$2:$Z$57)/2</f>
        <v>352.67999999999995</v>
      </c>
      <c r="P10" s="134">
        <f>SUM('01.2012'!$AB$2:$AB$57)/2</f>
        <v>3610.4599999999996</v>
      </c>
      <c r="Q10" s="146" t="s">
        <v>87</v>
      </c>
      <c r="R10" s="147"/>
      <c r="S10" s="6"/>
    </row>
    <row r="11" spans="1:19">
      <c r="A11" s="102" t="s">
        <v>89</v>
      </c>
      <c r="B11" s="102"/>
      <c r="C11" s="6"/>
      <c r="E11" s="6"/>
      <c r="F11" s="6"/>
      <c r="G11" s="97"/>
      <c r="H11" s="121" t="s">
        <v>89</v>
      </c>
      <c r="I11" s="121"/>
      <c r="M11" s="6"/>
      <c r="N11" s="134">
        <f>N9-N10</f>
        <v>0</v>
      </c>
      <c r="O11" s="134">
        <f t="shared" ref="O11:P11" si="0">O9-O10</f>
        <v>0</v>
      </c>
      <c r="P11" s="134">
        <f t="shared" si="0"/>
        <v>0</v>
      </c>
      <c r="Q11" s="146" t="s">
        <v>88</v>
      </c>
      <c r="R11" s="147"/>
      <c r="S11" s="6"/>
    </row>
    <row r="12" spans="1:19" ht="17.25" customHeight="1">
      <c r="A12" s="103" t="s">
        <v>90</v>
      </c>
      <c r="B12" s="103"/>
      <c r="C12" s="6"/>
      <c r="E12" s="6"/>
      <c r="F12" s="6"/>
      <c r="G12" s="97"/>
      <c r="H12" s="122" t="s">
        <v>90</v>
      </c>
      <c r="I12" s="122"/>
      <c r="M12" s="6"/>
      <c r="P12" s="88"/>
    </row>
    <row r="13" spans="1:19">
      <c r="A13" s="108">
        <f t="shared" ref="A13" si="1">INT((ROW()-1)/12)*2+1+(COLUMN()&gt;6)</f>
        <v>3</v>
      </c>
      <c r="B13" s="138"/>
      <c r="C13" s="138"/>
      <c r="D13" s="139"/>
      <c r="E13" s="138"/>
      <c r="F13" s="138"/>
      <c r="G13" s="140"/>
      <c r="H13" s="108">
        <f t="shared" ref="H13" si="2">INT((ROW()-1)/12)*2+1+(COLUMN()&gt;6)</f>
        <v>4</v>
      </c>
      <c r="I13" s="98"/>
      <c r="J13" s="98"/>
      <c r="K13" s="100"/>
      <c r="L13" s="98"/>
      <c r="M13" s="6"/>
      <c r="P13" s="88"/>
    </row>
    <row r="14" spans="1:19" ht="14.25">
      <c r="A14" s="110" t="s">
        <v>82</v>
      </c>
      <c r="B14" s="110"/>
      <c r="C14" s="110"/>
      <c r="D14" s="110"/>
      <c r="E14" s="110"/>
      <c r="F14" s="92"/>
      <c r="G14" s="94"/>
      <c r="H14" s="110" t="s">
        <v>82</v>
      </c>
      <c r="I14" s="110"/>
      <c r="J14" s="110"/>
      <c r="K14" s="110"/>
      <c r="L14" s="110"/>
    </row>
    <row r="15" spans="1:19" ht="14.25">
      <c r="A15" s="109" t="s">
        <v>94</v>
      </c>
      <c r="B15" s="109"/>
      <c r="C15" s="109"/>
      <c r="D15" s="109"/>
      <c r="E15" s="109"/>
      <c r="F15" s="92"/>
      <c r="G15" s="94"/>
      <c r="H15" s="109" t="s">
        <v>94</v>
      </c>
      <c r="I15" s="109"/>
      <c r="J15" s="109"/>
      <c r="K15" s="109"/>
      <c r="L15" s="109"/>
    </row>
    <row r="16" spans="1:19">
      <c r="A16" s="87"/>
      <c r="B16" s="87"/>
      <c r="C16" s="87"/>
      <c r="D16" s="22"/>
      <c r="E16" s="87"/>
      <c r="F16" s="87"/>
      <c r="G16" s="95"/>
      <c r="H16" s="87"/>
      <c r="I16" s="87"/>
      <c r="J16" s="87"/>
      <c r="K16" s="22"/>
      <c r="L16" s="87"/>
    </row>
    <row r="17" spans="1:12">
      <c r="A17" s="6"/>
      <c r="B17" s="123"/>
      <c r="C17" s="123"/>
      <c r="D17" s="123"/>
      <c r="E17" s="123" t="str">
        <f>VLOOKUP(VLOOKUP(A13,'01.2012'!$B$2:$AB$57,2,0),'01.2012'!$C$2:$E$57,3,0)</f>
        <v>УПРАВЛЕНИЕ</v>
      </c>
      <c r="F17" s="87"/>
      <c r="G17" s="95"/>
      <c r="I17" s="123"/>
      <c r="J17" s="123"/>
      <c r="K17" s="123"/>
      <c r="L17" s="123" t="str">
        <f>VLOOKUP(VLOOKUP(H13,'01.2012'!$B$2:$AB$57,2,0),'01.2012'!$C$2:$E$57,3,0)</f>
        <v>УПРАВЛЕНИЕ</v>
      </c>
    </row>
    <row r="18" spans="1:12">
      <c r="A18" s="124" t="s">
        <v>83</v>
      </c>
      <c r="B18" s="124"/>
      <c r="C18" s="6"/>
      <c r="D18" s="125"/>
      <c r="E18" s="125" t="str">
        <f>VLOOKUP(A13,'01.2012'!$B$2:$AB$57,4,0)</f>
        <v>Сафаров Собир</v>
      </c>
      <c r="F18" s="89"/>
      <c r="G18" s="96"/>
      <c r="H18" s="124" t="s">
        <v>83</v>
      </c>
      <c r="I18" s="124"/>
      <c r="K18" s="125"/>
      <c r="L18" s="125" t="str">
        <f>VLOOKUP(H13,'01.2012'!$B$2:$AB$57,4,0)</f>
        <v>Сабуров Хотам</v>
      </c>
    </row>
    <row r="19" spans="1:12">
      <c r="A19" s="93" t="s">
        <v>44</v>
      </c>
      <c r="B19" s="6"/>
      <c r="C19" s="126"/>
      <c r="D19" s="126"/>
      <c r="E19" s="126" t="str">
        <f>VLOOKUP(A13,'01.2012'!$B$2:$AB$57,5,0)</f>
        <v>зам.рек по восп.</v>
      </c>
      <c r="F19" s="89"/>
      <c r="G19" s="96"/>
      <c r="H19" s="93" t="s">
        <v>44</v>
      </c>
      <c r="J19" s="126"/>
      <c r="K19" s="126"/>
      <c r="L19" s="126" t="str">
        <f>VLOOKUP(H13,'01.2012'!$B$2:$AB$57,5,0)</f>
        <v>зам.рек.по экон.</v>
      </c>
    </row>
    <row r="20" spans="1:12" ht="39.75">
      <c r="A20" s="127" t="s">
        <v>105</v>
      </c>
      <c r="B20" s="128" t="s">
        <v>84</v>
      </c>
      <c r="C20" s="132" t="s">
        <v>85</v>
      </c>
      <c r="D20" s="128" t="s">
        <v>102</v>
      </c>
      <c r="E20" s="136" t="s">
        <v>106</v>
      </c>
      <c r="F20" s="6"/>
      <c r="G20" s="97"/>
      <c r="H20" s="127" t="s">
        <v>105</v>
      </c>
      <c r="I20" s="128" t="s">
        <v>84</v>
      </c>
      <c r="J20" s="132" t="s">
        <v>85</v>
      </c>
      <c r="K20" s="128" t="s">
        <v>102</v>
      </c>
      <c r="L20" s="135"/>
    </row>
    <row r="21" spans="1:12" ht="21">
      <c r="A21" s="99">
        <f>IF(VLOOKUP(A13,'01.2012'!$B$2:$AB$57,7,0)&lt;1,-VLOOKUP(A13,'01.2012'!$B$2:$AB$57,6,0),VLOOKUP(A13,'01.2012'!$B$2:$AB$57,7,0))</f>
        <v>0</v>
      </c>
      <c r="B21" s="90">
        <f>VLOOKUP(A13,'01.2012'!$B$2:$AB$57,14,0)</f>
        <v>197.4</v>
      </c>
      <c r="C21" s="91">
        <f>VLOOKUP(A13,'01.2012'!$B$2:$AB$57,25,0)</f>
        <v>21.15</v>
      </c>
      <c r="D21" s="90">
        <f>VLOOKUP(A13,'01.2012'!$B$2:$AB$57,27,0)</f>
        <v>176.25</v>
      </c>
      <c r="E21" s="137" t="s">
        <v>106</v>
      </c>
      <c r="F21" s="6"/>
      <c r="G21" s="97"/>
      <c r="H21" s="99">
        <f>IF(VLOOKUP(H13,'01.2012'!$B$2:$AB$57,7,0)&lt;1,-VLOOKUP(H13,'01.2012'!$B$2:$AB$57,6,0),VLOOKUP(H13,'01.2012'!$B$2:$AB$57,7,0))</f>
        <v>0</v>
      </c>
      <c r="I21" s="90">
        <f>VLOOKUP(H13,'01.2012'!$B$2:$AB$57,14,0)</f>
        <v>242.94</v>
      </c>
      <c r="J21" s="91">
        <f>VLOOKUP(H13,'01.2012'!$B$2:$AB$57,25,0)</f>
        <v>27.93</v>
      </c>
      <c r="K21" s="90">
        <f>VLOOKUP(H13,'01.2012'!$B$2:$AB$57,27,0)</f>
        <v>215.01</v>
      </c>
      <c r="L21" s="129"/>
    </row>
    <row r="22" spans="1:12">
      <c r="A22" s="6"/>
      <c r="B22" s="6"/>
      <c r="C22" s="6"/>
      <c r="E22" s="88"/>
      <c r="F22" s="6"/>
      <c r="G22" s="97"/>
      <c r="L22" s="88"/>
    </row>
    <row r="23" spans="1:12">
      <c r="A23" s="121" t="s">
        <v>89</v>
      </c>
      <c r="B23" s="121"/>
      <c r="C23" s="6"/>
      <c r="E23" s="6"/>
      <c r="F23" s="6"/>
      <c r="G23" s="97"/>
      <c r="H23" s="121" t="s">
        <v>89</v>
      </c>
      <c r="I23" s="121"/>
    </row>
    <row r="24" spans="1:12">
      <c r="A24" s="122" t="s">
        <v>90</v>
      </c>
      <c r="B24" s="122"/>
      <c r="C24" s="6"/>
      <c r="E24" s="6"/>
      <c r="F24" s="6"/>
      <c r="G24" s="97"/>
      <c r="H24" s="122" t="s">
        <v>90</v>
      </c>
      <c r="I24" s="122"/>
    </row>
    <row r="25" spans="1:12">
      <c r="A25" s="108">
        <f t="shared" ref="A25" si="3">INT((ROW()-1)/12)*2+1+(COLUMN()&gt;6)</f>
        <v>5</v>
      </c>
      <c r="B25" s="138"/>
      <c r="C25" s="138"/>
      <c r="D25" s="139"/>
      <c r="E25" s="138"/>
      <c r="F25" s="138"/>
      <c r="G25" s="140"/>
      <c r="H25" s="108">
        <f t="shared" ref="H25" si="4">INT((ROW()-1)/12)*2+1+(COLUMN()&gt;6)</f>
        <v>6</v>
      </c>
      <c r="I25" s="98"/>
      <c r="J25" s="98"/>
      <c r="K25" s="100"/>
      <c r="L25" s="98"/>
    </row>
    <row r="26" spans="1:12" ht="14.25">
      <c r="A26" s="110" t="s">
        <v>82</v>
      </c>
      <c r="B26" s="110"/>
      <c r="C26" s="110"/>
      <c r="D26" s="110"/>
      <c r="E26" s="110"/>
      <c r="F26" s="92"/>
      <c r="G26" s="94"/>
      <c r="H26" s="110" t="s">
        <v>82</v>
      </c>
      <c r="I26" s="110"/>
      <c r="J26" s="110"/>
      <c r="K26" s="110"/>
      <c r="L26" s="110"/>
    </row>
    <row r="27" spans="1:12" ht="14.25">
      <c r="A27" s="109" t="s">
        <v>94</v>
      </c>
      <c r="B27" s="109"/>
      <c r="C27" s="109"/>
      <c r="D27" s="109"/>
      <c r="E27" s="109"/>
      <c r="F27" s="92"/>
      <c r="G27" s="94"/>
      <c r="H27" s="109" t="s">
        <v>94</v>
      </c>
      <c r="I27" s="109"/>
      <c r="J27" s="109"/>
      <c r="K27" s="109"/>
      <c r="L27" s="109"/>
    </row>
    <row r="28" spans="1:12">
      <c r="A28" s="87"/>
      <c r="B28" s="87"/>
      <c r="C28" s="87"/>
      <c r="D28" s="22"/>
      <c r="E28" s="87"/>
      <c r="F28" s="87"/>
      <c r="G28" s="95"/>
      <c r="H28" s="87"/>
      <c r="I28" s="87"/>
      <c r="J28" s="87"/>
      <c r="K28" s="22"/>
      <c r="L28" s="87"/>
    </row>
    <row r="29" spans="1:12">
      <c r="A29" s="6"/>
      <c r="B29" s="123"/>
      <c r="C29" s="123"/>
      <c r="D29" s="123"/>
      <c r="E29" s="123" t="str">
        <f>VLOOKUP(VLOOKUP(A25,'01.2012'!$B$2:$AB$57,2,0),'01.2012'!$C$2:$E$57,3,0)</f>
        <v>УПРАВЛЕНИЕ</v>
      </c>
      <c r="F29" s="87"/>
      <c r="G29" s="95"/>
      <c r="I29" s="123"/>
      <c r="J29" s="123"/>
      <c r="K29" s="123"/>
      <c r="L29" s="123" t="str">
        <f>VLOOKUP(VLOOKUP(H25,'01.2012'!$B$2:$AB$57,2,0),'01.2012'!$C$2:$E$57,3,0)</f>
        <v>УПРАВЛЕНИЕ</v>
      </c>
    </row>
    <row r="30" spans="1:12">
      <c r="A30" s="124" t="s">
        <v>83</v>
      </c>
      <c r="B30" s="124"/>
      <c r="C30" s="6"/>
      <c r="D30" s="125"/>
      <c r="E30" s="125" t="str">
        <f>VLOOKUP(A25,'01.2012'!$B$2:$AB$57,4,0)</f>
        <v>Саидов Абдуманон</v>
      </c>
      <c r="F30" s="89"/>
      <c r="G30" s="96"/>
      <c r="H30" s="124" t="s">
        <v>83</v>
      </c>
      <c r="I30" s="124"/>
      <c r="K30" s="125"/>
      <c r="L30" s="125" t="str">
        <f>VLOOKUP(H25,'01.2012'!$B$2:$AB$57,4,0)</f>
        <v>Матинов Холиддин</v>
      </c>
    </row>
    <row r="31" spans="1:12">
      <c r="A31" s="93" t="s">
        <v>44</v>
      </c>
      <c r="B31" s="6"/>
      <c r="C31" s="126"/>
      <c r="D31" s="126"/>
      <c r="E31" s="126" t="str">
        <f>VLOOKUP(A25,'01.2012'!$B$2:$AB$57,5,0)</f>
        <v>советник</v>
      </c>
      <c r="F31" s="89"/>
      <c r="G31" s="96"/>
      <c r="H31" s="93" t="s">
        <v>44</v>
      </c>
      <c r="J31" s="126"/>
      <c r="K31" s="126"/>
      <c r="L31" s="126" t="str">
        <f>VLOOKUP(H25,'01.2012'!$B$2:$AB$57,5,0)</f>
        <v>пред.молод.</v>
      </c>
    </row>
    <row r="32" spans="1:12" ht="39.75">
      <c r="A32" s="127" t="s">
        <v>105</v>
      </c>
      <c r="B32" s="128" t="s">
        <v>84</v>
      </c>
      <c r="C32" s="132" t="s">
        <v>85</v>
      </c>
      <c r="D32" s="128" t="s">
        <v>102</v>
      </c>
      <c r="E32" s="136" t="s">
        <v>106</v>
      </c>
      <c r="F32" s="6"/>
      <c r="G32" s="97"/>
      <c r="H32" s="127" t="s">
        <v>105</v>
      </c>
      <c r="I32" s="128" t="s">
        <v>84</v>
      </c>
      <c r="J32" s="132" t="s">
        <v>85</v>
      </c>
      <c r="K32" s="128" t="s">
        <v>102</v>
      </c>
      <c r="L32" s="135"/>
    </row>
    <row r="33" spans="1:12" ht="21">
      <c r="A33" s="99">
        <f>IF(VLOOKUP(A25,'01.2012'!$B$2:$AB$57,7,0)&lt;1,-VLOOKUP(A25,'01.2012'!$B$2:$AB$57,6,0),VLOOKUP(A25,'01.2012'!$B$2:$AB$57,7,0))</f>
        <v>0</v>
      </c>
      <c r="B33" s="90">
        <f>VLOOKUP(A25,'01.2012'!$B$2:$AB$57,14,0)</f>
        <v>98.67</v>
      </c>
      <c r="C33" s="91">
        <f>VLOOKUP(A25,'01.2012'!$B$2:$AB$57,25,0)</f>
        <v>6.5900000000000007</v>
      </c>
      <c r="D33" s="90">
        <f>VLOOKUP(A25,'01.2012'!$B$2:$AB$57,27,0)</f>
        <v>92.08</v>
      </c>
      <c r="E33" s="137" t="s">
        <v>106</v>
      </c>
      <c r="F33" s="6"/>
      <c r="G33" s="97"/>
      <c r="H33" s="99">
        <f>IF(VLOOKUP(H25,'01.2012'!$B$2:$AB$57,7,0)&lt;1,-VLOOKUP(H25,'01.2012'!$B$2:$AB$57,6,0),VLOOKUP(H25,'01.2012'!$B$2:$AB$57,7,0))</f>
        <v>0</v>
      </c>
      <c r="I33" s="90">
        <f>VLOOKUP(H25,'01.2012'!$B$2:$AB$57,14,0)</f>
        <v>79</v>
      </c>
      <c r="J33" s="91">
        <f>VLOOKUP(H25,'01.2012'!$B$2:$AB$57,25,0)</f>
        <v>4.6400000000000006</v>
      </c>
      <c r="K33" s="90">
        <f>VLOOKUP(H25,'01.2012'!$B$2:$AB$57,27,0)</f>
        <v>74.36</v>
      </c>
      <c r="L33" s="129"/>
    </row>
    <row r="34" spans="1:12">
      <c r="A34" s="6"/>
      <c r="B34" s="6"/>
      <c r="C34" s="6"/>
      <c r="E34" s="88"/>
      <c r="F34" s="6"/>
      <c r="G34" s="97"/>
      <c r="L34" s="88"/>
    </row>
    <row r="35" spans="1:12">
      <c r="A35" s="121" t="s">
        <v>89</v>
      </c>
      <c r="B35" s="121"/>
      <c r="C35" s="6"/>
      <c r="E35" s="6"/>
      <c r="F35" s="6"/>
      <c r="G35" s="97"/>
      <c r="H35" s="121" t="s">
        <v>89</v>
      </c>
      <c r="I35" s="121"/>
    </row>
    <row r="36" spans="1:12">
      <c r="A36" s="122" t="s">
        <v>90</v>
      </c>
      <c r="B36" s="122"/>
      <c r="C36" s="6"/>
      <c r="E36" s="6"/>
      <c r="F36" s="6"/>
      <c r="G36" s="97"/>
      <c r="H36" s="122" t="s">
        <v>90</v>
      </c>
      <c r="I36" s="122"/>
    </row>
    <row r="37" spans="1:12">
      <c r="A37" s="108">
        <f t="shared" ref="A37" si="5">INT((ROW()-1)/12)*2+1+(COLUMN()&gt;6)</f>
        <v>7</v>
      </c>
      <c r="B37" s="138"/>
      <c r="C37" s="138"/>
      <c r="D37" s="139"/>
      <c r="E37" s="138"/>
      <c r="F37" s="138"/>
      <c r="G37" s="140"/>
      <c r="H37" s="108">
        <f t="shared" ref="H37" si="6">INT((ROW()-1)/12)*2+1+(COLUMN()&gt;6)</f>
        <v>8</v>
      </c>
      <c r="I37" s="98"/>
      <c r="J37" s="98"/>
      <c r="K37" s="100"/>
      <c r="L37" s="98"/>
    </row>
    <row r="38" spans="1:12" ht="14.25">
      <c r="A38" s="110" t="s">
        <v>82</v>
      </c>
      <c r="B38" s="110"/>
      <c r="C38" s="110"/>
      <c r="D38" s="110"/>
      <c r="E38" s="110"/>
      <c r="F38" s="92"/>
      <c r="G38" s="94"/>
      <c r="H38" s="110" t="s">
        <v>82</v>
      </c>
      <c r="I38" s="110"/>
      <c r="J38" s="110"/>
      <c r="K38" s="110"/>
      <c r="L38" s="110"/>
    </row>
    <row r="39" spans="1:12" ht="14.25">
      <c r="A39" s="109" t="s">
        <v>94</v>
      </c>
      <c r="B39" s="109"/>
      <c r="C39" s="109"/>
      <c r="D39" s="109"/>
      <c r="E39" s="109"/>
      <c r="F39" s="92"/>
      <c r="G39" s="94"/>
      <c r="H39" s="109" t="s">
        <v>94</v>
      </c>
      <c r="I39" s="109"/>
      <c r="J39" s="109"/>
      <c r="K39" s="109"/>
      <c r="L39" s="109"/>
    </row>
    <row r="40" spans="1:12">
      <c r="A40" s="87"/>
      <c r="B40" s="87"/>
      <c r="C40" s="87"/>
      <c r="D40" s="22"/>
      <c r="E40" s="87"/>
      <c r="F40" s="87"/>
      <c r="G40" s="95"/>
      <c r="H40" s="87"/>
      <c r="I40" s="87"/>
      <c r="J40" s="87"/>
      <c r="K40" s="22"/>
      <c r="L40" s="87"/>
    </row>
    <row r="41" spans="1:12">
      <c r="A41" s="6"/>
      <c r="B41" s="123"/>
      <c r="C41" s="123"/>
      <c r="D41" s="123"/>
      <c r="E41" s="123" t="str">
        <f>VLOOKUP(VLOOKUP(A37,'01.2012'!$B$2:$AB$57,2,0),'01.2012'!$C$2:$E$57,3,0)</f>
        <v>УПРАВЛЕНИЕ</v>
      </c>
      <c r="F41" s="87"/>
      <c r="G41" s="95"/>
      <c r="I41" s="123"/>
      <c r="J41" s="123"/>
      <c r="K41" s="123"/>
      <c r="L41" s="123" t="str">
        <f>VLOOKUP(VLOOKUP(H37,'01.2012'!$B$2:$AB$57,2,0),'01.2012'!$C$2:$E$57,3,0)</f>
        <v>УПРАВЛЕНИЕ</v>
      </c>
    </row>
    <row r="42" spans="1:12">
      <c r="A42" s="124" t="s">
        <v>83</v>
      </c>
      <c r="B42" s="124"/>
      <c r="C42" s="6"/>
      <c r="D42" s="125"/>
      <c r="E42" s="125" t="str">
        <f>VLOOKUP(A37,'01.2012'!$B$2:$AB$57,4,0)</f>
        <v>Наботов Насим</v>
      </c>
      <c r="F42" s="89"/>
      <c r="G42" s="96"/>
      <c r="H42" s="124" t="s">
        <v>83</v>
      </c>
      <c r="I42" s="124"/>
      <c r="K42" s="125"/>
      <c r="L42" s="125" t="str">
        <f>VLOOKUP(H37,'01.2012'!$B$2:$AB$57,4,0)</f>
        <v>Нуриддинов А</v>
      </c>
    </row>
    <row r="43" spans="1:12">
      <c r="A43" s="93" t="s">
        <v>44</v>
      </c>
      <c r="B43" s="6"/>
      <c r="C43" s="126"/>
      <c r="D43" s="126"/>
      <c r="E43" s="126" t="str">
        <f>VLOOKUP(A37,'01.2012'!$B$2:$AB$57,5,0)</f>
        <v>секретарь</v>
      </c>
      <c r="F43" s="89"/>
      <c r="G43" s="96"/>
      <c r="H43" s="93" t="s">
        <v>44</v>
      </c>
      <c r="J43" s="126"/>
      <c r="K43" s="126"/>
      <c r="L43" s="126" t="str">
        <f>VLOOKUP(H37,'01.2012'!$B$2:$AB$57,5,0)</f>
        <v>секретарь</v>
      </c>
    </row>
    <row r="44" spans="1:12" ht="39.75">
      <c r="A44" s="127" t="s">
        <v>105</v>
      </c>
      <c r="B44" s="128" t="s">
        <v>84</v>
      </c>
      <c r="C44" s="132" t="s">
        <v>85</v>
      </c>
      <c r="D44" s="128" t="s">
        <v>102</v>
      </c>
      <c r="E44" s="136" t="s">
        <v>106</v>
      </c>
      <c r="F44" s="6"/>
      <c r="G44" s="97"/>
      <c r="H44" s="127" t="s">
        <v>105</v>
      </c>
      <c r="I44" s="128" t="s">
        <v>84</v>
      </c>
      <c r="J44" s="132" t="s">
        <v>85</v>
      </c>
      <c r="K44" s="128" t="s">
        <v>102</v>
      </c>
      <c r="L44" s="135"/>
    </row>
    <row r="45" spans="1:12" ht="21">
      <c r="A45" s="99">
        <f>IF(VLOOKUP(A37,'01.2012'!$B$2:$AB$57,7,0)&lt;1,-VLOOKUP(A37,'01.2012'!$B$2:$AB$57,6,0),VLOOKUP(A37,'01.2012'!$B$2:$AB$57,7,0))</f>
        <v>0</v>
      </c>
      <c r="B45" s="90">
        <f>VLOOKUP(A37,'01.2012'!$B$2:$AB$57,14,0)</f>
        <v>104</v>
      </c>
      <c r="C45" s="91">
        <f>VLOOKUP(A37,'01.2012'!$B$2:$AB$57,25,0)</f>
        <v>7.26</v>
      </c>
      <c r="D45" s="90">
        <f>VLOOKUP(A37,'01.2012'!$B$2:$AB$57,27,0)</f>
        <v>96.74</v>
      </c>
      <c r="E45" s="137" t="s">
        <v>106</v>
      </c>
      <c r="F45" s="6"/>
      <c r="G45" s="97"/>
      <c r="H45" s="99">
        <f>IF(VLOOKUP(H37,'01.2012'!$B$2:$AB$57,7,0)&lt;1,-VLOOKUP(H37,'01.2012'!$B$2:$AB$57,6,0),VLOOKUP(H37,'01.2012'!$B$2:$AB$57,7,0))</f>
        <v>0</v>
      </c>
      <c r="I45" s="90">
        <f>VLOOKUP(H37,'01.2012'!$B$2:$AB$57,14,0)</f>
        <v>104</v>
      </c>
      <c r="J45" s="91">
        <f>VLOOKUP(H37,'01.2012'!$B$2:$AB$57,25,0)</f>
        <v>7.26</v>
      </c>
      <c r="K45" s="90">
        <f>VLOOKUP(H37,'01.2012'!$B$2:$AB$57,27,0)</f>
        <v>96.74</v>
      </c>
      <c r="L45" s="129"/>
    </row>
    <row r="46" spans="1:12">
      <c r="A46" s="6"/>
      <c r="B46" s="6"/>
      <c r="C46" s="6"/>
      <c r="E46" s="88"/>
      <c r="F46" s="6"/>
      <c r="G46" s="97"/>
      <c r="L46" s="88"/>
    </row>
    <row r="47" spans="1:12">
      <c r="A47" s="121" t="s">
        <v>89</v>
      </c>
      <c r="B47" s="121"/>
      <c r="C47" s="6"/>
      <c r="E47" s="6"/>
      <c r="F47" s="6"/>
      <c r="G47" s="97"/>
      <c r="H47" s="121" t="s">
        <v>89</v>
      </c>
      <c r="I47" s="121"/>
    </row>
    <row r="48" spans="1:12">
      <c r="A48" s="122" t="s">
        <v>90</v>
      </c>
      <c r="B48" s="122"/>
      <c r="C48" s="6"/>
      <c r="E48" s="6"/>
      <c r="F48" s="6"/>
      <c r="G48" s="97"/>
      <c r="H48" s="122" t="s">
        <v>90</v>
      </c>
      <c r="I48" s="122"/>
    </row>
    <row r="49" spans="1:12">
      <c r="A49" s="108">
        <f t="shared" ref="A49" si="7">INT((ROW()-1)/12)*2+1+(COLUMN()&gt;6)</f>
        <v>9</v>
      </c>
      <c r="B49" s="138"/>
      <c r="C49" s="138"/>
      <c r="D49" s="139"/>
      <c r="E49" s="138"/>
      <c r="F49" s="138"/>
      <c r="G49" s="140"/>
      <c r="H49" s="108">
        <f t="shared" ref="H49" si="8">INT((ROW()-1)/12)*2+1+(COLUMN()&gt;6)</f>
        <v>10</v>
      </c>
      <c r="I49" s="98"/>
      <c r="J49" s="98"/>
      <c r="K49" s="100"/>
      <c r="L49" s="98"/>
    </row>
    <row r="50" spans="1:12" ht="14.25">
      <c r="A50" s="110" t="s">
        <v>82</v>
      </c>
      <c r="B50" s="110"/>
      <c r="C50" s="110"/>
      <c r="D50" s="110"/>
      <c r="E50" s="110"/>
      <c r="F50" s="92"/>
      <c r="G50" s="94"/>
      <c r="H50" s="110" t="s">
        <v>82</v>
      </c>
      <c r="I50" s="110"/>
      <c r="J50" s="110"/>
      <c r="K50" s="110"/>
      <c r="L50" s="110"/>
    </row>
    <row r="51" spans="1:12" ht="14.25">
      <c r="A51" s="109" t="s">
        <v>94</v>
      </c>
      <c r="B51" s="109"/>
      <c r="C51" s="109"/>
      <c r="D51" s="109"/>
      <c r="E51" s="109"/>
      <c r="F51" s="92"/>
      <c r="G51" s="94"/>
      <c r="H51" s="109" t="s">
        <v>94</v>
      </c>
      <c r="I51" s="109"/>
      <c r="J51" s="109"/>
      <c r="K51" s="109"/>
      <c r="L51" s="109"/>
    </row>
    <row r="52" spans="1:12">
      <c r="A52" s="87"/>
      <c r="B52" s="87"/>
      <c r="C52" s="87"/>
      <c r="D52" s="22"/>
      <c r="E52" s="87"/>
      <c r="F52" s="87"/>
      <c r="G52" s="95"/>
      <c r="H52" s="87"/>
      <c r="I52" s="87"/>
      <c r="J52" s="87"/>
      <c r="K52" s="22"/>
      <c r="L52" s="87"/>
    </row>
    <row r="53" spans="1:12">
      <c r="A53" s="6"/>
      <c r="B53" s="123"/>
      <c r="C53" s="123"/>
      <c r="D53" s="123"/>
      <c r="E53" s="123" t="str">
        <f>VLOOKUP(VLOOKUP(A49,'01.2012'!$B$2:$AB$57,2,0),'01.2012'!$C$2:$E$57,3,0)</f>
        <v>УПРАВЛЕНИЕ</v>
      </c>
      <c r="F53" s="87"/>
      <c r="G53" s="95"/>
      <c r="I53" s="123"/>
      <c r="J53" s="123"/>
      <c r="K53" s="123"/>
      <c r="L53" s="123" t="str">
        <f>VLOOKUP(VLOOKUP(H49,'01.2012'!$B$2:$AB$57,2,0),'01.2012'!$C$2:$E$57,3,0)</f>
        <v>УПРАВЛЕНИЕ</v>
      </c>
    </row>
    <row r="54" spans="1:12">
      <c r="A54" s="124" t="s">
        <v>83</v>
      </c>
      <c r="B54" s="124"/>
      <c r="C54" s="6"/>
      <c r="D54" s="125"/>
      <c r="E54" s="125" t="str">
        <f>VLOOKUP(A49,'01.2012'!$B$2:$AB$57,4,0)</f>
        <v>Солехов Файзулло</v>
      </c>
      <c r="F54" s="89"/>
      <c r="G54" s="96"/>
      <c r="H54" s="124" t="s">
        <v>83</v>
      </c>
      <c r="I54" s="124"/>
      <c r="K54" s="125"/>
      <c r="L54" s="125" t="str">
        <f>VLOOKUP(H49,'01.2012'!$B$2:$AB$57,4,0)</f>
        <v>Зиёев Идибек</v>
      </c>
    </row>
    <row r="55" spans="1:12">
      <c r="A55" s="93" t="s">
        <v>44</v>
      </c>
      <c r="B55" s="6"/>
      <c r="C55" s="126"/>
      <c r="D55" s="126"/>
      <c r="E55" s="126" t="str">
        <f>VLOOKUP(A49,'01.2012'!$B$2:$AB$57,5,0)</f>
        <v>помощник</v>
      </c>
      <c r="F55" s="89"/>
      <c r="G55" s="96"/>
      <c r="H55" s="93" t="s">
        <v>44</v>
      </c>
      <c r="J55" s="126"/>
      <c r="K55" s="126"/>
      <c r="L55" s="126" t="str">
        <f>VLOOKUP(H49,'01.2012'!$B$2:$AB$57,5,0)</f>
        <v>помощник</v>
      </c>
    </row>
    <row r="56" spans="1:12" ht="39.75">
      <c r="A56" s="127" t="s">
        <v>105</v>
      </c>
      <c r="B56" s="128" t="s">
        <v>84</v>
      </c>
      <c r="C56" s="132" t="s">
        <v>85</v>
      </c>
      <c r="D56" s="128" t="s">
        <v>102</v>
      </c>
      <c r="E56" s="136" t="s">
        <v>106</v>
      </c>
      <c r="F56" s="6"/>
      <c r="G56" s="97"/>
      <c r="H56" s="127" t="s">
        <v>105</v>
      </c>
      <c r="I56" s="128" t="s">
        <v>84</v>
      </c>
      <c r="J56" s="132" t="s">
        <v>85</v>
      </c>
      <c r="K56" s="128" t="s">
        <v>102</v>
      </c>
      <c r="L56" s="135"/>
    </row>
    <row r="57" spans="1:12" ht="21">
      <c r="A57" s="99">
        <f>IF(VLOOKUP(A49,'01.2012'!$B$2:$AB$57,7,0)&lt;1,-VLOOKUP(A49,'01.2012'!$B$2:$AB$57,6,0),VLOOKUP(A49,'01.2012'!$B$2:$AB$57,7,0))</f>
        <v>0</v>
      </c>
      <c r="B57" s="90">
        <f>VLOOKUP(A49,'01.2012'!$B$2:$AB$57,14,0)</f>
        <v>131.1</v>
      </c>
      <c r="C57" s="91">
        <f>VLOOKUP(A49,'01.2012'!$B$2:$AB$57,25,0)</f>
        <v>11.290000000000001</v>
      </c>
      <c r="D57" s="90">
        <f>VLOOKUP(A49,'01.2012'!$B$2:$AB$57,27,0)</f>
        <v>119.81</v>
      </c>
      <c r="E57" s="137" t="s">
        <v>106</v>
      </c>
      <c r="F57" s="6"/>
      <c r="G57" s="97"/>
      <c r="H57" s="99">
        <f>IF(VLOOKUP(H49,'01.2012'!$B$2:$AB$57,7,0)&lt;1,-VLOOKUP(H49,'01.2012'!$B$2:$AB$57,6,0),VLOOKUP(H49,'01.2012'!$B$2:$AB$57,7,0))</f>
        <v>0</v>
      </c>
      <c r="I57" s="90">
        <f>VLOOKUP(H49,'01.2012'!$B$2:$AB$57,14,0)</f>
        <v>197.4</v>
      </c>
      <c r="J57" s="91">
        <f>VLOOKUP(H49,'01.2012'!$B$2:$AB$57,25,0)</f>
        <v>21.15</v>
      </c>
      <c r="K57" s="90">
        <f>VLOOKUP(H49,'01.2012'!$B$2:$AB$57,27,0)</f>
        <v>176.25</v>
      </c>
      <c r="L57" s="129"/>
    </row>
    <row r="58" spans="1:12">
      <c r="A58" s="6"/>
      <c r="B58" s="6"/>
      <c r="C58" s="6"/>
      <c r="E58" s="88"/>
      <c r="F58" s="6"/>
      <c r="G58" s="97"/>
      <c r="L58" s="88"/>
    </row>
    <row r="59" spans="1:12">
      <c r="A59" s="121" t="s">
        <v>89</v>
      </c>
      <c r="B59" s="121"/>
      <c r="C59" s="6"/>
      <c r="E59" s="6"/>
      <c r="F59" s="6"/>
      <c r="G59" s="97"/>
      <c r="H59" s="121" t="s">
        <v>89</v>
      </c>
      <c r="I59" s="121"/>
    </row>
    <row r="60" spans="1:12">
      <c r="A60" s="122" t="s">
        <v>90</v>
      </c>
      <c r="B60" s="122"/>
      <c r="C60" s="6"/>
      <c r="E60" s="6"/>
      <c r="F60" s="6"/>
      <c r="G60" s="97"/>
      <c r="H60" s="122" t="s">
        <v>90</v>
      </c>
      <c r="I60" s="122"/>
    </row>
    <row r="61" spans="1:12">
      <c r="A61" s="108">
        <f t="shared" ref="A61" si="9">INT((ROW()-1)/12)*2+1+(COLUMN()&gt;6)</f>
        <v>11</v>
      </c>
      <c r="B61" s="138"/>
      <c r="C61" s="138"/>
      <c r="D61" s="139"/>
      <c r="E61" s="138"/>
      <c r="F61" s="138"/>
      <c r="G61" s="140"/>
      <c r="H61" s="108">
        <f t="shared" ref="H61" si="10">INT((ROW()-1)/12)*2+1+(COLUMN()&gt;6)</f>
        <v>12</v>
      </c>
      <c r="I61" s="98"/>
      <c r="J61" s="98"/>
      <c r="K61" s="100"/>
      <c r="L61" s="98"/>
    </row>
    <row r="62" spans="1:12" ht="14.25">
      <c r="A62" s="110" t="s">
        <v>82</v>
      </c>
      <c r="B62" s="110"/>
      <c r="C62" s="110"/>
      <c r="D62" s="110"/>
      <c r="E62" s="110"/>
      <c r="F62" s="92"/>
      <c r="G62" s="94"/>
      <c r="H62" s="110" t="s">
        <v>82</v>
      </c>
      <c r="I62" s="110"/>
      <c r="J62" s="110"/>
      <c r="K62" s="110"/>
      <c r="L62" s="110"/>
    </row>
    <row r="63" spans="1:12" ht="14.25">
      <c r="A63" s="109" t="s">
        <v>94</v>
      </c>
      <c r="B63" s="109"/>
      <c r="C63" s="109"/>
      <c r="D63" s="109"/>
      <c r="E63" s="109"/>
      <c r="F63" s="92"/>
      <c r="G63" s="94"/>
      <c r="H63" s="109" t="s">
        <v>94</v>
      </c>
      <c r="I63" s="109"/>
      <c r="J63" s="109"/>
      <c r="K63" s="109"/>
      <c r="L63" s="109"/>
    </row>
    <row r="64" spans="1:12">
      <c r="A64" s="87"/>
      <c r="B64" s="87"/>
      <c r="C64" s="87"/>
      <c r="D64" s="22"/>
      <c r="E64" s="87"/>
      <c r="F64" s="87"/>
      <c r="G64" s="95"/>
      <c r="H64" s="87"/>
      <c r="I64" s="87"/>
      <c r="J64" s="87"/>
      <c r="K64" s="22"/>
      <c r="L64" s="87"/>
    </row>
    <row r="65" spans="1:12">
      <c r="A65" s="6"/>
      <c r="B65" s="123"/>
      <c r="C65" s="123"/>
      <c r="D65" s="123"/>
      <c r="E65" s="123" t="str">
        <f>VLOOKUP(VLOOKUP(A61,'01.2012'!$B$2:$AB$57,2,0),'01.2012'!$C$2:$E$57,3,0)</f>
        <v>ОТДЕЛ КАДРОВ</v>
      </c>
      <c r="F65" s="87"/>
      <c r="G65" s="95"/>
      <c r="I65" s="123"/>
      <c r="J65" s="123"/>
      <c r="K65" s="123"/>
      <c r="L65" s="123" t="str">
        <f>VLOOKUP(VLOOKUP(H61,'01.2012'!$B$2:$AB$57,2,0),'01.2012'!$C$2:$E$57,3,0)</f>
        <v>ОТДЕЛ КАДРОВ</v>
      </c>
    </row>
    <row r="66" spans="1:12">
      <c r="A66" s="124" t="s">
        <v>83</v>
      </c>
      <c r="B66" s="124"/>
      <c r="C66" s="6"/>
      <c r="D66" s="125"/>
      <c r="E66" s="125" t="str">
        <f>VLOOKUP(A61,'01.2012'!$B$2:$AB$57,4,0)</f>
        <v>Бободжонова Нарзия</v>
      </c>
      <c r="F66" s="89"/>
      <c r="G66" s="96"/>
      <c r="H66" s="124" t="s">
        <v>83</v>
      </c>
      <c r="I66" s="124"/>
      <c r="K66" s="125"/>
      <c r="L66" s="125" t="str">
        <f>VLOOKUP(H61,'01.2012'!$B$2:$AB$57,4,0)</f>
        <v>Давлатов Талиб</v>
      </c>
    </row>
    <row r="67" spans="1:12">
      <c r="A67" s="93" t="s">
        <v>44</v>
      </c>
      <c r="B67" s="6"/>
      <c r="C67" s="126"/>
      <c r="D67" s="126"/>
      <c r="E67" s="126" t="str">
        <f>VLOOKUP(A61,'01.2012'!$B$2:$AB$57,5,0)</f>
        <v>начальник</v>
      </c>
      <c r="F67" s="89"/>
      <c r="G67" s="96"/>
      <c r="H67" s="93" t="s">
        <v>44</v>
      </c>
      <c r="J67" s="126"/>
      <c r="K67" s="126"/>
      <c r="L67" s="126" t="str">
        <f>VLOOKUP(H61,'01.2012'!$B$2:$AB$57,5,0)</f>
        <v>инженер ОК</v>
      </c>
    </row>
    <row r="68" spans="1:12" ht="39.75">
      <c r="A68" s="127" t="s">
        <v>105</v>
      </c>
      <c r="B68" s="128" t="s">
        <v>84</v>
      </c>
      <c r="C68" s="132" t="s">
        <v>85</v>
      </c>
      <c r="D68" s="128" t="s">
        <v>102</v>
      </c>
      <c r="E68" s="136" t="s">
        <v>106</v>
      </c>
      <c r="F68" s="6"/>
      <c r="G68" s="97"/>
      <c r="H68" s="127" t="s">
        <v>105</v>
      </c>
      <c r="I68" s="128" t="s">
        <v>84</v>
      </c>
      <c r="J68" s="132" t="s">
        <v>85</v>
      </c>
      <c r="K68" s="128" t="s">
        <v>102</v>
      </c>
      <c r="L68" s="135"/>
    </row>
    <row r="69" spans="1:12" ht="21">
      <c r="A69" s="99">
        <f>IF(VLOOKUP(A61,'01.2012'!$B$2:$AB$57,7,0)&lt;1,-VLOOKUP(A61,'01.2012'!$B$2:$AB$57,6,0),VLOOKUP(A61,'01.2012'!$B$2:$AB$57,7,0))</f>
        <v>0</v>
      </c>
      <c r="B69" s="90">
        <f>VLOOKUP(A61,'01.2012'!$B$2:$AB$57,14,0)</f>
        <v>131.05000000000001</v>
      </c>
      <c r="C69" s="91">
        <f>VLOOKUP(A61,'01.2012'!$B$2:$AB$57,25,0)</f>
        <v>11.290000000000001</v>
      </c>
      <c r="D69" s="90">
        <f>VLOOKUP(A61,'01.2012'!$B$2:$AB$57,27,0)</f>
        <v>119.76</v>
      </c>
      <c r="E69" s="137" t="s">
        <v>106</v>
      </c>
      <c r="F69" s="6"/>
      <c r="G69" s="97"/>
      <c r="H69" s="99">
        <f>IF(VLOOKUP(H61,'01.2012'!$B$2:$AB$57,7,0)&lt;1,-VLOOKUP(H61,'01.2012'!$B$2:$AB$57,6,0),VLOOKUP(H61,'01.2012'!$B$2:$AB$57,7,0))</f>
        <v>0</v>
      </c>
      <c r="I69" s="90">
        <f>VLOOKUP(H61,'01.2012'!$B$2:$AB$57,14,0)</f>
        <v>148</v>
      </c>
      <c r="J69" s="91">
        <f>VLOOKUP(H61,'01.2012'!$B$2:$AB$57,25,0)</f>
        <v>13.81</v>
      </c>
      <c r="K69" s="90">
        <f>VLOOKUP(H61,'01.2012'!$B$2:$AB$57,27,0)</f>
        <v>134.19</v>
      </c>
      <c r="L69" s="129"/>
    </row>
    <row r="70" spans="1:12">
      <c r="A70" s="6"/>
      <c r="B70" s="6"/>
      <c r="C70" s="6"/>
      <c r="E70" s="88"/>
      <c r="F70" s="6"/>
      <c r="G70" s="97"/>
      <c r="L70" s="88"/>
    </row>
    <row r="71" spans="1:12">
      <c r="A71" s="121" t="s">
        <v>89</v>
      </c>
      <c r="B71" s="121"/>
      <c r="C71" s="6"/>
      <c r="E71" s="6"/>
      <c r="F71" s="6"/>
      <c r="G71" s="97"/>
      <c r="H71" s="121" t="s">
        <v>89</v>
      </c>
      <c r="I71" s="121"/>
    </row>
    <row r="72" spans="1:12">
      <c r="A72" s="122" t="s">
        <v>90</v>
      </c>
      <c r="B72" s="122"/>
      <c r="C72" s="6"/>
      <c r="E72" s="6"/>
      <c r="F72" s="6"/>
      <c r="G72" s="97"/>
      <c r="H72" s="122" t="s">
        <v>90</v>
      </c>
      <c r="I72" s="122"/>
    </row>
    <row r="73" spans="1:12">
      <c r="A73" s="108">
        <f t="shared" ref="A73" si="11">INT((ROW()-1)/12)*2+1+(COLUMN()&gt;6)</f>
        <v>13</v>
      </c>
      <c r="B73" s="138"/>
      <c r="C73" s="138"/>
      <c r="D73" s="139"/>
      <c r="E73" s="138"/>
      <c r="F73" s="138"/>
      <c r="G73" s="140"/>
      <c r="H73" s="108">
        <f t="shared" ref="H73" si="12">INT((ROW()-1)/12)*2+1+(COLUMN()&gt;6)</f>
        <v>14</v>
      </c>
      <c r="I73" s="98"/>
      <c r="J73" s="98"/>
      <c r="K73" s="100"/>
      <c r="L73" s="98"/>
    </row>
    <row r="74" spans="1:12" ht="14.25">
      <c r="A74" s="110" t="s">
        <v>82</v>
      </c>
      <c r="B74" s="110"/>
      <c r="C74" s="110"/>
      <c r="D74" s="110"/>
      <c r="E74" s="110"/>
      <c r="F74" s="92"/>
      <c r="G74" s="94"/>
      <c r="H74" s="110" t="s">
        <v>82</v>
      </c>
      <c r="I74" s="110"/>
      <c r="J74" s="110"/>
      <c r="K74" s="110"/>
      <c r="L74" s="110"/>
    </row>
    <row r="75" spans="1:12" ht="14.25">
      <c r="A75" s="109" t="s">
        <v>94</v>
      </c>
      <c r="B75" s="109"/>
      <c r="C75" s="109"/>
      <c r="D75" s="109"/>
      <c r="E75" s="109"/>
      <c r="F75" s="92"/>
      <c r="G75" s="94"/>
      <c r="H75" s="109" t="s">
        <v>94</v>
      </c>
      <c r="I75" s="109"/>
      <c r="J75" s="109"/>
      <c r="K75" s="109"/>
      <c r="L75" s="109"/>
    </row>
    <row r="76" spans="1:12">
      <c r="A76" s="87"/>
      <c r="B76" s="87"/>
      <c r="C76" s="87"/>
      <c r="D76" s="22"/>
      <c r="E76" s="87"/>
      <c r="F76" s="87"/>
      <c r="G76" s="95"/>
      <c r="H76" s="87"/>
      <c r="I76" s="87"/>
      <c r="J76" s="87"/>
      <c r="K76" s="22"/>
      <c r="L76" s="87"/>
    </row>
    <row r="77" spans="1:12">
      <c r="A77" s="6"/>
      <c r="B77" s="123"/>
      <c r="C77" s="123"/>
      <c r="D77" s="123"/>
      <c r="E77" s="123" t="str">
        <f>VLOOKUP(VLOOKUP(A73,'01.2012'!$B$2:$AB$57,2,0),'01.2012'!$C$2:$E$57,3,0)</f>
        <v>ОТДЕЛ КАДРОВ</v>
      </c>
      <c r="F77" s="87"/>
      <c r="G77" s="95"/>
      <c r="I77" s="123"/>
      <c r="J77" s="123"/>
      <c r="K77" s="123"/>
      <c r="L77" s="123" t="str">
        <f>VLOOKUP(VLOOKUP(H73,'01.2012'!$B$2:$AB$57,2,0),'01.2012'!$C$2:$E$57,3,0)</f>
        <v>БУХГАЛТЕРИЯ И ФИНАНСЫ</v>
      </c>
    </row>
    <row r="78" spans="1:12">
      <c r="A78" s="124" t="s">
        <v>83</v>
      </c>
      <c r="B78" s="124"/>
      <c r="C78" s="6"/>
      <c r="D78" s="125"/>
      <c r="E78" s="125" t="str">
        <f>VLOOKUP(A73,'01.2012'!$B$2:$AB$57,4,0)</f>
        <v>Рахматова Зебо</v>
      </c>
      <c r="F78" s="89"/>
      <c r="G78" s="96"/>
      <c r="H78" s="124" t="s">
        <v>83</v>
      </c>
      <c r="I78" s="124"/>
      <c r="K78" s="125"/>
      <c r="L78" s="125" t="str">
        <f>VLOOKUP(H73,'01.2012'!$B$2:$AB$57,4,0)</f>
        <v>Салимов Юсуф</v>
      </c>
    </row>
    <row r="79" spans="1:12">
      <c r="A79" s="93" t="s">
        <v>44</v>
      </c>
      <c r="B79" s="6"/>
      <c r="C79" s="126"/>
      <c r="D79" s="126"/>
      <c r="E79" s="126" t="str">
        <f>VLOOKUP(A73,'01.2012'!$B$2:$AB$57,5,0)</f>
        <v>инженер ОК</v>
      </c>
      <c r="F79" s="89"/>
      <c r="G79" s="96"/>
      <c r="H79" s="93" t="s">
        <v>44</v>
      </c>
      <c r="J79" s="126"/>
      <c r="K79" s="126"/>
      <c r="L79" s="126" t="str">
        <f>VLOOKUP(H73,'01.2012'!$B$2:$AB$57,5,0)</f>
        <v>гл.бух</v>
      </c>
    </row>
    <row r="80" spans="1:12" ht="39.75">
      <c r="A80" s="127" t="s">
        <v>105</v>
      </c>
      <c r="B80" s="128" t="s">
        <v>84</v>
      </c>
      <c r="C80" s="132" t="s">
        <v>85</v>
      </c>
      <c r="D80" s="128" t="s">
        <v>102</v>
      </c>
      <c r="E80" s="136" t="s">
        <v>106</v>
      </c>
      <c r="F80" s="6"/>
      <c r="G80" s="97"/>
      <c r="H80" s="127" t="s">
        <v>105</v>
      </c>
      <c r="I80" s="128" t="s">
        <v>84</v>
      </c>
      <c r="J80" s="132" t="s">
        <v>85</v>
      </c>
      <c r="K80" s="128" t="s">
        <v>102</v>
      </c>
      <c r="L80" s="135"/>
    </row>
    <row r="81" spans="1:12" ht="21">
      <c r="A81" s="99">
        <f>IF(VLOOKUP(A73,'01.2012'!$B$2:$AB$57,7,0)&lt;1,-VLOOKUP(A73,'01.2012'!$B$2:$AB$57,6,0),VLOOKUP(A73,'01.2012'!$B$2:$AB$57,7,0))</f>
        <v>0</v>
      </c>
      <c r="B81" s="90">
        <f>VLOOKUP(A73,'01.2012'!$B$2:$AB$57,14,0)</f>
        <v>104</v>
      </c>
      <c r="C81" s="91">
        <f>VLOOKUP(A73,'01.2012'!$B$2:$AB$57,25,0)</f>
        <v>7.26</v>
      </c>
      <c r="D81" s="90">
        <f>VLOOKUP(A73,'01.2012'!$B$2:$AB$57,27,0)</f>
        <v>96.74</v>
      </c>
      <c r="E81" s="137" t="s">
        <v>106</v>
      </c>
      <c r="F81" s="6"/>
      <c r="G81" s="97"/>
      <c r="H81" s="99">
        <f>IF(VLOOKUP(H73,'01.2012'!$B$2:$AB$57,7,0)&lt;1,-VLOOKUP(H73,'01.2012'!$B$2:$AB$57,6,0),VLOOKUP(H73,'01.2012'!$B$2:$AB$57,7,0))</f>
        <v>0</v>
      </c>
      <c r="I81" s="90">
        <f>VLOOKUP(H73,'01.2012'!$B$2:$AB$57,14,0)</f>
        <v>197.34</v>
      </c>
      <c r="J81" s="91">
        <f>VLOOKUP(H73,'01.2012'!$B$2:$AB$57,25,0)</f>
        <v>21.139999999999997</v>
      </c>
      <c r="K81" s="90">
        <f>VLOOKUP(H73,'01.2012'!$B$2:$AB$57,27,0)</f>
        <v>176.2</v>
      </c>
      <c r="L81" s="129"/>
    </row>
    <row r="82" spans="1:12">
      <c r="A82" s="6"/>
      <c r="B82" s="6"/>
      <c r="C82" s="6"/>
      <c r="E82" s="88"/>
      <c r="F82" s="6"/>
      <c r="G82" s="97"/>
      <c r="L82" s="88"/>
    </row>
    <row r="83" spans="1:12">
      <c r="A83" s="121" t="s">
        <v>89</v>
      </c>
      <c r="B83" s="121"/>
      <c r="C83" s="6"/>
      <c r="E83" s="6"/>
      <c r="F83" s="6"/>
      <c r="G83" s="97"/>
      <c r="H83" s="121" t="s">
        <v>89</v>
      </c>
      <c r="I83" s="121"/>
    </row>
    <row r="84" spans="1:12">
      <c r="A84" s="122" t="s">
        <v>90</v>
      </c>
      <c r="B84" s="122"/>
      <c r="C84" s="6"/>
      <c r="E84" s="6"/>
      <c r="F84" s="6"/>
      <c r="G84" s="97"/>
      <c r="H84" s="122" t="s">
        <v>90</v>
      </c>
      <c r="I84" s="122"/>
    </row>
    <row r="85" spans="1:12">
      <c r="A85" s="108">
        <f t="shared" ref="A85" si="13">INT((ROW()-1)/12)*2+1+(COLUMN()&gt;6)</f>
        <v>15</v>
      </c>
      <c r="B85" s="138"/>
      <c r="C85" s="138"/>
      <c r="D85" s="139"/>
      <c r="E85" s="138"/>
      <c r="F85" s="138"/>
      <c r="G85" s="140"/>
      <c r="H85" s="108">
        <f t="shared" ref="H85" si="14">INT((ROW()-1)/12)*2+1+(COLUMN()&gt;6)</f>
        <v>16</v>
      </c>
      <c r="I85" s="98"/>
      <c r="J85" s="98"/>
      <c r="K85" s="100"/>
      <c r="L85" s="98"/>
    </row>
    <row r="86" spans="1:12" ht="14.25">
      <c r="A86" s="110" t="s">
        <v>82</v>
      </c>
      <c r="B86" s="110"/>
      <c r="C86" s="110"/>
      <c r="D86" s="110"/>
      <c r="E86" s="110"/>
      <c r="F86" s="92"/>
      <c r="G86" s="94"/>
      <c r="H86" s="110" t="s">
        <v>82</v>
      </c>
      <c r="I86" s="110"/>
      <c r="J86" s="110"/>
      <c r="K86" s="110"/>
      <c r="L86" s="110"/>
    </row>
    <row r="87" spans="1:12" ht="14.25">
      <c r="A87" s="109" t="s">
        <v>94</v>
      </c>
      <c r="B87" s="109"/>
      <c r="C87" s="109"/>
      <c r="D87" s="109"/>
      <c r="E87" s="109"/>
      <c r="F87" s="92"/>
      <c r="G87" s="94"/>
      <c r="H87" s="109" t="s">
        <v>94</v>
      </c>
      <c r="I87" s="109"/>
      <c r="J87" s="109"/>
      <c r="K87" s="109"/>
      <c r="L87" s="109"/>
    </row>
    <row r="88" spans="1:12">
      <c r="A88" s="87"/>
      <c r="B88" s="87"/>
      <c r="C88" s="87"/>
      <c r="D88" s="22"/>
      <c r="E88" s="87"/>
      <c r="F88" s="87"/>
      <c r="G88" s="95"/>
      <c r="H88" s="87"/>
      <c r="I88" s="87"/>
      <c r="J88" s="87"/>
      <c r="K88" s="22"/>
      <c r="L88" s="87"/>
    </row>
    <row r="89" spans="1:12">
      <c r="A89" s="6"/>
      <c r="B89" s="123"/>
      <c r="C89" s="123"/>
      <c r="D89" s="123"/>
      <c r="E89" s="123" t="str">
        <f>VLOOKUP(VLOOKUP(A85,'01.2012'!$B$2:$AB$57,2,0),'01.2012'!$C$2:$E$57,3,0)</f>
        <v>БУХГАЛТЕРИЯ И ФИНАНСЫ</v>
      </c>
      <c r="F89" s="87"/>
      <c r="G89" s="95"/>
      <c r="I89" s="123"/>
      <c r="J89" s="123"/>
      <c r="K89" s="123"/>
      <c r="L89" s="123" t="str">
        <f>VLOOKUP(VLOOKUP(H85,'01.2012'!$B$2:$AB$57,2,0),'01.2012'!$C$2:$E$57,3,0)</f>
        <v>БУХГАЛТЕРИЯ И ФИНАНСЫ</v>
      </c>
    </row>
    <row r="90" spans="1:12">
      <c r="A90" s="124" t="s">
        <v>83</v>
      </c>
      <c r="B90" s="124"/>
      <c r="C90" s="6"/>
      <c r="D90" s="125"/>
      <c r="E90" s="125" t="str">
        <f>VLOOKUP(A85,'01.2012'!$B$2:$AB$57,4,0)</f>
        <v>Ахмадджонов Исмоил</v>
      </c>
      <c r="F90" s="89"/>
      <c r="G90" s="96"/>
      <c r="H90" s="124" t="s">
        <v>83</v>
      </c>
      <c r="I90" s="124"/>
      <c r="K90" s="125"/>
      <c r="L90" s="125" t="str">
        <f>VLOOKUP(H85,'01.2012'!$B$2:$AB$57,4,0)</f>
        <v>Каххорова Озода</v>
      </c>
    </row>
    <row r="91" spans="1:12">
      <c r="A91" s="93" t="s">
        <v>44</v>
      </c>
      <c r="B91" s="6"/>
      <c r="C91" s="126"/>
      <c r="D91" s="126"/>
      <c r="E91" s="126" t="str">
        <f>VLOOKUP(A85,'01.2012'!$B$2:$AB$57,5,0)</f>
        <v>бухгалтер</v>
      </c>
      <c r="F91" s="89"/>
      <c r="G91" s="96"/>
      <c r="H91" s="93" t="s">
        <v>44</v>
      </c>
      <c r="J91" s="126"/>
      <c r="K91" s="126"/>
      <c r="L91" s="126" t="str">
        <f>VLOOKUP(H85,'01.2012'!$B$2:$AB$57,5,0)</f>
        <v>экономист</v>
      </c>
    </row>
    <row r="92" spans="1:12" ht="39.75">
      <c r="A92" s="127" t="s">
        <v>105</v>
      </c>
      <c r="B92" s="128" t="s">
        <v>84</v>
      </c>
      <c r="C92" s="132" t="s">
        <v>85</v>
      </c>
      <c r="D92" s="128" t="s">
        <v>102</v>
      </c>
      <c r="E92" s="136" t="s">
        <v>106</v>
      </c>
      <c r="F92" s="6"/>
      <c r="G92" s="97"/>
      <c r="H92" s="127" t="s">
        <v>105</v>
      </c>
      <c r="I92" s="128" t="s">
        <v>84</v>
      </c>
      <c r="J92" s="132" t="s">
        <v>85</v>
      </c>
      <c r="K92" s="128" t="s">
        <v>102</v>
      </c>
      <c r="L92" s="135"/>
    </row>
    <row r="93" spans="1:12" ht="21">
      <c r="A93" s="99">
        <f>IF(VLOOKUP(A85,'01.2012'!$B$2:$AB$57,7,0)&lt;1,-VLOOKUP(A85,'01.2012'!$B$2:$AB$57,6,0),VLOOKUP(A85,'01.2012'!$B$2:$AB$57,7,0))</f>
        <v>0</v>
      </c>
      <c r="B93" s="90">
        <f>VLOOKUP(A85,'01.2012'!$B$2:$AB$57,14,0)</f>
        <v>131.05000000000001</v>
      </c>
      <c r="C93" s="91">
        <f>VLOOKUP(A85,'01.2012'!$B$2:$AB$57,25,0)</f>
        <v>11.290000000000001</v>
      </c>
      <c r="D93" s="90">
        <f>VLOOKUP(A85,'01.2012'!$B$2:$AB$57,27,0)</f>
        <v>119.76</v>
      </c>
      <c r="E93" s="137" t="s">
        <v>106</v>
      </c>
      <c r="F93" s="6"/>
      <c r="G93" s="97"/>
      <c r="H93" s="99">
        <f>IF(VLOOKUP(H85,'01.2012'!$B$2:$AB$57,7,0)&lt;1,-VLOOKUP(H85,'01.2012'!$B$2:$AB$57,6,0),VLOOKUP(H85,'01.2012'!$B$2:$AB$57,7,0))</f>
        <v>0</v>
      </c>
      <c r="I93" s="90">
        <f>VLOOKUP(H85,'01.2012'!$B$2:$AB$57,14,0)</f>
        <v>131.05000000000001</v>
      </c>
      <c r="J93" s="91">
        <f>VLOOKUP(H85,'01.2012'!$B$2:$AB$57,25,0)</f>
        <v>11.290000000000001</v>
      </c>
      <c r="K93" s="90">
        <f>VLOOKUP(H85,'01.2012'!$B$2:$AB$57,27,0)</f>
        <v>119.76</v>
      </c>
      <c r="L93" s="129"/>
    </row>
    <row r="94" spans="1:12">
      <c r="A94" s="6"/>
      <c r="B94" s="6"/>
      <c r="C94" s="6"/>
      <c r="E94" s="88"/>
      <c r="F94" s="6"/>
      <c r="G94" s="97"/>
      <c r="L94" s="88"/>
    </row>
    <row r="95" spans="1:12">
      <c r="A95" s="121" t="s">
        <v>89</v>
      </c>
      <c r="B95" s="121"/>
      <c r="C95" s="6"/>
      <c r="E95" s="6"/>
      <c r="F95" s="6"/>
      <c r="G95" s="97"/>
      <c r="H95" s="121" t="s">
        <v>89</v>
      </c>
      <c r="I95" s="121"/>
    </row>
    <row r="96" spans="1:12">
      <c r="A96" s="122" t="s">
        <v>90</v>
      </c>
      <c r="B96" s="122"/>
      <c r="C96" s="6"/>
      <c r="E96" s="6"/>
      <c r="F96" s="6"/>
      <c r="G96" s="97"/>
      <c r="H96" s="122" t="s">
        <v>90</v>
      </c>
      <c r="I96" s="122"/>
    </row>
    <row r="97" spans="1:12">
      <c r="A97" s="108">
        <f t="shared" ref="A97" si="15">INT((ROW()-1)/12)*2+1+(COLUMN()&gt;6)</f>
        <v>17</v>
      </c>
      <c r="B97" s="138"/>
      <c r="C97" s="138"/>
      <c r="D97" s="139"/>
      <c r="E97" s="138"/>
      <c r="F97" s="138"/>
      <c r="G97" s="140"/>
      <c r="H97" s="108">
        <f t="shared" ref="H97" si="16">INT((ROW()-1)/12)*2+1+(COLUMN()&gt;6)</f>
        <v>18</v>
      </c>
      <c r="I97" s="98"/>
      <c r="J97" s="98"/>
      <c r="K97" s="100"/>
      <c r="L97" s="98"/>
    </row>
    <row r="98" spans="1:12" ht="14.25">
      <c r="A98" s="110" t="s">
        <v>82</v>
      </c>
      <c r="B98" s="110"/>
      <c r="C98" s="110"/>
      <c r="D98" s="110"/>
      <c r="E98" s="110"/>
      <c r="F98" s="92"/>
      <c r="G98" s="94"/>
      <c r="H98" s="110" t="s">
        <v>82</v>
      </c>
      <c r="I98" s="110"/>
      <c r="J98" s="110"/>
      <c r="K98" s="110"/>
      <c r="L98" s="110"/>
    </row>
    <row r="99" spans="1:12" ht="14.25">
      <c r="A99" s="109" t="s">
        <v>94</v>
      </c>
      <c r="B99" s="109"/>
      <c r="C99" s="109"/>
      <c r="D99" s="109"/>
      <c r="E99" s="109"/>
      <c r="F99" s="92"/>
      <c r="G99" s="94"/>
      <c r="H99" s="109" t="s">
        <v>94</v>
      </c>
      <c r="I99" s="109"/>
      <c r="J99" s="109"/>
      <c r="K99" s="109"/>
      <c r="L99" s="109"/>
    </row>
    <row r="100" spans="1:12">
      <c r="A100" s="87"/>
      <c r="B100" s="87"/>
      <c r="C100" s="87"/>
      <c r="D100" s="22"/>
      <c r="E100" s="87"/>
      <c r="F100" s="87"/>
      <c r="G100" s="95"/>
      <c r="H100" s="87"/>
      <c r="I100" s="87"/>
      <c r="J100" s="87"/>
      <c r="K100" s="22"/>
      <c r="L100" s="87"/>
    </row>
    <row r="101" spans="1:12">
      <c r="A101" s="6"/>
      <c r="B101" s="123"/>
      <c r="C101" s="123"/>
      <c r="D101" s="123"/>
      <c r="E101" s="123" t="str">
        <f>VLOOKUP(VLOOKUP(A97,'01.2012'!$B$2:$AB$57,2,0),'01.2012'!$C$2:$E$57,3,0)</f>
        <v>БУХГАЛТЕРИЯ И ФИНАНСЫ</v>
      </c>
      <c r="F101" s="87"/>
      <c r="G101" s="95"/>
      <c r="I101" s="123"/>
      <c r="J101" s="123"/>
      <c r="K101" s="123"/>
      <c r="L101" s="123" t="str">
        <f>VLOOKUP(VLOOKUP(H97,'01.2012'!$B$2:$AB$57,2,0),'01.2012'!$C$2:$E$57,3,0)</f>
        <v>ОТДЕЛ АНАЛИЗА И ЭКОНОМИКИ</v>
      </c>
    </row>
    <row r="102" spans="1:12">
      <c r="A102" s="124" t="s">
        <v>83</v>
      </c>
      <c r="B102" s="124"/>
      <c r="C102" s="6"/>
      <c r="D102" s="125"/>
      <c r="E102" s="125" t="str">
        <f>VLOOKUP(A97,'01.2012'!$B$2:$AB$57,4,0)</f>
        <v>Давлатов Талиб</v>
      </c>
      <c r="F102" s="89"/>
      <c r="G102" s="96"/>
      <c r="H102" s="124" t="s">
        <v>83</v>
      </c>
      <c r="I102" s="124"/>
      <c r="K102" s="125"/>
      <c r="L102" s="125" t="str">
        <f>VLOOKUP(H97,'01.2012'!$B$2:$AB$57,4,0)</f>
        <v>Саидов Хайрулло</v>
      </c>
    </row>
    <row r="103" spans="1:12">
      <c r="A103" s="93" t="s">
        <v>44</v>
      </c>
      <c r="B103" s="6"/>
      <c r="C103" s="126"/>
      <c r="D103" s="126"/>
      <c r="E103" s="126" t="str">
        <f>VLOOKUP(A97,'01.2012'!$B$2:$AB$57,5,0)</f>
        <v>кассир</v>
      </c>
      <c r="F103" s="89"/>
      <c r="G103" s="96"/>
      <c r="H103" s="93" t="s">
        <v>44</v>
      </c>
      <c r="J103" s="126"/>
      <c r="K103" s="126"/>
      <c r="L103" s="126" t="str">
        <f>VLOOKUP(H97,'01.2012'!$B$2:$AB$57,5,0)</f>
        <v>начальник</v>
      </c>
    </row>
    <row r="104" spans="1:12" ht="39.75">
      <c r="A104" s="127" t="s">
        <v>105</v>
      </c>
      <c r="B104" s="128" t="s">
        <v>84</v>
      </c>
      <c r="C104" s="132" t="s">
        <v>85</v>
      </c>
      <c r="D104" s="128" t="s">
        <v>102</v>
      </c>
      <c r="E104" s="136" t="s">
        <v>106</v>
      </c>
      <c r="F104" s="6"/>
      <c r="G104" s="97"/>
      <c r="H104" s="127" t="s">
        <v>105</v>
      </c>
      <c r="I104" s="128" t="s">
        <v>84</v>
      </c>
      <c r="J104" s="132" t="s">
        <v>85</v>
      </c>
      <c r="K104" s="128" t="s">
        <v>102</v>
      </c>
      <c r="L104" s="135"/>
    </row>
    <row r="105" spans="1:12" ht="21">
      <c r="A105" s="99">
        <f>IF(VLOOKUP(A97,'01.2012'!$B$2:$AB$57,7,0)&lt;1,-VLOOKUP(A97,'01.2012'!$B$2:$AB$57,6,0),VLOOKUP(A97,'01.2012'!$B$2:$AB$57,7,0))</f>
        <v>0</v>
      </c>
      <c r="B105" s="90">
        <f>VLOOKUP(A97,'01.2012'!$B$2:$AB$57,14,0)</f>
        <v>104</v>
      </c>
      <c r="C105" s="91">
        <f>VLOOKUP(A97,'01.2012'!$B$2:$AB$57,25,0)</f>
        <v>7.26</v>
      </c>
      <c r="D105" s="90">
        <f>VLOOKUP(A97,'01.2012'!$B$2:$AB$57,27,0)</f>
        <v>96.74</v>
      </c>
      <c r="E105" s="137" t="s">
        <v>106</v>
      </c>
      <c r="F105" s="6"/>
      <c r="G105" s="97"/>
      <c r="H105" s="99">
        <f>IF(VLOOKUP(H97,'01.2012'!$B$2:$AB$57,7,0)&lt;1,-VLOOKUP(H97,'01.2012'!$B$2:$AB$57,6,0),VLOOKUP(H97,'01.2012'!$B$2:$AB$57,7,0))</f>
        <v>0</v>
      </c>
      <c r="I105" s="90">
        <f>VLOOKUP(H97,'01.2012'!$B$2:$AB$57,14,0)</f>
        <v>104</v>
      </c>
      <c r="J105" s="91">
        <f>VLOOKUP(H97,'01.2012'!$B$2:$AB$57,25,0)</f>
        <v>7.26</v>
      </c>
      <c r="K105" s="90">
        <f>VLOOKUP(H97,'01.2012'!$B$2:$AB$57,27,0)</f>
        <v>96.74</v>
      </c>
      <c r="L105" s="129"/>
    </row>
    <row r="106" spans="1:12">
      <c r="A106" s="6"/>
      <c r="B106" s="6"/>
      <c r="C106" s="6"/>
      <c r="E106" s="88"/>
      <c r="F106" s="6"/>
      <c r="G106" s="97"/>
      <c r="L106" s="88"/>
    </row>
    <row r="107" spans="1:12">
      <c r="A107" s="121" t="s">
        <v>89</v>
      </c>
      <c r="B107" s="121"/>
      <c r="C107" s="6"/>
      <c r="E107" s="6"/>
      <c r="F107" s="6"/>
      <c r="G107" s="97"/>
      <c r="H107" s="121" t="s">
        <v>89</v>
      </c>
      <c r="I107" s="121"/>
    </row>
    <row r="108" spans="1:12">
      <c r="A108" s="122" t="s">
        <v>90</v>
      </c>
      <c r="B108" s="122"/>
      <c r="C108" s="6"/>
      <c r="E108" s="6"/>
      <c r="F108" s="6"/>
      <c r="G108" s="97"/>
      <c r="H108" s="122" t="s">
        <v>90</v>
      </c>
      <c r="I108" s="122"/>
    </row>
    <row r="109" spans="1:12">
      <c r="A109" s="108">
        <f t="shared" ref="A109" si="17">INT((ROW()-1)/12)*2+1+(COLUMN()&gt;6)</f>
        <v>19</v>
      </c>
      <c r="B109" s="138"/>
      <c r="C109" s="138"/>
      <c r="D109" s="139"/>
      <c r="E109" s="138"/>
      <c r="F109" s="138"/>
      <c r="G109" s="140"/>
      <c r="H109" s="108">
        <f t="shared" ref="H109" si="18">INT((ROW()-1)/12)*2+1+(COLUMN()&gt;6)</f>
        <v>20</v>
      </c>
      <c r="I109" s="98"/>
      <c r="J109" s="98"/>
      <c r="K109" s="100"/>
      <c r="L109" s="98"/>
    </row>
    <row r="110" spans="1:12" ht="14.25">
      <c r="A110" s="110" t="s">
        <v>82</v>
      </c>
      <c r="B110" s="110"/>
      <c r="C110" s="110"/>
      <c r="D110" s="110"/>
      <c r="E110" s="110"/>
      <c r="F110" s="92"/>
      <c r="G110" s="94"/>
      <c r="H110" s="110" t="s">
        <v>82</v>
      </c>
      <c r="I110" s="110"/>
      <c r="J110" s="110"/>
      <c r="K110" s="110"/>
      <c r="L110" s="110"/>
    </row>
    <row r="111" spans="1:12" ht="14.25">
      <c r="A111" s="109" t="s">
        <v>94</v>
      </c>
      <c r="B111" s="109"/>
      <c r="C111" s="109"/>
      <c r="D111" s="109"/>
      <c r="E111" s="109"/>
      <c r="F111" s="92"/>
      <c r="G111" s="94"/>
      <c r="H111" s="109" t="s">
        <v>94</v>
      </c>
      <c r="I111" s="109"/>
      <c r="J111" s="109"/>
      <c r="K111" s="109"/>
      <c r="L111" s="109"/>
    </row>
    <row r="112" spans="1:12">
      <c r="A112" s="87"/>
      <c r="B112" s="87"/>
      <c r="C112" s="87"/>
      <c r="D112" s="22"/>
      <c r="E112" s="87"/>
      <c r="F112" s="87"/>
      <c r="G112" s="95"/>
      <c r="H112" s="87"/>
      <c r="I112" s="87"/>
      <c r="J112" s="87"/>
      <c r="K112" s="22"/>
      <c r="L112" s="87"/>
    </row>
    <row r="113" spans="1:12">
      <c r="A113" s="6"/>
      <c r="B113" s="123"/>
      <c r="C113" s="123"/>
      <c r="D113" s="123"/>
      <c r="E113" s="123" t="str">
        <f>VLOOKUP(VLOOKUP(A109,'01.2012'!$B$2:$AB$57,2,0),'01.2012'!$C$2:$E$57,3,0)</f>
        <v>ОТДЕЛ АНАЛИЗА И ЭКОНОМИКИ</v>
      </c>
      <c r="F113" s="87"/>
      <c r="G113" s="95"/>
      <c r="I113" s="123"/>
      <c r="J113" s="123"/>
      <c r="K113" s="123"/>
      <c r="L113" s="123" t="str">
        <f>VLOOKUP(VLOOKUP(H109,'01.2012'!$B$2:$AB$57,2,0),'01.2012'!$C$2:$E$57,3,0)</f>
        <v>ОТДЕЛ АНАЛИЗА И ЭКОНОМИКИ</v>
      </c>
    </row>
    <row r="114" spans="1:12">
      <c r="A114" s="124" t="s">
        <v>83</v>
      </c>
      <c r="B114" s="124"/>
      <c r="C114" s="6"/>
      <c r="D114" s="125"/>
      <c r="E114" s="125" t="str">
        <f>VLOOKUP(A109,'01.2012'!$B$2:$AB$57,4,0)</f>
        <v>Муратова Надежда</v>
      </c>
      <c r="F114" s="89"/>
      <c r="G114" s="96"/>
      <c r="H114" s="124" t="s">
        <v>83</v>
      </c>
      <c r="I114" s="124"/>
      <c r="K114" s="125"/>
      <c r="L114" s="125" t="str">
        <f>VLOOKUP(H109,'01.2012'!$B$2:$AB$57,4,0)</f>
        <v>Ходжаев С</v>
      </c>
    </row>
    <row r="115" spans="1:12">
      <c r="A115" s="93" t="s">
        <v>44</v>
      </c>
      <c r="B115" s="6"/>
      <c r="C115" s="126"/>
      <c r="D115" s="126"/>
      <c r="E115" s="126" t="str">
        <f>VLOOKUP(A109,'01.2012'!$B$2:$AB$57,5,0)</f>
        <v>программист</v>
      </c>
      <c r="F115" s="89"/>
      <c r="G115" s="96"/>
      <c r="H115" s="93" t="s">
        <v>44</v>
      </c>
      <c r="J115" s="126"/>
      <c r="K115" s="126"/>
      <c r="L115" s="126" t="str">
        <f>VLOOKUP(H109,'01.2012'!$B$2:$AB$57,5,0)</f>
        <v>экономист</v>
      </c>
    </row>
    <row r="116" spans="1:12" ht="39.75">
      <c r="A116" s="127" t="s">
        <v>105</v>
      </c>
      <c r="B116" s="128" t="s">
        <v>84</v>
      </c>
      <c r="C116" s="132" t="s">
        <v>85</v>
      </c>
      <c r="D116" s="128" t="s">
        <v>102</v>
      </c>
      <c r="E116" s="136" t="s">
        <v>106</v>
      </c>
      <c r="F116" s="6"/>
      <c r="G116" s="97"/>
      <c r="H116" s="127" t="s">
        <v>105</v>
      </c>
      <c r="I116" s="128" t="s">
        <v>84</v>
      </c>
      <c r="J116" s="132" t="s">
        <v>85</v>
      </c>
      <c r="K116" s="128" t="s">
        <v>102</v>
      </c>
      <c r="L116" s="135"/>
    </row>
    <row r="117" spans="1:12" ht="21">
      <c r="A117" s="99">
        <f>IF(VLOOKUP(A109,'01.2012'!$B$2:$AB$57,7,0)&lt;1,-VLOOKUP(A109,'01.2012'!$B$2:$AB$57,6,0),VLOOKUP(A109,'01.2012'!$B$2:$AB$57,7,0))</f>
        <v>0</v>
      </c>
      <c r="B117" s="90">
        <f>VLOOKUP(A109,'01.2012'!$B$2:$AB$57,14,0)</f>
        <v>104</v>
      </c>
      <c r="C117" s="91">
        <f>VLOOKUP(A109,'01.2012'!$B$2:$AB$57,25,0)</f>
        <v>7.26</v>
      </c>
      <c r="D117" s="90">
        <f>VLOOKUP(A109,'01.2012'!$B$2:$AB$57,27,0)</f>
        <v>96.74</v>
      </c>
      <c r="E117" s="137" t="s">
        <v>106</v>
      </c>
      <c r="F117" s="6"/>
      <c r="G117" s="97"/>
      <c r="H117" s="99">
        <f>IF(VLOOKUP(H109,'01.2012'!$B$2:$AB$57,7,0)&lt;1,-VLOOKUP(H109,'01.2012'!$B$2:$AB$57,6,0),VLOOKUP(H109,'01.2012'!$B$2:$AB$57,7,0))</f>
        <v>0</v>
      </c>
      <c r="I117" s="90">
        <f>VLOOKUP(H109,'01.2012'!$B$2:$AB$57,14,0)</f>
        <v>104</v>
      </c>
      <c r="J117" s="91">
        <f>VLOOKUP(H109,'01.2012'!$B$2:$AB$57,25,0)</f>
        <v>7.26</v>
      </c>
      <c r="K117" s="90">
        <f>VLOOKUP(H109,'01.2012'!$B$2:$AB$57,27,0)</f>
        <v>96.74</v>
      </c>
      <c r="L117" s="129"/>
    </row>
    <row r="118" spans="1:12">
      <c r="A118" s="6"/>
      <c r="B118" s="6"/>
      <c r="C118" s="6"/>
      <c r="E118" s="88"/>
      <c r="F118" s="6"/>
      <c r="G118" s="97"/>
      <c r="L118" s="88"/>
    </row>
    <row r="119" spans="1:12">
      <c r="A119" s="121" t="s">
        <v>89</v>
      </c>
      <c r="B119" s="121"/>
      <c r="C119" s="6"/>
      <c r="E119" s="6"/>
      <c r="F119" s="6"/>
      <c r="G119" s="97"/>
      <c r="H119" s="121" t="s">
        <v>89</v>
      </c>
      <c r="I119" s="121"/>
    </row>
    <row r="120" spans="1:12">
      <c r="A120" s="122" t="s">
        <v>90</v>
      </c>
      <c r="B120" s="122"/>
      <c r="C120" s="6"/>
      <c r="E120" s="6"/>
      <c r="F120" s="6"/>
      <c r="G120" s="97"/>
      <c r="H120" s="122" t="s">
        <v>90</v>
      </c>
      <c r="I120" s="122"/>
    </row>
    <row r="121" spans="1:12">
      <c r="A121" s="108">
        <f t="shared" ref="A121" si="19">INT((ROW()-1)/12)*2+1+(COLUMN()&gt;6)</f>
        <v>21</v>
      </c>
      <c r="B121" s="138"/>
      <c r="C121" s="138"/>
      <c r="D121" s="139"/>
      <c r="E121" s="138"/>
      <c r="F121" s="138"/>
      <c r="G121" s="140"/>
      <c r="H121" s="108">
        <f t="shared" ref="H121" si="20">INT((ROW()-1)/12)*2+1+(COLUMN()&gt;6)</f>
        <v>22</v>
      </c>
      <c r="I121" s="98"/>
      <c r="J121" s="98"/>
      <c r="K121" s="100"/>
      <c r="L121" s="98"/>
    </row>
    <row r="122" spans="1:12" ht="14.25">
      <c r="A122" s="110" t="s">
        <v>82</v>
      </c>
      <c r="B122" s="110"/>
      <c r="C122" s="110"/>
      <c r="D122" s="110"/>
      <c r="E122" s="110"/>
      <c r="F122" s="92"/>
      <c r="G122" s="94"/>
      <c r="H122" s="110" t="s">
        <v>82</v>
      </c>
      <c r="I122" s="110"/>
      <c r="J122" s="110"/>
      <c r="K122" s="110"/>
      <c r="L122" s="110"/>
    </row>
    <row r="123" spans="1:12" ht="14.25">
      <c r="A123" s="109" t="s">
        <v>94</v>
      </c>
      <c r="B123" s="109"/>
      <c r="C123" s="109"/>
      <c r="D123" s="109"/>
      <c r="E123" s="109"/>
      <c r="F123" s="92"/>
      <c r="G123" s="94"/>
      <c r="H123" s="109" t="s">
        <v>94</v>
      </c>
      <c r="I123" s="109"/>
      <c r="J123" s="109"/>
      <c r="K123" s="109"/>
      <c r="L123" s="109"/>
    </row>
    <row r="124" spans="1:12">
      <c r="A124" s="87"/>
      <c r="B124" s="87"/>
      <c r="C124" s="87"/>
      <c r="D124" s="22"/>
      <c r="E124" s="87"/>
      <c r="F124" s="87"/>
      <c r="G124" s="95"/>
      <c r="H124" s="87"/>
      <c r="I124" s="87"/>
      <c r="J124" s="87"/>
      <c r="K124" s="22"/>
      <c r="L124" s="87"/>
    </row>
    <row r="125" spans="1:12">
      <c r="A125" s="6"/>
      <c r="B125" s="123"/>
      <c r="C125" s="123"/>
      <c r="D125" s="123"/>
      <c r="E125" s="123" t="str">
        <f>VLOOKUP(VLOOKUP(A121,'01.2012'!$B$2:$AB$57,2,0),'01.2012'!$C$2:$E$57,3,0)</f>
        <v>ОТДЕЛ ПО НАУКЕ</v>
      </c>
      <c r="F125" s="87"/>
      <c r="G125" s="95"/>
      <c r="I125" s="123"/>
      <c r="J125" s="123"/>
      <c r="K125" s="123"/>
      <c r="L125" s="123" t="str">
        <f>VLOOKUP(VLOOKUP(H121,'01.2012'!$B$2:$AB$57,2,0),'01.2012'!$C$2:$E$57,3,0)</f>
        <v>ОТДЕЛ ПО НАУКЕ</v>
      </c>
    </row>
    <row r="126" spans="1:12">
      <c r="A126" s="124" t="s">
        <v>83</v>
      </c>
      <c r="B126" s="124"/>
      <c r="C126" s="6"/>
      <c r="D126" s="125"/>
      <c r="E126" s="125" t="str">
        <f>VLOOKUP(A121,'01.2012'!$B$2:$AB$57,4,0)</f>
        <v>Тољиддинов Абдукар</v>
      </c>
      <c r="F126" s="89"/>
      <c r="G126" s="96"/>
      <c r="H126" s="124" t="s">
        <v>83</v>
      </c>
      <c r="I126" s="124"/>
      <c r="K126" s="125"/>
      <c r="L126" s="125" t="str">
        <f>VLOOKUP(H121,'01.2012'!$B$2:$AB$57,4,0)</f>
        <v>Зокиров Закариё</v>
      </c>
    </row>
    <row r="127" spans="1:12">
      <c r="A127" s="93" t="s">
        <v>44</v>
      </c>
      <c r="B127" s="6"/>
      <c r="C127" s="126"/>
      <c r="D127" s="126"/>
      <c r="E127" s="126" t="str">
        <f>VLOOKUP(A121,'01.2012'!$B$2:$AB$57,5,0)</f>
        <v>иап</v>
      </c>
      <c r="F127" s="89"/>
      <c r="G127" s="96"/>
      <c r="H127" s="93" t="s">
        <v>44</v>
      </c>
      <c r="J127" s="126"/>
      <c r="K127" s="126"/>
      <c r="L127" s="126" t="str">
        <f>VLOOKUP(H121,'01.2012'!$B$2:$AB$57,5,0)</f>
        <v>ваываыва</v>
      </c>
    </row>
    <row r="128" spans="1:12" ht="39.75">
      <c r="A128" s="127" t="s">
        <v>105</v>
      </c>
      <c r="B128" s="128" t="s">
        <v>84</v>
      </c>
      <c r="C128" s="132" t="s">
        <v>85</v>
      </c>
      <c r="D128" s="128" t="s">
        <v>102</v>
      </c>
      <c r="E128" s="136" t="s">
        <v>106</v>
      </c>
      <c r="F128" s="6"/>
      <c r="G128" s="97"/>
      <c r="H128" s="127" t="s">
        <v>105</v>
      </c>
      <c r="I128" s="128" t="s">
        <v>84</v>
      </c>
      <c r="J128" s="132" t="s">
        <v>85</v>
      </c>
      <c r="K128" s="128" t="s">
        <v>102</v>
      </c>
      <c r="L128" s="135"/>
    </row>
    <row r="129" spans="1:12" ht="21">
      <c r="A129" s="99">
        <f>IF(VLOOKUP(A121,'01.2012'!$B$2:$AB$57,7,0)&lt;1,-VLOOKUP(A121,'01.2012'!$B$2:$AB$57,6,0),VLOOKUP(A121,'01.2012'!$B$2:$AB$57,7,0))</f>
        <v>0</v>
      </c>
      <c r="B129" s="90">
        <f>VLOOKUP(A121,'01.2012'!$B$2:$AB$57,14,0)</f>
        <v>118.9</v>
      </c>
      <c r="C129" s="91">
        <f>VLOOKUP(A121,'01.2012'!$B$2:$AB$57,25,0)</f>
        <v>9.4799999999999986</v>
      </c>
      <c r="D129" s="90">
        <f>VLOOKUP(A121,'01.2012'!$B$2:$AB$57,27,0)</f>
        <v>109.42</v>
      </c>
      <c r="E129" s="137" t="s">
        <v>106</v>
      </c>
      <c r="F129" s="6"/>
      <c r="G129" s="97"/>
      <c r="H129" s="99">
        <f>IF(VLOOKUP(H121,'01.2012'!$B$2:$AB$57,7,0)&lt;1,-VLOOKUP(H121,'01.2012'!$B$2:$AB$57,6,0),VLOOKUP(H121,'01.2012'!$B$2:$AB$57,7,0))</f>
        <v>0</v>
      </c>
      <c r="I129" s="90">
        <f>VLOOKUP(H121,'01.2012'!$B$2:$AB$57,14,0)</f>
        <v>156</v>
      </c>
      <c r="J129" s="91">
        <f>VLOOKUP(H121,'01.2012'!$B$2:$AB$57,25,0)</f>
        <v>15.000000000000002</v>
      </c>
      <c r="K129" s="90">
        <f>VLOOKUP(H121,'01.2012'!$B$2:$AB$57,27,0)</f>
        <v>141</v>
      </c>
      <c r="L129" s="129"/>
    </row>
    <row r="130" spans="1:12">
      <c r="A130" s="6"/>
      <c r="B130" s="6"/>
      <c r="C130" s="6"/>
      <c r="E130" s="88"/>
      <c r="F130" s="6"/>
      <c r="G130" s="97"/>
      <c r="L130" s="88"/>
    </row>
    <row r="131" spans="1:12">
      <c r="A131" s="121" t="s">
        <v>89</v>
      </c>
      <c r="B131" s="121"/>
      <c r="C131" s="6"/>
      <c r="E131" s="6"/>
      <c r="F131" s="6"/>
      <c r="G131" s="97"/>
      <c r="H131" s="121" t="s">
        <v>89</v>
      </c>
      <c r="I131" s="121"/>
    </row>
    <row r="132" spans="1:12">
      <c r="A132" s="122" t="s">
        <v>90</v>
      </c>
      <c r="B132" s="122"/>
      <c r="C132" s="6"/>
      <c r="E132" s="6"/>
      <c r="F132" s="6"/>
      <c r="G132" s="97"/>
      <c r="H132" s="122" t="s">
        <v>90</v>
      </c>
      <c r="I132" s="122"/>
    </row>
    <row r="133" spans="1:12">
      <c r="A133" s="108">
        <f t="shared" ref="A133" si="21">INT((ROW()-1)/12)*2+1+(COLUMN()&gt;6)</f>
        <v>23</v>
      </c>
      <c r="B133" s="138"/>
      <c r="C133" s="138"/>
      <c r="D133" s="139"/>
      <c r="E133" s="138"/>
      <c r="F133" s="138"/>
      <c r="G133" s="140"/>
      <c r="H133" s="108">
        <f t="shared" ref="H133" si="22">INT((ROW()-1)/12)*2+1+(COLUMN()&gt;6)</f>
        <v>24</v>
      </c>
      <c r="I133" s="98"/>
      <c r="J133" s="98"/>
      <c r="K133" s="100"/>
      <c r="L133" s="98"/>
    </row>
    <row r="134" spans="1:12" ht="14.25">
      <c r="A134" s="110" t="s">
        <v>82</v>
      </c>
      <c r="B134" s="110"/>
      <c r="C134" s="110"/>
      <c r="D134" s="110"/>
      <c r="E134" s="110"/>
      <c r="F134" s="92"/>
      <c r="G134" s="94"/>
      <c r="H134" s="110" t="s">
        <v>82</v>
      </c>
      <c r="I134" s="110"/>
      <c r="J134" s="110"/>
      <c r="K134" s="110"/>
      <c r="L134" s="110"/>
    </row>
    <row r="135" spans="1:12" ht="14.25">
      <c r="A135" s="109" t="s">
        <v>94</v>
      </c>
      <c r="B135" s="109"/>
      <c r="C135" s="109"/>
      <c r="D135" s="109"/>
      <c r="E135" s="109"/>
      <c r="F135" s="92"/>
      <c r="G135" s="94"/>
      <c r="H135" s="109" t="s">
        <v>94</v>
      </c>
      <c r="I135" s="109"/>
      <c r="J135" s="109"/>
      <c r="K135" s="109"/>
      <c r="L135" s="109"/>
    </row>
    <row r="136" spans="1:12">
      <c r="A136" s="87"/>
      <c r="B136" s="87"/>
      <c r="C136" s="87"/>
      <c r="D136" s="22"/>
      <c r="E136" s="87"/>
      <c r="F136" s="87"/>
      <c r="G136" s="95"/>
      <c r="H136" s="87"/>
      <c r="I136" s="87"/>
      <c r="J136" s="87"/>
      <c r="K136" s="22"/>
      <c r="L136" s="87"/>
    </row>
    <row r="137" spans="1:12">
      <c r="A137" s="6"/>
      <c r="B137" s="123"/>
      <c r="C137" s="123"/>
      <c r="D137" s="123"/>
      <c r="E137" s="123" t="str">
        <f>VLOOKUP(VLOOKUP(A133,'01.2012'!$B$2:$AB$57,2,0),'01.2012'!$C$2:$E$57,3,0)</f>
        <v>ОТДЕЛ ПО НАУКЕ</v>
      </c>
      <c r="F137" s="87"/>
      <c r="G137" s="95"/>
      <c r="I137" s="123"/>
      <c r="J137" s="123"/>
      <c r="K137" s="123"/>
      <c r="L137" s="123" t="str">
        <f>VLOOKUP(VLOOKUP(H133,'01.2012'!$B$2:$AB$57,2,0),'01.2012'!$C$2:$E$57,3,0)</f>
        <v>ОТДЕЛ ПО НАУКЕ</v>
      </c>
    </row>
    <row r="138" spans="1:12">
      <c r="A138" s="124" t="s">
        <v>83</v>
      </c>
      <c r="B138" s="124"/>
      <c r="C138" s="6"/>
      <c r="D138" s="125"/>
      <c r="E138" s="125" t="str">
        <f>VLOOKUP(A133,'01.2012'!$B$2:$AB$57,4,0)</f>
        <v>Аминов Муњаммад</v>
      </c>
      <c r="F138" s="89"/>
      <c r="G138" s="96"/>
      <c r="H138" s="124" t="s">
        <v>83</v>
      </c>
      <c r="I138" s="124"/>
      <c r="K138" s="125"/>
      <c r="L138" s="125" t="str">
        <f>VLOOKUP(H133,'01.2012'!$B$2:$AB$57,4,0)</f>
        <v>ывацукцукцукцукцу</v>
      </c>
    </row>
    <row r="139" spans="1:12">
      <c r="A139" s="93" t="s">
        <v>44</v>
      </c>
      <c r="B139" s="6"/>
      <c r="C139" s="126"/>
      <c r="D139" s="126"/>
      <c r="E139" s="126" t="str">
        <f>VLOOKUP(A133,'01.2012'!$B$2:$AB$57,5,0)</f>
        <v>фывфыв</v>
      </c>
      <c r="F139" s="89"/>
      <c r="G139" s="96"/>
      <c r="H139" s="93" t="s">
        <v>44</v>
      </c>
      <c r="J139" s="126"/>
      <c r="K139" s="126"/>
      <c r="L139" s="126" t="str">
        <f>VLOOKUP(H133,'01.2012'!$B$2:$AB$57,5,0)</f>
        <v>мимими</v>
      </c>
    </row>
    <row r="140" spans="1:12" ht="39.75">
      <c r="A140" s="127" t="s">
        <v>105</v>
      </c>
      <c r="B140" s="128" t="s">
        <v>84</v>
      </c>
      <c r="C140" s="132" t="s">
        <v>85</v>
      </c>
      <c r="D140" s="128" t="s">
        <v>102</v>
      </c>
      <c r="E140" s="136" t="s">
        <v>106</v>
      </c>
      <c r="F140" s="6"/>
      <c r="G140" s="97"/>
      <c r="H140" s="127" t="s">
        <v>105</v>
      </c>
      <c r="I140" s="128" t="s">
        <v>84</v>
      </c>
      <c r="J140" s="132" t="s">
        <v>85</v>
      </c>
      <c r="K140" s="128" t="s">
        <v>102</v>
      </c>
      <c r="L140" s="135"/>
    </row>
    <row r="141" spans="1:12" ht="21">
      <c r="A141" s="99">
        <f>IF(VLOOKUP(A133,'01.2012'!$B$2:$AB$57,7,0)&lt;1,-VLOOKUP(A133,'01.2012'!$B$2:$AB$57,6,0),VLOOKUP(A133,'01.2012'!$B$2:$AB$57,7,0))</f>
        <v>0</v>
      </c>
      <c r="B141" s="90">
        <f>VLOOKUP(A133,'01.2012'!$B$2:$AB$57,14,0)</f>
        <v>118.9</v>
      </c>
      <c r="C141" s="91">
        <f>VLOOKUP(A133,'01.2012'!$B$2:$AB$57,25,0)</f>
        <v>9.4799999999999986</v>
      </c>
      <c r="D141" s="90">
        <f>VLOOKUP(A133,'01.2012'!$B$2:$AB$57,27,0)</f>
        <v>109.42</v>
      </c>
      <c r="E141" s="137" t="s">
        <v>106</v>
      </c>
      <c r="F141" s="6"/>
      <c r="G141" s="97"/>
      <c r="H141" s="99">
        <f>IF(VLOOKUP(H133,'01.2012'!$B$2:$AB$57,7,0)&lt;1,-VLOOKUP(H133,'01.2012'!$B$2:$AB$57,6,0),VLOOKUP(H133,'01.2012'!$B$2:$AB$57,7,0))</f>
        <v>0</v>
      </c>
      <c r="I141" s="90">
        <f>VLOOKUP(H133,'01.2012'!$B$2:$AB$57,14,0)</f>
        <v>104</v>
      </c>
      <c r="J141" s="91">
        <f>VLOOKUP(H133,'01.2012'!$B$2:$AB$57,25,0)</f>
        <v>7.26</v>
      </c>
      <c r="K141" s="90">
        <f>VLOOKUP(H133,'01.2012'!$B$2:$AB$57,27,0)</f>
        <v>96.74</v>
      </c>
      <c r="L141" s="129"/>
    </row>
    <row r="142" spans="1:12">
      <c r="A142" s="6"/>
      <c r="B142" s="6"/>
      <c r="C142" s="6"/>
      <c r="E142" s="88"/>
      <c r="F142" s="6"/>
      <c r="G142" s="97"/>
      <c r="L142" s="88"/>
    </row>
    <row r="143" spans="1:12">
      <c r="A143" s="121" t="s">
        <v>89</v>
      </c>
      <c r="B143" s="121"/>
      <c r="C143" s="6"/>
      <c r="E143" s="6"/>
      <c r="F143" s="6"/>
      <c r="G143" s="97"/>
      <c r="H143" s="121" t="s">
        <v>89</v>
      </c>
      <c r="I143" s="121"/>
    </row>
    <row r="144" spans="1:12">
      <c r="A144" s="122" t="s">
        <v>90</v>
      </c>
      <c r="B144" s="122"/>
      <c r="C144" s="6"/>
      <c r="E144" s="6"/>
      <c r="F144" s="6"/>
      <c r="G144" s="97"/>
      <c r="H144" s="122" t="s">
        <v>90</v>
      </c>
      <c r="I144" s="122"/>
    </row>
    <row r="145" spans="1:12">
      <c r="A145" s="108">
        <f t="shared" ref="A145" si="23">INT((ROW()-1)/12)*2+1+(COLUMN()&gt;6)</f>
        <v>25</v>
      </c>
      <c r="B145" s="138"/>
      <c r="C145" s="138"/>
      <c r="D145" s="139"/>
      <c r="E145" s="138"/>
      <c r="F145" s="138"/>
      <c r="G145" s="140"/>
      <c r="H145" s="108">
        <f t="shared" ref="H145" si="24">INT((ROW()-1)/12)*2+1+(COLUMN()&gt;6)</f>
        <v>26</v>
      </c>
      <c r="I145" s="98"/>
      <c r="J145" s="98"/>
      <c r="K145" s="100"/>
      <c r="L145" s="98"/>
    </row>
    <row r="146" spans="1:12" ht="14.25">
      <c r="A146" s="110" t="s">
        <v>82</v>
      </c>
      <c r="B146" s="110"/>
      <c r="C146" s="110"/>
      <c r="D146" s="110"/>
      <c r="E146" s="110"/>
      <c r="F146" s="92"/>
      <c r="G146" s="94"/>
      <c r="H146" s="110" t="s">
        <v>82</v>
      </c>
      <c r="I146" s="110"/>
      <c r="J146" s="110"/>
      <c r="K146" s="110"/>
      <c r="L146" s="110"/>
    </row>
    <row r="147" spans="1:12" ht="14.25">
      <c r="A147" s="109" t="s">
        <v>94</v>
      </c>
      <c r="B147" s="109"/>
      <c r="C147" s="109"/>
      <c r="D147" s="109"/>
      <c r="E147" s="109"/>
      <c r="F147" s="92"/>
      <c r="G147" s="94"/>
      <c r="H147" s="109" t="s">
        <v>94</v>
      </c>
      <c r="I147" s="109"/>
      <c r="J147" s="109"/>
      <c r="K147" s="109"/>
      <c r="L147" s="109"/>
    </row>
    <row r="148" spans="1:12">
      <c r="A148" s="87"/>
      <c r="B148" s="87"/>
      <c r="C148" s="87"/>
      <c r="D148" s="22"/>
      <c r="E148" s="87"/>
      <c r="F148" s="87"/>
      <c r="G148" s="95"/>
      <c r="H148" s="87"/>
      <c r="I148" s="87"/>
      <c r="J148" s="87"/>
      <c r="K148" s="22"/>
      <c r="L148" s="87"/>
    </row>
    <row r="149" spans="1:12">
      <c r="A149" s="6"/>
      <c r="B149" s="123"/>
      <c r="C149" s="123"/>
      <c r="D149" s="123"/>
      <c r="E149" s="123" t="str">
        <f>VLOOKUP(VLOOKUP(A145,'01.2012'!$B$2:$AB$57,2,0),'01.2012'!$C$2:$E$57,3,0)</f>
        <v>ОТДЕЛ 1</v>
      </c>
      <c r="F149" s="87"/>
      <c r="G149" s="95"/>
      <c r="I149" s="123"/>
      <c r="J149" s="123"/>
      <c r="K149" s="123"/>
      <c r="L149" s="123" t="str">
        <f>VLOOKUP(VLOOKUP(H145,'01.2012'!$B$2:$AB$57,2,0),'01.2012'!$C$2:$E$57,3,0)</f>
        <v>ОТДЕЛ 1</v>
      </c>
    </row>
    <row r="150" spans="1:12">
      <c r="A150" s="124" t="s">
        <v>83</v>
      </c>
      <c r="B150" s="124"/>
      <c r="C150" s="6"/>
      <c r="D150" s="125"/>
      <c r="E150" s="125" t="str">
        <f>VLOOKUP(A145,'01.2012'!$B$2:$AB$57,4,0)</f>
        <v>Давлатов Сулаймон</v>
      </c>
      <c r="F150" s="89"/>
      <c r="G150" s="96"/>
      <c r="H150" s="124" t="s">
        <v>83</v>
      </c>
      <c r="I150" s="124"/>
      <c r="K150" s="125"/>
      <c r="L150" s="125" t="str">
        <f>VLOOKUP(H145,'01.2012'!$B$2:$AB$57,4,0)</f>
        <v>Љалилов Кобилљон</v>
      </c>
    </row>
    <row r="151" spans="1:12">
      <c r="A151" s="93" t="s">
        <v>44</v>
      </c>
      <c r="B151" s="6"/>
      <c r="C151" s="126"/>
      <c r="D151" s="126"/>
      <c r="E151" s="126" t="str">
        <f>VLOOKUP(A145,'01.2012'!$B$2:$AB$57,5,0)</f>
        <v>начальник</v>
      </c>
      <c r="F151" s="89"/>
      <c r="G151" s="96"/>
      <c r="H151" s="93" t="s">
        <v>44</v>
      </c>
      <c r="J151" s="126"/>
      <c r="K151" s="126"/>
      <c r="L151" s="126" t="str">
        <f>VLOOKUP(H145,'01.2012'!$B$2:$AB$57,5,0)</f>
        <v>спец</v>
      </c>
    </row>
    <row r="152" spans="1:12" ht="39.75">
      <c r="A152" s="127" t="s">
        <v>105</v>
      </c>
      <c r="B152" s="128" t="s">
        <v>84</v>
      </c>
      <c r="C152" s="132" t="s">
        <v>85</v>
      </c>
      <c r="D152" s="128" t="s">
        <v>102</v>
      </c>
      <c r="E152" s="136" t="s">
        <v>106</v>
      </c>
      <c r="F152" s="6"/>
      <c r="G152" s="97"/>
      <c r="H152" s="127" t="s">
        <v>105</v>
      </c>
      <c r="I152" s="128" t="s">
        <v>84</v>
      </c>
      <c r="J152" s="132" t="s">
        <v>85</v>
      </c>
      <c r="K152" s="128" t="s">
        <v>102</v>
      </c>
      <c r="L152" s="135"/>
    </row>
    <row r="153" spans="1:12" ht="21">
      <c r="A153" s="99">
        <f>IF(VLOOKUP(A145,'01.2012'!$B$2:$AB$57,7,0)&lt;1,-VLOOKUP(A145,'01.2012'!$B$2:$AB$57,6,0),VLOOKUP(A145,'01.2012'!$B$2:$AB$57,7,0))</f>
        <v>0</v>
      </c>
      <c r="B153" s="90">
        <f>VLOOKUP(A145,'01.2012'!$B$2:$AB$57,14,0)</f>
        <v>131.05000000000001</v>
      </c>
      <c r="C153" s="91">
        <f>VLOOKUP(A145,'01.2012'!$B$2:$AB$57,25,0)</f>
        <v>11.290000000000001</v>
      </c>
      <c r="D153" s="90">
        <f>VLOOKUP(A145,'01.2012'!$B$2:$AB$57,27,0)</f>
        <v>119.76</v>
      </c>
      <c r="E153" s="137" t="s">
        <v>106</v>
      </c>
      <c r="F153" s="6"/>
      <c r="G153" s="97"/>
      <c r="H153" s="99">
        <f>IF(VLOOKUP(H145,'01.2012'!$B$2:$AB$57,7,0)&lt;1,-VLOOKUP(H145,'01.2012'!$B$2:$AB$57,6,0),VLOOKUP(H145,'01.2012'!$B$2:$AB$57,7,0))</f>
        <v>0</v>
      </c>
      <c r="I153" s="90">
        <f>VLOOKUP(H145,'01.2012'!$B$2:$AB$57,14,0)</f>
        <v>104</v>
      </c>
      <c r="J153" s="91">
        <f>VLOOKUP(H145,'01.2012'!$B$2:$AB$57,25,0)</f>
        <v>7.26</v>
      </c>
      <c r="K153" s="90">
        <f>VLOOKUP(H145,'01.2012'!$B$2:$AB$57,27,0)</f>
        <v>96.74</v>
      </c>
      <c r="L153" s="129"/>
    </row>
    <row r="154" spans="1:12">
      <c r="A154" s="6"/>
      <c r="B154" s="6"/>
      <c r="C154" s="6"/>
      <c r="E154" s="88"/>
      <c r="F154" s="6"/>
      <c r="G154" s="97"/>
      <c r="L154" s="88"/>
    </row>
    <row r="155" spans="1:12">
      <c r="A155" s="121" t="s">
        <v>89</v>
      </c>
      <c r="B155" s="121"/>
      <c r="C155" s="6"/>
      <c r="E155" s="6"/>
      <c r="F155" s="6"/>
      <c r="G155" s="97"/>
      <c r="H155" s="121" t="s">
        <v>89</v>
      </c>
      <c r="I155" s="121"/>
    </row>
    <row r="156" spans="1:12">
      <c r="A156" s="122" t="s">
        <v>90</v>
      </c>
      <c r="B156" s="122"/>
      <c r="C156" s="6"/>
      <c r="E156" s="6"/>
      <c r="F156" s="6"/>
      <c r="G156" s="97"/>
      <c r="H156" s="122" t="s">
        <v>90</v>
      </c>
      <c r="I156" s="122"/>
    </row>
    <row r="157" spans="1:12">
      <c r="A157" s="108">
        <f t="shared" ref="A157" si="25">INT((ROW()-1)/12)*2+1+(COLUMN()&gt;6)</f>
        <v>27</v>
      </c>
      <c r="B157" s="138"/>
      <c r="C157" s="138"/>
      <c r="D157" s="139"/>
      <c r="E157" s="138"/>
      <c r="F157" s="138"/>
      <c r="G157" s="140"/>
      <c r="H157" s="108">
        <f t="shared" ref="H157" si="26">INT((ROW()-1)/12)*2+1+(COLUMN()&gt;6)</f>
        <v>28</v>
      </c>
      <c r="I157" s="98"/>
      <c r="J157" s="98"/>
      <c r="K157" s="100"/>
      <c r="L157" s="98"/>
    </row>
    <row r="158" spans="1:12" ht="14.25">
      <c r="A158" s="110" t="s">
        <v>82</v>
      </c>
      <c r="B158" s="110"/>
      <c r="C158" s="110"/>
      <c r="D158" s="110"/>
      <c r="E158" s="110"/>
      <c r="F158" s="92"/>
      <c r="G158" s="94"/>
      <c r="H158" s="110" t="s">
        <v>82</v>
      </c>
      <c r="I158" s="110"/>
      <c r="J158" s="110"/>
      <c r="K158" s="110"/>
      <c r="L158" s="110"/>
    </row>
    <row r="159" spans="1:12" ht="14.25">
      <c r="A159" s="109" t="s">
        <v>94</v>
      </c>
      <c r="B159" s="109"/>
      <c r="C159" s="109"/>
      <c r="D159" s="109"/>
      <c r="E159" s="109"/>
      <c r="F159" s="92"/>
      <c r="G159" s="94"/>
      <c r="H159" s="109" t="s">
        <v>94</v>
      </c>
      <c r="I159" s="109"/>
      <c r="J159" s="109"/>
      <c r="K159" s="109"/>
      <c r="L159" s="109"/>
    </row>
    <row r="160" spans="1:12">
      <c r="A160" s="87"/>
      <c r="B160" s="87"/>
      <c r="C160" s="87"/>
      <c r="D160" s="22"/>
      <c r="E160" s="87"/>
      <c r="F160" s="87"/>
      <c r="G160" s="95"/>
      <c r="H160" s="87"/>
      <c r="I160" s="87"/>
      <c r="J160" s="87"/>
      <c r="K160" s="22"/>
      <c r="L160" s="87"/>
    </row>
    <row r="161" spans="1:12">
      <c r="A161" s="6"/>
      <c r="B161" s="123"/>
      <c r="C161" s="123"/>
      <c r="D161" s="123"/>
      <c r="E161" s="123" t="str">
        <f>VLOOKUP(VLOOKUP(A157,'01.2012'!$B$2:$AB$57,2,0),'01.2012'!$C$2:$E$57,3,0)</f>
        <v>ОТДЕЛ 2</v>
      </c>
      <c r="F161" s="87"/>
      <c r="G161" s="95"/>
      <c r="I161" s="123"/>
      <c r="J161" s="123"/>
      <c r="K161" s="123"/>
      <c r="L161" s="123" t="str">
        <f>VLOOKUP(VLOOKUP(H157,'01.2012'!$B$2:$AB$57,2,0),'01.2012'!$C$2:$E$57,3,0)</f>
        <v>ОТДЕЛ 2</v>
      </c>
    </row>
    <row r="162" spans="1:12">
      <c r="A162" s="124" t="s">
        <v>83</v>
      </c>
      <c r="B162" s="124"/>
      <c r="C162" s="6"/>
      <c r="D162" s="125"/>
      <c r="E162" s="125" t="str">
        <f>VLOOKUP(A157,'01.2012'!$B$2:$AB$57,4,0)</f>
        <v>Рахимов Шавкат</v>
      </c>
      <c r="F162" s="89"/>
      <c r="G162" s="96"/>
      <c r="H162" s="124" t="s">
        <v>83</v>
      </c>
      <c r="I162" s="124"/>
      <c r="K162" s="125"/>
      <c r="L162" s="125" t="str">
        <f>VLOOKUP(H157,'01.2012'!$B$2:$AB$57,4,0)</f>
        <v>Давлатов Абдурахмон</v>
      </c>
    </row>
    <row r="163" spans="1:12">
      <c r="A163" s="93" t="s">
        <v>44</v>
      </c>
      <c r="B163" s="6"/>
      <c r="C163" s="126"/>
      <c r="D163" s="126"/>
      <c r="E163" s="126" t="str">
        <f>VLOOKUP(A157,'01.2012'!$B$2:$AB$57,5,0)</f>
        <v>начальник</v>
      </c>
      <c r="F163" s="89"/>
      <c r="G163" s="96"/>
      <c r="H163" s="93" t="s">
        <v>44</v>
      </c>
      <c r="J163" s="126"/>
      <c r="K163" s="126"/>
      <c r="L163" s="126" t="str">
        <f>VLOOKUP(H157,'01.2012'!$B$2:$AB$57,5,0)</f>
        <v>спец</v>
      </c>
    </row>
    <row r="164" spans="1:12" ht="39.75">
      <c r="A164" s="127" t="s">
        <v>105</v>
      </c>
      <c r="B164" s="128" t="s">
        <v>84</v>
      </c>
      <c r="C164" s="132" t="s">
        <v>85</v>
      </c>
      <c r="D164" s="128" t="s">
        <v>102</v>
      </c>
      <c r="E164" s="136" t="s">
        <v>106</v>
      </c>
      <c r="F164" s="6"/>
      <c r="G164" s="97"/>
      <c r="H164" s="127" t="s">
        <v>105</v>
      </c>
      <c r="I164" s="128" t="s">
        <v>84</v>
      </c>
      <c r="J164" s="132" t="s">
        <v>85</v>
      </c>
      <c r="K164" s="128" t="s">
        <v>102</v>
      </c>
      <c r="L164" s="135"/>
    </row>
    <row r="165" spans="1:12" ht="21">
      <c r="A165" s="99">
        <f>IF(VLOOKUP(A157,'01.2012'!$B$2:$AB$57,7,0)&lt;1,-VLOOKUP(A157,'01.2012'!$B$2:$AB$57,6,0),VLOOKUP(A157,'01.2012'!$B$2:$AB$57,7,0))</f>
        <v>0</v>
      </c>
      <c r="B165" s="90">
        <f>VLOOKUP(A157,'01.2012'!$B$2:$AB$57,14,0)</f>
        <v>131.05000000000001</v>
      </c>
      <c r="C165" s="91">
        <f>VLOOKUP(A157,'01.2012'!$B$2:$AB$57,25,0)</f>
        <v>11.290000000000001</v>
      </c>
      <c r="D165" s="90">
        <f>VLOOKUP(A157,'01.2012'!$B$2:$AB$57,27,0)</f>
        <v>119.76</v>
      </c>
      <c r="E165" s="137" t="s">
        <v>106</v>
      </c>
      <c r="F165" s="6"/>
      <c r="G165" s="97"/>
      <c r="H165" s="99">
        <f>IF(VLOOKUP(H157,'01.2012'!$B$2:$AB$57,7,0)&lt;1,-VLOOKUP(H157,'01.2012'!$B$2:$AB$57,6,0),VLOOKUP(H157,'01.2012'!$B$2:$AB$57,7,0))</f>
        <v>0</v>
      </c>
      <c r="I165" s="90">
        <f>VLOOKUP(H157,'01.2012'!$B$2:$AB$57,14,0)</f>
        <v>104</v>
      </c>
      <c r="J165" s="91">
        <f>VLOOKUP(H157,'01.2012'!$B$2:$AB$57,25,0)</f>
        <v>7.26</v>
      </c>
      <c r="K165" s="90">
        <f>VLOOKUP(H157,'01.2012'!$B$2:$AB$57,27,0)</f>
        <v>96.74</v>
      </c>
      <c r="L165" s="129"/>
    </row>
    <row r="166" spans="1:12">
      <c r="A166" s="6"/>
      <c r="B166" s="6"/>
      <c r="C166" s="6"/>
      <c r="E166" s="88"/>
      <c r="F166" s="6"/>
      <c r="G166" s="97"/>
      <c r="L166" s="88"/>
    </row>
    <row r="167" spans="1:12">
      <c r="A167" s="121" t="s">
        <v>89</v>
      </c>
      <c r="B167" s="121"/>
      <c r="C167" s="6"/>
      <c r="E167" s="6"/>
      <c r="F167" s="6"/>
      <c r="G167" s="97"/>
      <c r="H167" s="121" t="s">
        <v>89</v>
      </c>
      <c r="I167" s="121"/>
    </row>
    <row r="168" spans="1:12">
      <c r="A168" s="122" t="s">
        <v>90</v>
      </c>
      <c r="B168" s="122"/>
      <c r="C168" s="6"/>
      <c r="E168" s="6"/>
      <c r="F168" s="6"/>
      <c r="G168" s="97"/>
      <c r="H168" s="122" t="s">
        <v>90</v>
      </c>
      <c r="I168" s="122"/>
    </row>
    <row r="169" spans="1:12">
      <c r="A169" s="108">
        <f t="shared" ref="A169" si="27">INT((ROW()-1)/12)*2+1+(COLUMN()&gt;6)</f>
        <v>29</v>
      </c>
      <c r="B169" s="138"/>
      <c r="C169" s="138"/>
      <c r="D169" s="139"/>
      <c r="E169" s="138"/>
      <c r="F169" s="138"/>
      <c r="G169" s="140"/>
      <c r="H169" s="108">
        <f t="shared" ref="H169" si="28">INT((ROW()-1)/12)*2+1+(COLUMN()&gt;6)</f>
        <v>30</v>
      </c>
      <c r="I169" s="98"/>
      <c r="J169" s="98"/>
      <c r="K169" s="100"/>
      <c r="L169" s="98"/>
    </row>
    <row r="170" spans="1:12" ht="14.25">
      <c r="A170" s="110" t="s">
        <v>82</v>
      </c>
      <c r="B170" s="110"/>
      <c r="C170" s="110"/>
      <c r="D170" s="110"/>
      <c r="E170" s="110"/>
      <c r="F170" s="92"/>
      <c r="G170" s="94"/>
      <c r="H170" s="110" t="s">
        <v>82</v>
      </c>
      <c r="I170" s="110"/>
      <c r="J170" s="110"/>
      <c r="K170" s="110"/>
      <c r="L170" s="110"/>
    </row>
    <row r="171" spans="1:12" ht="14.25">
      <c r="A171" s="109" t="s">
        <v>94</v>
      </c>
      <c r="B171" s="109"/>
      <c r="C171" s="109"/>
      <c r="D171" s="109"/>
      <c r="E171" s="109"/>
      <c r="F171" s="92"/>
      <c r="G171" s="94"/>
      <c r="H171" s="109" t="s">
        <v>94</v>
      </c>
      <c r="I171" s="109"/>
      <c r="J171" s="109"/>
      <c r="K171" s="109"/>
      <c r="L171" s="109"/>
    </row>
    <row r="172" spans="1:12">
      <c r="A172" s="87"/>
      <c r="B172" s="87"/>
      <c r="C172" s="87"/>
      <c r="D172" s="22"/>
      <c r="E172" s="87"/>
      <c r="F172" s="87"/>
      <c r="G172" s="95"/>
      <c r="H172" s="87"/>
      <c r="I172" s="87"/>
      <c r="J172" s="87"/>
      <c r="K172" s="22"/>
      <c r="L172" s="87"/>
    </row>
    <row r="173" spans="1:12">
      <c r="A173" s="6"/>
      <c r="B173" s="123"/>
      <c r="C173" s="123"/>
      <c r="D173" s="123"/>
      <c r="E173" s="123" t="str">
        <f>VLOOKUP(VLOOKUP(A169,'01.2012'!$B$2:$AB$57,2,0),'01.2012'!$C$2:$E$57,3,0)</f>
        <v>ОТДЕЛ 2</v>
      </c>
      <c r="F173" s="87"/>
      <c r="G173" s="95"/>
      <c r="I173" s="123"/>
      <c r="J173" s="123"/>
      <c r="K173" s="123"/>
      <c r="L173" s="123" t="e">
        <f>VLOOKUP(VLOOKUP(H169,'01.2012'!$B$2:$AB$57,2,0),'01.2012'!$C$2:$E$57,3,0)</f>
        <v>#N/A</v>
      </c>
    </row>
    <row r="174" spans="1:12">
      <c r="A174" s="124" t="s">
        <v>83</v>
      </c>
      <c r="B174" s="124"/>
      <c r="C174" s="6"/>
      <c r="D174" s="125"/>
      <c r="E174" s="125" t="str">
        <f>VLOOKUP(A169,'01.2012'!$B$2:$AB$57,4,0)</f>
        <v>Тоиров Љурали</v>
      </c>
      <c r="F174" s="89"/>
      <c r="G174" s="96"/>
      <c r="H174" s="124" t="s">
        <v>83</v>
      </c>
      <c r="I174" s="124"/>
      <c r="K174" s="125"/>
      <c r="L174" s="125" t="e">
        <f>VLOOKUP(H169,'01.2012'!$B$2:$AB$57,4,0)</f>
        <v>#N/A</v>
      </c>
    </row>
    <row r="175" spans="1:12">
      <c r="A175" s="93" t="s">
        <v>44</v>
      </c>
      <c r="B175" s="6"/>
      <c r="C175" s="126"/>
      <c r="D175" s="126"/>
      <c r="E175" s="126" t="str">
        <f>VLOOKUP(A169,'01.2012'!$B$2:$AB$57,5,0)</f>
        <v>спец</v>
      </c>
      <c r="F175" s="89"/>
      <c r="G175" s="96"/>
      <c r="H175" s="93" t="s">
        <v>44</v>
      </c>
      <c r="J175" s="126"/>
      <c r="K175" s="126"/>
      <c r="L175" s="126" t="e">
        <f>VLOOKUP(H169,'01.2012'!$B$2:$AB$57,5,0)</f>
        <v>#N/A</v>
      </c>
    </row>
    <row r="176" spans="1:12" ht="39.75">
      <c r="A176" s="127" t="s">
        <v>105</v>
      </c>
      <c r="B176" s="128" t="s">
        <v>84</v>
      </c>
      <c r="C176" s="132" t="s">
        <v>85</v>
      </c>
      <c r="D176" s="128" t="s">
        <v>102</v>
      </c>
      <c r="E176" s="136" t="s">
        <v>106</v>
      </c>
      <c r="F176" s="6"/>
      <c r="G176" s="97"/>
      <c r="H176" s="127" t="s">
        <v>105</v>
      </c>
      <c r="I176" s="128" t="s">
        <v>84</v>
      </c>
      <c r="J176" s="132" t="s">
        <v>85</v>
      </c>
      <c r="K176" s="128" t="s">
        <v>102</v>
      </c>
      <c r="L176" s="135"/>
    </row>
    <row r="177" spans="1:12" ht="21">
      <c r="A177" s="99">
        <f>IF(VLOOKUP(A169,'01.2012'!$B$2:$AB$57,7,0)&lt;1,-VLOOKUP(A169,'01.2012'!$B$2:$AB$57,6,0),VLOOKUP(A169,'01.2012'!$B$2:$AB$57,7,0))</f>
        <v>0</v>
      </c>
      <c r="B177" s="90">
        <f>VLOOKUP(A169,'01.2012'!$B$2:$AB$57,14,0)</f>
        <v>104</v>
      </c>
      <c r="C177" s="91">
        <f>VLOOKUP(A169,'01.2012'!$B$2:$AB$57,25,0)</f>
        <v>7.26</v>
      </c>
      <c r="D177" s="90">
        <f>VLOOKUP(A169,'01.2012'!$B$2:$AB$57,27,0)</f>
        <v>96.74</v>
      </c>
      <c r="E177" s="137" t="s">
        <v>106</v>
      </c>
      <c r="F177" s="6"/>
      <c r="G177" s="97"/>
      <c r="H177" s="99" t="e">
        <f>IF(VLOOKUP(H169,'01.2012'!$B$2:$AB$57,7,0)&lt;1,-VLOOKUP(H169,'01.2012'!$B$2:$AB$57,6,0),VLOOKUP(H169,'01.2012'!$B$2:$AB$57,7,0))</f>
        <v>#N/A</v>
      </c>
      <c r="I177" s="90" t="e">
        <f>VLOOKUP(H169,'01.2012'!$B$2:$AB$57,14,0)</f>
        <v>#N/A</v>
      </c>
      <c r="J177" s="91" t="e">
        <f>VLOOKUP(H169,'01.2012'!$B$2:$AB$57,25,0)</f>
        <v>#N/A</v>
      </c>
      <c r="K177" s="90" t="e">
        <f>VLOOKUP(H169,'01.2012'!$B$2:$AB$57,27,0)</f>
        <v>#N/A</v>
      </c>
      <c r="L177" s="129"/>
    </row>
    <row r="178" spans="1:12">
      <c r="A178" s="6"/>
      <c r="B178" s="6"/>
      <c r="C178" s="6"/>
      <c r="E178" s="88"/>
      <c r="F178" s="6"/>
      <c r="G178" s="97"/>
      <c r="L178" s="88"/>
    </row>
    <row r="179" spans="1:12">
      <c r="A179" s="121" t="s">
        <v>89</v>
      </c>
      <c r="B179" s="121"/>
      <c r="C179" s="6"/>
      <c r="E179" s="6"/>
      <c r="F179" s="6"/>
      <c r="G179" s="97"/>
      <c r="H179" s="121" t="s">
        <v>89</v>
      </c>
      <c r="I179" s="121"/>
    </row>
    <row r="180" spans="1:12">
      <c r="A180" s="122" t="s">
        <v>90</v>
      </c>
      <c r="B180" s="122"/>
      <c r="C180" s="6"/>
      <c r="E180" s="6"/>
      <c r="F180" s="6"/>
      <c r="G180" s="97"/>
      <c r="H180" s="122" t="s">
        <v>90</v>
      </c>
      <c r="I180" s="122"/>
    </row>
    <row r="181" spans="1:12">
      <c r="A181" s="108">
        <f t="shared" ref="A181" si="29">INT((ROW()-1)/12)*2+1+(COLUMN()&gt;6)</f>
        <v>31</v>
      </c>
      <c r="B181" s="138"/>
      <c r="C181" s="138"/>
      <c r="D181" s="139"/>
      <c r="E181" s="138"/>
      <c r="F181" s="138"/>
      <c r="G181" s="140"/>
      <c r="H181" s="108">
        <f t="shared" ref="H181" si="30">INT((ROW()-1)/12)*2+1+(COLUMN()&gt;6)</f>
        <v>32</v>
      </c>
      <c r="I181" s="98"/>
      <c r="J181" s="98"/>
      <c r="K181" s="100"/>
      <c r="L181" s="98"/>
    </row>
    <row r="182" spans="1:12" ht="14.25">
      <c r="A182" s="110" t="s">
        <v>82</v>
      </c>
      <c r="B182" s="110"/>
      <c r="C182" s="110"/>
      <c r="D182" s="110"/>
      <c r="E182" s="110"/>
      <c r="F182" s="92"/>
      <c r="G182" s="94"/>
      <c r="H182" s="110" t="s">
        <v>82</v>
      </c>
      <c r="I182" s="110"/>
      <c r="J182" s="110"/>
      <c r="K182" s="110"/>
      <c r="L182" s="110"/>
    </row>
    <row r="183" spans="1:12" ht="14.25">
      <c r="A183" s="109" t="s">
        <v>94</v>
      </c>
      <c r="B183" s="109"/>
      <c r="C183" s="109"/>
      <c r="D183" s="109"/>
      <c r="E183" s="109"/>
      <c r="F183" s="92"/>
      <c r="G183" s="94"/>
      <c r="H183" s="109" t="s">
        <v>94</v>
      </c>
      <c r="I183" s="109"/>
      <c r="J183" s="109"/>
      <c r="K183" s="109"/>
      <c r="L183" s="109"/>
    </row>
    <row r="184" spans="1:12">
      <c r="A184" s="87"/>
      <c r="B184" s="87"/>
      <c r="C184" s="87"/>
      <c r="D184" s="22"/>
      <c r="E184" s="87"/>
      <c r="F184" s="87"/>
      <c r="G184" s="95"/>
      <c r="H184" s="87"/>
      <c r="I184" s="87"/>
      <c r="J184" s="87"/>
      <c r="K184" s="22"/>
      <c r="L184" s="87"/>
    </row>
    <row r="185" spans="1:12">
      <c r="A185" s="6"/>
      <c r="B185" s="123"/>
      <c r="C185" s="123"/>
      <c r="D185" s="123"/>
      <c r="E185" s="123" t="e">
        <f>VLOOKUP(VLOOKUP(A181,'01.2012'!$B$2:$AB$57,2,0),'01.2012'!$C$2:$E$57,3,0)</f>
        <v>#N/A</v>
      </c>
      <c r="F185" s="87"/>
      <c r="G185" s="95"/>
      <c r="I185" s="123"/>
      <c r="J185" s="123"/>
      <c r="K185" s="123"/>
      <c r="L185" s="123" t="e">
        <f>VLOOKUP(VLOOKUP(H181,'01.2012'!$B$2:$AB$57,2,0),'01.2012'!$C$2:$E$57,3,0)</f>
        <v>#N/A</v>
      </c>
    </row>
    <row r="186" spans="1:12">
      <c r="A186" s="124" t="s">
        <v>83</v>
      </c>
      <c r="B186" s="124"/>
      <c r="C186" s="6"/>
      <c r="D186" s="125"/>
      <c r="E186" s="125" t="e">
        <f>VLOOKUP(A181,'01.2012'!$B$2:$AB$57,4,0)</f>
        <v>#N/A</v>
      </c>
      <c r="F186" s="89"/>
      <c r="G186" s="96"/>
      <c r="H186" s="124" t="s">
        <v>83</v>
      </c>
      <c r="I186" s="124"/>
      <c r="K186" s="125"/>
      <c r="L186" s="125" t="e">
        <f>VLOOKUP(H181,'01.2012'!$B$2:$AB$57,4,0)</f>
        <v>#N/A</v>
      </c>
    </row>
    <row r="187" spans="1:12">
      <c r="A187" s="93" t="s">
        <v>44</v>
      </c>
      <c r="B187" s="6"/>
      <c r="C187" s="126"/>
      <c r="D187" s="126"/>
      <c r="E187" s="126" t="e">
        <f>VLOOKUP(A181,'01.2012'!$B$2:$AB$57,5,0)</f>
        <v>#N/A</v>
      </c>
      <c r="F187" s="89"/>
      <c r="G187" s="96"/>
      <c r="H187" s="93" t="s">
        <v>44</v>
      </c>
      <c r="J187" s="126"/>
      <c r="K187" s="126"/>
      <c r="L187" s="126" t="e">
        <f>VLOOKUP(H181,'01.2012'!$B$2:$AB$57,5,0)</f>
        <v>#N/A</v>
      </c>
    </row>
    <row r="188" spans="1:12" ht="39.75">
      <c r="A188" s="127" t="s">
        <v>105</v>
      </c>
      <c r="B188" s="128" t="s">
        <v>84</v>
      </c>
      <c r="C188" s="132" t="s">
        <v>85</v>
      </c>
      <c r="D188" s="128" t="s">
        <v>102</v>
      </c>
      <c r="E188" s="136" t="s">
        <v>106</v>
      </c>
      <c r="F188" s="6"/>
      <c r="G188" s="97"/>
      <c r="H188" s="127" t="s">
        <v>105</v>
      </c>
      <c r="I188" s="128" t="s">
        <v>84</v>
      </c>
      <c r="J188" s="132" t="s">
        <v>85</v>
      </c>
      <c r="K188" s="128" t="s">
        <v>102</v>
      </c>
      <c r="L188" s="135"/>
    </row>
    <row r="189" spans="1:12" ht="21">
      <c r="A189" s="99" t="e">
        <f>IF(VLOOKUP(A181,'01.2012'!$B$2:$AB$57,7,0)&lt;1,-VLOOKUP(A181,'01.2012'!$B$2:$AB$57,6,0),VLOOKUP(A181,'01.2012'!$B$2:$AB$57,7,0))</f>
        <v>#N/A</v>
      </c>
      <c r="B189" s="90" t="e">
        <f>VLOOKUP(A181,'01.2012'!$B$2:$AB$57,14,0)</f>
        <v>#N/A</v>
      </c>
      <c r="C189" s="91" t="e">
        <f>VLOOKUP(A181,'01.2012'!$B$2:$AB$57,25,0)</f>
        <v>#N/A</v>
      </c>
      <c r="D189" s="90" t="e">
        <f>VLOOKUP(A181,'01.2012'!$B$2:$AB$57,27,0)</f>
        <v>#N/A</v>
      </c>
      <c r="E189" s="137" t="s">
        <v>106</v>
      </c>
      <c r="F189" s="6"/>
      <c r="G189" s="97"/>
      <c r="H189" s="99" t="e">
        <f>IF(VLOOKUP(H181,'01.2012'!$B$2:$AB$57,7,0)&lt;1,-VLOOKUP(H181,'01.2012'!$B$2:$AB$57,6,0),VLOOKUP(H181,'01.2012'!$B$2:$AB$57,7,0))</f>
        <v>#N/A</v>
      </c>
      <c r="I189" s="90" t="e">
        <f>VLOOKUP(H181,'01.2012'!$B$2:$AB$57,14,0)</f>
        <v>#N/A</v>
      </c>
      <c r="J189" s="91" t="e">
        <f>VLOOKUP(H181,'01.2012'!$B$2:$AB$57,25,0)</f>
        <v>#N/A</v>
      </c>
      <c r="K189" s="90" t="e">
        <f>VLOOKUP(H181,'01.2012'!$B$2:$AB$57,27,0)</f>
        <v>#N/A</v>
      </c>
      <c r="L189" s="129"/>
    </row>
    <row r="190" spans="1:12">
      <c r="A190" s="6"/>
      <c r="B190" s="6"/>
      <c r="C190" s="6"/>
      <c r="E190" s="88"/>
      <c r="F190" s="6"/>
      <c r="G190" s="97"/>
      <c r="L190" s="88"/>
    </row>
    <row r="191" spans="1:12">
      <c r="A191" s="121" t="s">
        <v>89</v>
      </c>
      <c r="B191" s="121"/>
      <c r="C191" s="6"/>
      <c r="E191" s="6"/>
      <c r="F191" s="6"/>
      <c r="G191" s="97"/>
      <c r="H191" s="121" t="s">
        <v>89</v>
      </c>
      <c r="I191" s="121"/>
    </row>
    <row r="192" spans="1:12">
      <c r="A192" s="122" t="s">
        <v>90</v>
      </c>
      <c r="B192" s="122"/>
      <c r="C192" s="6"/>
      <c r="E192" s="6"/>
      <c r="F192" s="6"/>
      <c r="G192" s="97"/>
      <c r="H192" s="122" t="s">
        <v>90</v>
      </c>
      <c r="I192" s="122"/>
    </row>
    <row r="193" spans="1:12">
      <c r="A193" s="108">
        <f t="shared" ref="A193" si="31">INT((ROW()-1)/12)*2+1+(COLUMN()&gt;6)</f>
        <v>33</v>
      </c>
      <c r="B193" s="138"/>
      <c r="C193" s="138"/>
      <c r="D193" s="139"/>
      <c r="E193" s="138"/>
      <c r="F193" s="138"/>
      <c r="G193" s="140"/>
      <c r="H193" s="108">
        <f t="shared" ref="H193" si="32">INT((ROW()-1)/12)*2+1+(COLUMN()&gt;6)</f>
        <v>34</v>
      </c>
      <c r="I193" s="98"/>
      <c r="J193" s="98"/>
      <c r="K193" s="100"/>
      <c r="L193" s="98"/>
    </row>
    <row r="194" spans="1:12" ht="14.25">
      <c r="A194" s="110" t="s">
        <v>82</v>
      </c>
      <c r="B194" s="110"/>
      <c r="C194" s="110"/>
      <c r="D194" s="110"/>
      <c r="E194" s="110"/>
      <c r="F194" s="92"/>
      <c r="G194" s="94"/>
      <c r="H194" s="110" t="s">
        <v>82</v>
      </c>
      <c r="I194" s="110"/>
      <c r="J194" s="110"/>
      <c r="K194" s="110"/>
      <c r="L194" s="110"/>
    </row>
    <row r="195" spans="1:12" ht="14.25">
      <c r="A195" s="109" t="s">
        <v>94</v>
      </c>
      <c r="B195" s="109"/>
      <c r="C195" s="109"/>
      <c r="D195" s="109"/>
      <c r="E195" s="109"/>
      <c r="F195" s="92"/>
      <c r="G195" s="94"/>
      <c r="H195" s="109" t="s">
        <v>94</v>
      </c>
      <c r="I195" s="109"/>
      <c r="J195" s="109"/>
      <c r="K195" s="109"/>
      <c r="L195" s="109"/>
    </row>
    <row r="196" spans="1:12">
      <c r="A196" s="87"/>
      <c r="B196" s="87"/>
      <c r="C196" s="87"/>
      <c r="D196" s="22"/>
      <c r="E196" s="87"/>
      <c r="F196" s="87"/>
      <c r="G196" s="95"/>
      <c r="H196" s="87"/>
      <c r="I196" s="87"/>
      <c r="J196" s="87"/>
      <c r="K196" s="22"/>
      <c r="L196" s="87"/>
    </row>
    <row r="197" spans="1:12">
      <c r="A197" s="6"/>
      <c r="B197" s="123"/>
      <c r="C197" s="123"/>
      <c r="D197" s="123"/>
      <c r="E197" s="123" t="e">
        <f>VLOOKUP(VLOOKUP(A193,'01.2012'!$B$2:$AB$57,2,0),'01.2012'!$C$2:$E$57,3,0)</f>
        <v>#N/A</v>
      </c>
      <c r="F197" s="87"/>
      <c r="G197" s="95"/>
      <c r="I197" s="123"/>
      <c r="J197" s="123"/>
      <c r="K197" s="123"/>
      <c r="L197" s="123" t="e">
        <f>VLOOKUP(VLOOKUP(H193,'01.2012'!$B$2:$AB$57,2,0),'01.2012'!$C$2:$E$57,3,0)</f>
        <v>#N/A</v>
      </c>
    </row>
    <row r="198" spans="1:12">
      <c r="A198" s="124" t="s">
        <v>83</v>
      </c>
      <c r="B198" s="124"/>
      <c r="C198" s="6"/>
      <c r="D198" s="125"/>
      <c r="E198" s="125" t="e">
        <f>VLOOKUP(A193,'01.2012'!$B$2:$AB$57,4,0)</f>
        <v>#N/A</v>
      </c>
      <c r="F198" s="89"/>
      <c r="G198" s="96"/>
      <c r="H198" s="124" t="s">
        <v>83</v>
      </c>
      <c r="I198" s="124"/>
      <c r="K198" s="125"/>
      <c r="L198" s="125" t="e">
        <f>VLOOKUP(H193,'01.2012'!$B$2:$AB$57,4,0)</f>
        <v>#N/A</v>
      </c>
    </row>
    <row r="199" spans="1:12">
      <c r="A199" s="93" t="s">
        <v>44</v>
      </c>
      <c r="B199" s="6"/>
      <c r="C199" s="126"/>
      <c r="D199" s="126"/>
      <c r="E199" s="126" t="e">
        <f>VLOOKUP(A193,'01.2012'!$B$2:$AB$57,5,0)</f>
        <v>#N/A</v>
      </c>
      <c r="F199" s="89"/>
      <c r="G199" s="96"/>
      <c r="H199" s="93" t="s">
        <v>44</v>
      </c>
      <c r="J199" s="126"/>
      <c r="K199" s="126"/>
      <c r="L199" s="126" t="e">
        <f>VLOOKUP(H193,'01.2012'!$B$2:$AB$57,5,0)</f>
        <v>#N/A</v>
      </c>
    </row>
    <row r="200" spans="1:12" ht="39.75">
      <c r="A200" s="127" t="s">
        <v>105</v>
      </c>
      <c r="B200" s="128" t="s">
        <v>84</v>
      </c>
      <c r="C200" s="132" t="s">
        <v>85</v>
      </c>
      <c r="D200" s="128" t="s">
        <v>102</v>
      </c>
      <c r="E200" s="136" t="s">
        <v>106</v>
      </c>
      <c r="F200" s="6"/>
      <c r="G200" s="97"/>
      <c r="H200" s="127" t="s">
        <v>105</v>
      </c>
      <c r="I200" s="128" t="s">
        <v>84</v>
      </c>
      <c r="J200" s="132" t="s">
        <v>85</v>
      </c>
      <c r="K200" s="128" t="s">
        <v>102</v>
      </c>
      <c r="L200" s="135"/>
    </row>
    <row r="201" spans="1:12" ht="21">
      <c r="A201" s="99" t="e">
        <f>IF(VLOOKUP(A193,'01.2012'!$B$2:$AB$57,7,0)&lt;1,-VLOOKUP(A193,'01.2012'!$B$2:$AB$57,6,0),VLOOKUP(A193,'01.2012'!$B$2:$AB$57,7,0))</f>
        <v>#N/A</v>
      </c>
      <c r="B201" s="90" t="e">
        <f>VLOOKUP(A193,'01.2012'!$B$2:$AB$57,14,0)</f>
        <v>#N/A</v>
      </c>
      <c r="C201" s="91" t="e">
        <f>VLOOKUP(A193,'01.2012'!$B$2:$AB$57,25,0)</f>
        <v>#N/A</v>
      </c>
      <c r="D201" s="90" t="e">
        <f>VLOOKUP(A193,'01.2012'!$B$2:$AB$57,27,0)</f>
        <v>#N/A</v>
      </c>
      <c r="E201" s="137" t="s">
        <v>106</v>
      </c>
      <c r="F201" s="6"/>
      <c r="G201" s="97"/>
      <c r="H201" s="99" t="e">
        <f>IF(VLOOKUP(H193,'01.2012'!$B$2:$AB$57,7,0)&lt;1,-VLOOKUP(H193,'01.2012'!$B$2:$AB$57,6,0),VLOOKUP(H193,'01.2012'!$B$2:$AB$57,7,0))</f>
        <v>#N/A</v>
      </c>
      <c r="I201" s="90" t="e">
        <f>VLOOKUP(H193,'01.2012'!$B$2:$AB$57,14,0)</f>
        <v>#N/A</v>
      </c>
      <c r="J201" s="91" t="e">
        <f>VLOOKUP(H193,'01.2012'!$B$2:$AB$57,25,0)</f>
        <v>#N/A</v>
      </c>
      <c r="K201" s="90" t="e">
        <f>VLOOKUP(H193,'01.2012'!$B$2:$AB$57,27,0)</f>
        <v>#N/A</v>
      </c>
      <c r="L201" s="129"/>
    </row>
    <row r="202" spans="1:12">
      <c r="A202" s="6"/>
      <c r="B202" s="6"/>
      <c r="C202" s="6"/>
      <c r="E202" s="88"/>
      <c r="F202" s="6"/>
      <c r="G202" s="97"/>
      <c r="L202" s="88"/>
    </row>
    <row r="203" spans="1:12">
      <c r="A203" s="121" t="s">
        <v>89</v>
      </c>
      <c r="B203" s="121"/>
      <c r="C203" s="6"/>
      <c r="E203" s="6"/>
      <c r="F203" s="6"/>
      <c r="G203" s="97"/>
      <c r="H203" s="121" t="s">
        <v>89</v>
      </c>
      <c r="I203" s="121"/>
    </row>
    <row r="204" spans="1:12">
      <c r="A204" s="122" t="s">
        <v>90</v>
      </c>
      <c r="B204" s="122"/>
      <c r="C204" s="6"/>
      <c r="E204" s="6"/>
      <c r="F204" s="6"/>
      <c r="G204" s="97"/>
      <c r="H204" s="122" t="s">
        <v>90</v>
      </c>
      <c r="I204" s="122"/>
    </row>
    <row r="205" spans="1:12">
      <c r="A205" s="108">
        <f t="shared" ref="A205" si="33">INT((ROW()-1)/12)*2+1+(COLUMN()&gt;6)</f>
        <v>35</v>
      </c>
      <c r="B205" s="138"/>
      <c r="C205" s="138"/>
      <c r="D205" s="139"/>
      <c r="E205" s="138"/>
      <c r="F205" s="138"/>
      <c r="G205" s="140"/>
      <c r="H205" s="108">
        <f t="shared" ref="H205" si="34">INT((ROW()-1)/12)*2+1+(COLUMN()&gt;6)</f>
        <v>36</v>
      </c>
      <c r="I205" s="98"/>
      <c r="J205" s="98"/>
      <c r="K205" s="100"/>
      <c r="L205" s="98"/>
    </row>
    <row r="206" spans="1:12" ht="14.25">
      <c r="A206" s="110" t="s">
        <v>82</v>
      </c>
      <c r="B206" s="110"/>
      <c r="C206" s="110"/>
      <c r="D206" s="110"/>
      <c r="E206" s="110"/>
      <c r="F206" s="92"/>
      <c r="G206" s="94"/>
      <c r="H206" s="110" t="s">
        <v>82</v>
      </c>
      <c r="I206" s="110"/>
      <c r="J206" s="110"/>
      <c r="K206" s="110"/>
      <c r="L206" s="110"/>
    </row>
    <row r="207" spans="1:12" ht="14.25">
      <c r="A207" s="109" t="s">
        <v>94</v>
      </c>
      <c r="B207" s="109"/>
      <c r="C207" s="109"/>
      <c r="D207" s="109"/>
      <c r="E207" s="109"/>
      <c r="F207" s="92"/>
      <c r="G207" s="94"/>
      <c r="H207" s="109" t="s">
        <v>94</v>
      </c>
      <c r="I207" s="109"/>
      <c r="J207" s="109"/>
      <c r="K207" s="109"/>
      <c r="L207" s="109"/>
    </row>
    <row r="208" spans="1:12">
      <c r="A208" s="87"/>
      <c r="B208" s="87"/>
      <c r="C208" s="87"/>
      <c r="D208" s="22"/>
      <c r="E208" s="87"/>
      <c r="F208" s="87"/>
      <c r="G208" s="95"/>
      <c r="H208" s="87"/>
      <c r="I208" s="87"/>
      <c r="J208" s="87"/>
      <c r="K208" s="22"/>
      <c r="L208" s="87"/>
    </row>
    <row r="209" spans="1:12">
      <c r="A209" s="6"/>
      <c r="B209" s="123"/>
      <c r="C209" s="123"/>
      <c r="D209" s="123"/>
      <c r="E209" s="123" t="e">
        <f>VLOOKUP(VLOOKUP(A205,'01.2012'!$B$2:$AB$57,2,0),'01.2012'!$C$2:$E$57,3,0)</f>
        <v>#N/A</v>
      </c>
      <c r="F209" s="87"/>
      <c r="G209" s="95"/>
      <c r="I209" s="123"/>
      <c r="J209" s="123"/>
      <c r="K209" s="123"/>
      <c r="L209" s="123" t="e">
        <f>VLOOKUP(VLOOKUP(H205,'01.2012'!$B$2:$AB$57,2,0),'01.2012'!$C$2:$E$57,3,0)</f>
        <v>#N/A</v>
      </c>
    </row>
    <row r="210" spans="1:12">
      <c r="A210" s="124" t="s">
        <v>83</v>
      </c>
      <c r="B210" s="124"/>
      <c r="C210" s="6"/>
      <c r="D210" s="125"/>
      <c r="E210" s="125" t="e">
        <f>VLOOKUP(A205,'01.2012'!$B$2:$AB$57,4,0)</f>
        <v>#N/A</v>
      </c>
      <c r="F210" s="89"/>
      <c r="G210" s="96"/>
      <c r="H210" s="124" t="s">
        <v>83</v>
      </c>
      <c r="I210" s="124"/>
      <c r="K210" s="125"/>
      <c r="L210" s="125" t="e">
        <f>VLOOKUP(H205,'01.2012'!$B$2:$AB$57,4,0)</f>
        <v>#N/A</v>
      </c>
    </row>
    <row r="211" spans="1:12">
      <c r="A211" s="93" t="s">
        <v>44</v>
      </c>
      <c r="B211" s="6"/>
      <c r="C211" s="126"/>
      <c r="D211" s="126"/>
      <c r="E211" s="126" t="e">
        <f>VLOOKUP(A205,'01.2012'!$B$2:$AB$57,5,0)</f>
        <v>#N/A</v>
      </c>
      <c r="F211" s="89"/>
      <c r="G211" s="96"/>
      <c r="H211" s="93" t="s">
        <v>44</v>
      </c>
      <c r="J211" s="126"/>
      <c r="K211" s="126"/>
      <c r="L211" s="126" t="e">
        <f>VLOOKUP(H205,'01.2012'!$B$2:$AB$57,5,0)</f>
        <v>#N/A</v>
      </c>
    </row>
    <row r="212" spans="1:12" ht="39.75">
      <c r="A212" s="127" t="s">
        <v>105</v>
      </c>
      <c r="B212" s="128" t="s">
        <v>84</v>
      </c>
      <c r="C212" s="132" t="s">
        <v>85</v>
      </c>
      <c r="D212" s="128" t="s">
        <v>102</v>
      </c>
      <c r="E212" s="136" t="s">
        <v>106</v>
      </c>
      <c r="F212" s="6"/>
      <c r="G212" s="97"/>
      <c r="H212" s="127" t="s">
        <v>105</v>
      </c>
      <c r="I212" s="128" t="s">
        <v>84</v>
      </c>
      <c r="J212" s="132" t="s">
        <v>85</v>
      </c>
      <c r="K212" s="128" t="s">
        <v>102</v>
      </c>
      <c r="L212" s="135"/>
    </row>
    <row r="213" spans="1:12" ht="21">
      <c r="A213" s="99" t="e">
        <f>IF(VLOOKUP(A205,'01.2012'!$B$2:$AB$57,7,0)&lt;1,-VLOOKUP(A205,'01.2012'!$B$2:$AB$57,6,0),VLOOKUP(A205,'01.2012'!$B$2:$AB$57,7,0))</f>
        <v>#N/A</v>
      </c>
      <c r="B213" s="90" t="e">
        <f>VLOOKUP(A205,'01.2012'!$B$2:$AB$57,14,0)</f>
        <v>#N/A</v>
      </c>
      <c r="C213" s="91" t="e">
        <f>VLOOKUP(A205,'01.2012'!$B$2:$AB$57,25,0)</f>
        <v>#N/A</v>
      </c>
      <c r="D213" s="90" t="e">
        <f>VLOOKUP(A205,'01.2012'!$B$2:$AB$57,27,0)</f>
        <v>#N/A</v>
      </c>
      <c r="E213" s="137" t="s">
        <v>106</v>
      </c>
      <c r="F213" s="6"/>
      <c r="G213" s="97"/>
      <c r="H213" s="99" t="e">
        <f>IF(VLOOKUP(H205,'01.2012'!$B$2:$AB$57,7,0)&lt;1,-VLOOKUP(H205,'01.2012'!$B$2:$AB$57,6,0),VLOOKUP(H205,'01.2012'!$B$2:$AB$57,7,0))</f>
        <v>#N/A</v>
      </c>
      <c r="I213" s="90" t="e">
        <f>VLOOKUP(H205,'01.2012'!$B$2:$AB$57,14,0)</f>
        <v>#N/A</v>
      </c>
      <c r="J213" s="91" t="e">
        <f>VLOOKUP(H205,'01.2012'!$B$2:$AB$57,25,0)</f>
        <v>#N/A</v>
      </c>
      <c r="K213" s="90" t="e">
        <f>VLOOKUP(H205,'01.2012'!$B$2:$AB$57,27,0)</f>
        <v>#N/A</v>
      </c>
      <c r="L213" s="129"/>
    </row>
    <row r="214" spans="1:12">
      <c r="A214" s="6"/>
      <c r="B214" s="6"/>
      <c r="C214" s="6"/>
      <c r="E214" s="88"/>
      <c r="F214" s="6"/>
      <c r="G214" s="97"/>
      <c r="L214" s="88"/>
    </row>
    <row r="215" spans="1:12">
      <c r="A215" s="121" t="s">
        <v>89</v>
      </c>
      <c r="B215" s="121"/>
      <c r="C215" s="6"/>
      <c r="E215" s="6"/>
      <c r="F215" s="6"/>
      <c r="G215" s="97"/>
      <c r="H215" s="121" t="s">
        <v>89</v>
      </c>
      <c r="I215" s="121"/>
    </row>
    <row r="216" spans="1:12">
      <c r="A216" s="122" t="s">
        <v>90</v>
      </c>
      <c r="B216" s="122"/>
      <c r="C216" s="6"/>
      <c r="E216" s="6"/>
      <c r="F216" s="6"/>
      <c r="G216" s="97"/>
      <c r="H216" s="122" t="s">
        <v>90</v>
      </c>
      <c r="I216" s="122"/>
    </row>
    <row r="217" spans="1:12">
      <c r="A217" s="108">
        <f t="shared" ref="A217" si="35">INT((ROW()-1)/12)*2+1+(COLUMN()&gt;6)</f>
        <v>37</v>
      </c>
      <c r="B217" s="138"/>
      <c r="C217" s="138"/>
      <c r="D217" s="139"/>
      <c r="E217" s="138"/>
      <c r="F217" s="138"/>
      <c r="G217" s="140"/>
      <c r="H217" s="108">
        <f t="shared" ref="H217" si="36">INT((ROW()-1)/12)*2+1+(COLUMN()&gt;6)</f>
        <v>38</v>
      </c>
      <c r="I217" s="98"/>
      <c r="J217" s="98"/>
      <c r="K217" s="100"/>
      <c r="L217" s="98"/>
    </row>
    <row r="218" spans="1:12" ht="14.25">
      <c r="A218" s="110" t="s">
        <v>82</v>
      </c>
      <c r="B218" s="110"/>
      <c r="C218" s="110"/>
      <c r="D218" s="110"/>
      <c r="E218" s="110"/>
      <c r="F218" s="92"/>
      <c r="G218" s="94"/>
      <c r="H218" s="110" t="s">
        <v>82</v>
      </c>
      <c r="I218" s="110"/>
      <c r="J218" s="110"/>
      <c r="K218" s="110"/>
      <c r="L218" s="110"/>
    </row>
    <row r="219" spans="1:12" ht="14.25">
      <c r="A219" s="109" t="s">
        <v>94</v>
      </c>
      <c r="B219" s="109"/>
      <c r="C219" s="109"/>
      <c r="D219" s="109"/>
      <c r="E219" s="109"/>
      <c r="F219" s="92"/>
      <c r="G219" s="94"/>
      <c r="H219" s="109" t="s">
        <v>94</v>
      </c>
      <c r="I219" s="109"/>
      <c r="J219" s="109"/>
      <c r="K219" s="109"/>
      <c r="L219" s="109"/>
    </row>
    <row r="220" spans="1:12">
      <c r="A220" s="87"/>
      <c r="B220" s="87"/>
      <c r="C220" s="87"/>
      <c r="D220" s="22"/>
      <c r="E220" s="87"/>
      <c r="F220" s="87"/>
      <c r="G220" s="95"/>
      <c r="H220" s="87"/>
      <c r="I220" s="87"/>
      <c r="J220" s="87"/>
      <c r="K220" s="22"/>
      <c r="L220" s="87"/>
    </row>
    <row r="221" spans="1:12">
      <c r="A221" s="6"/>
      <c r="B221" s="123"/>
      <c r="C221" s="123"/>
      <c r="D221" s="123"/>
      <c r="E221" s="123" t="e">
        <f>VLOOKUP(VLOOKUP(A217,'01.2012'!$B$2:$AB$57,2,0),'01.2012'!$C$2:$E$57,3,0)</f>
        <v>#N/A</v>
      </c>
      <c r="F221" s="87"/>
      <c r="G221" s="95"/>
      <c r="I221" s="123"/>
      <c r="J221" s="123"/>
      <c r="K221" s="123"/>
      <c r="L221" s="123" t="e">
        <f>VLOOKUP(VLOOKUP(H217,'01.2012'!$B$2:$AB$57,2,0),'01.2012'!$C$2:$E$57,3,0)</f>
        <v>#N/A</v>
      </c>
    </row>
    <row r="222" spans="1:12">
      <c r="A222" s="124" t="s">
        <v>83</v>
      </c>
      <c r="B222" s="124"/>
      <c r="C222" s="6"/>
      <c r="D222" s="125"/>
      <c r="E222" s="125" t="e">
        <f>VLOOKUP(A217,'01.2012'!$B$2:$AB$57,4,0)</f>
        <v>#N/A</v>
      </c>
      <c r="F222" s="89"/>
      <c r="G222" s="96"/>
      <c r="H222" s="124" t="s">
        <v>83</v>
      </c>
      <c r="I222" s="124"/>
      <c r="K222" s="125"/>
      <c r="L222" s="125" t="e">
        <f>VLOOKUP(H217,'01.2012'!$B$2:$AB$57,4,0)</f>
        <v>#N/A</v>
      </c>
    </row>
    <row r="223" spans="1:12">
      <c r="A223" s="93" t="s">
        <v>44</v>
      </c>
      <c r="B223" s="6"/>
      <c r="C223" s="126"/>
      <c r="D223" s="126"/>
      <c r="E223" s="126" t="e">
        <f>VLOOKUP(A217,'01.2012'!$B$2:$AB$57,5,0)</f>
        <v>#N/A</v>
      </c>
      <c r="F223" s="89"/>
      <c r="G223" s="96"/>
      <c r="H223" s="93" t="s">
        <v>44</v>
      </c>
      <c r="J223" s="126"/>
      <c r="K223" s="126"/>
      <c r="L223" s="126" t="e">
        <f>VLOOKUP(H217,'01.2012'!$B$2:$AB$57,5,0)</f>
        <v>#N/A</v>
      </c>
    </row>
    <row r="224" spans="1:12" ht="39.75">
      <c r="A224" s="127" t="s">
        <v>105</v>
      </c>
      <c r="B224" s="128" t="s">
        <v>84</v>
      </c>
      <c r="C224" s="132" t="s">
        <v>85</v>
      </c>
      <c r="D224" s="128" t="s">
        <v>102</v>
      </c>
      <c r="E224" s="136" t="s">
        <v>106</v>
      </c>
      <c r="F224" s="6"/>
      <c r="G224" s="97"/>
      <c r="H224" s="127" t="s">
        <v>105</v>
      </c>
      <c r="I224" s="128" t="s">
        <v>84</v>
      </c>
      <c r="J224" s="132" t="s">
        <v>85</v>
      </c>
      <c r="K224" s="128" t="s">
        <v>102</v>
      </c>
      <c r="L224" s="135"/>
    </row>
    <row r="225" spans="1:12" ht="21">
      <c r="A225" s="99" t="e">
        <f>IF(VLOOKUP(A217,'01.2012'!$B$2:$AB$57,7,0)&lt;1,-VLOOKUP(A217,'01.2012'!$B$2:$AB$57,6,0),VLOOKUP(A217,'01.2012'!$B$2:$AB$57,7,0))</f>
        <v>#N/A</v>
      </c>
      <c r="B225" s="90" t="e">
        <f>VLOOKUP(A217,'01.2012'!$B$2:$AB$57,14,0)</f>
        <v>#N/A</v>
      </c>
      <c r="C225" s="91" t="e">
        <f>VLOOKUP(A217,'01.2012'!$B$2:$AB$57,25,0)</f>
        <v>#N/A</v>
      </c>
      <c r="D225" s="90" t="e">
        <f>VLOOKUP(A217,'01.2012'!$B$2:$AB$57,27,0)</f>
        <v>#N/A</v>
      </c>
      <c r="E225" s="137" t="s">
        <v>106</v>
      </c>
      <c r="F225" s="6"/>
      <c r="G225" s="97"/>
      <c r="H225" s="99" t="e">
        <f>IF(VLOOKUP(H217,'01.2012'!$B$2:$AB$57,7,0)&lt;1,-VLOOKUP(H217,'01.2012'!$B$2:$AB$57,6,0),VLOOKUP(H217,'01.2012'!$B$2:$AB$57,7,0))</f>
        <v>#N/A</v>
      </c>
      <c r="I225" s="90" t="e">
        <f>VLOOKUP(H217,'01.2012'!$B$2:$AB$57,14,0)</f>
        <v>#N/A</v>
      </c>
      <c r="J225" s="91" t="e">
        <f>VLOOKUP(H217,'01.2012'!$B$2:$AB$57,25,0)</f>
        <v>#N/A</v>
      </c>
      <c r="K225" s="90" t="e">
        <f>VLOOKUP(H217,'01.2012'!$B$2:$AB$57,27,0)</f>
        <v>#N/A</v>
      </c>
      <c r="L225" s="129"/>
    </row>
    <row r="226" spans="1:12">
      <c r="A226" s="6"/>
      <c r="B226" s="6"/>
      <c r="C226" s="6"/>
      <c r="E226" s="88"/>
      <c r="F226" s="6"/>
      <c r="G226" s="97"/>
      <c r="L226" s="88"/>
    </row>
    <row r="227" spans="1:12">
      <c r="A227" s="121" t="s">
        <v>89</v>
      </c>
      <c r="B227" s="121"/>
      <c r="C227" s="6"/>
      <c r="E227" s="6"/>
      <c r="F227" s="6"/>
      <c r="G227" s="97"/>
      <c r="H227" s="121" t="s">
        <v>89</v>
      </c>
      <c r="I227" s="121"/>
    </row>
    <row r="228" spans="1:12">
      <c r="A228" s="122" t="s">
        <v>90</v>
      </c>
      <c r="B228" s="122"/>
      <c r="C228" s="6"/>
      <c r="E228" s="6"/>
      <c r="F228" s="6"/>
      <c r="G228" s="97"/>
      <c r="H228" s="122" t="s">
        <v>90</v>
      </c>
      <c r="I228" s="122"/>
    </row>
    <row r="229" spans="1:12">
      <c r="A229" s="108">
        <f t="shared" ref="A229" si="37">INT((ROW()-1)/12)*2+1+(COLUMN()&gt;6)</f>
        <v>39</v>
      </c>
      <c r="B229" s="138"/>
      <c r="C229" s="138"/>
      <c r="D229" s="139"/>
      <c r="E229" s="138"/>
      <c r="F229" s="138"/>
      <c r="G229" s="140"/>
      <c r="H229" s="108">
        <f t="shared" ref="H229" si="38">INT((ROW()-1)/12)*2+1+(COLUMN()&gt;6)</f>
        <v>40</v>
      </c>
      <c r="I229" s="98"/>
      <c r="J229" s="98"/>
      <c r="K229" s="100"/>
      <c r="L229" s="98"/>
    </row>
    <row r="230" spans="1:12" ht="14.25">
      <c r="A230" s="110" t="s">
        <v>82</v>
      </c>
      <c r="B230" s="110"/>
      <c r="C230" s="110"/>
      <c r="D230" s="110"/>
      <c r="E230" s="110"/>
      <c r="F230" s="92"/>
      <c r="G230" s="94"/>
      <c r="H230" s="110" t="s">
        <v>82</v>
      </c>
      <c r="I230" s="110"/>
      <c r="J230" s="110"/>
      <c r="K230" s="110"/>
      <c r="L230" s="110"/>
    </row>
    <row r="231" spans="1:12" ht="14.25">
      <c r="A231" s="109" t="s">
        <v>94</v>
      </c>
      <c r="B231" s="109"/>
      <c r="C231" s="109"/>
      <c r="D231" s="109"/>
      <c r="E231" s="109"/>
      <c r="F231" s="92"/>
      <c r="G231" s="94"/>
      <c r="H231" s="109" t="s">
        <v>94</v>
      </c>
      <c r="I231" s="109"/>
      <c r="J231" s="109"/>
      <c r="K231" s="109"/>
      <c r="L231" s="109"/>
    </row>
    <row r="232" spans="1:12">
      <c r="A232" s="87"/>
      <c r="B232" s="87"/>
      <c r="C232" s="87"/>
      <c r="D232" s="22"/>
      <c r="E232" s="87"/>
      <c r="F232" s="87"/>
      <c r="G232" s="95"/>
      <c r="H232" s="87"/>
      <c r="I232" s="87"/>
      <c r="J232" s="87"/>
      <c r="K232" s="22"/>
      <c r="L232" s="87"/>
    </row>
    <row r="233" spans="1:12">
      <c r="A233" s="6"/>
      <c r="B233" s="123"/>
      <c r="C233" s="123"/>
      <c r="D233" s="123"/>
      <c r="E233" s="123" t="e">
        <f>VLOOKUP(VLOOKUP(A229,'01.2012'!$B$2:$AB$57,2,0),'01.2012'!$C$2:$E$57,3,0)</f>
        <v>#N/A</v>
      </c>
      <c r="F233" s="87"/>
      <c r="G233" s="95"/>
      <c r="I233" s="123"/>
      <c r="J233" s="123"/>
      <c r="K233" s="123"/>
      <c r="L233" s="123" t="e">
        <f>VLOOKUP(VLOOKUP(H229,'01.2012'!$B$2:$AB$57,2,0),'01.2012'!$C$2:$E$57,3,0)</f>
        <v>#N/A</v>
      </c>
    </row>
    <row r="234" spans="1:12">
      <c r="A234" s="124" t="s">
        <v>83</v>
      </c>
      <c r="B234" s="124"/>
      <c r="C234" s="6"/>
      <c r="D234" s="125"/>
      <c r="E234" s="125" t="e">
        <f>VLOOKUP(A229,'01.2012'!$B$2:$AB$57,4,0)</f>
        <v>#N/A</v>
      </c>
      <c r="F234" s="89"/>
      <c r="G234" s="96"/>
      <c r="H234" s="124" t="s">
        <v>83</v>
      </c>
      <c r="I234" s="124"/>
      <c r="K234" s="125"/>
      <c r="L234" s="125" t="e">
        <f>VLOOKUP(H229,'01.2012'!$B$2:$AB$57,4,0)</f>
        <v>#N/A</v>
      </c>
    </row>
    <row r="235" spans="1:12">
      <c r="A235" s="93" t="s">
        <v>44</v>
      </c>
      <c r="B235" s="6"/>
      <c r="C235" s="126"/>
      <c r="D235" s="126"/>
      <c r="E235" s="126" t="e">
        <f>VLOOKUP(A229,'01.2012'!$B$2:$AB$57,5,0)</f>
        <v>#N/A</v>
      </c>
      <c r="F235" s="89"/>
      <c r="G235" s="96"/>
      <c r="H235" s="93" t="s">
        <v>44</v>
      </c>
      <c r="J235" s="126"/>
      <c r="K235" s="126"/>
      <c r="L235" s="126" t="e">
        <f>VLOOKUP(H229,'01.2012'!$B$2:$AB$57,5,0)</f>
        <v>#N/A</v>
      </c>
    </row>
    <row r="236" spans="1:12" ht="39.75">
      <c r="A236" s="127" t="s">
        <v>105</v>
      </c>
      <c r="B236" s="128" t="s">
        <v>84</v>
      </c>
      <c r="C236" s="132" t="s">
        <v>85</v>
      </c>
      <c r="D236" s="128" t="s">
        <v>102</v>
      </c>
      <c r="E236" s="136" t="s">
        <v>106</v>
      </c>
      <c r="F236" s="6"/>
      <c r="G236" s="97"/>
      <c r="H236" s="127" t="s">
        <v>105</v>
      </c>
      <c r="I236" s="128" t="s">
        <v>84</v>
      </c>
      <c r="J236" s="132" t="s">
        <v>85</v>
      </c>
      <c r="K236" s="128" t="s">
        <v>102</v>
      </c>
      <c r="L236" s="135"/>
    </row>
    <row r="237" spans="1:12" ht="21">
      <c r="A237" s="99" t="e">
        <f>IF(VLOOKUP(A229,'01.2012'!$B$2:$AB$57,7,0)&lt;1,-VLOOKUP(A229,'01.2012'!$B$2:$AB$57,6,0),VLOOKUP(A229,'01.2012'!$B$2:$AB$57,7,0))</f>
        <v>#N/A</v>
      </c>
      <c r="B237" s="90" t="e">
        <f>VLOOKUP(A229,'01.2012'!$B$2:$AB$57,14,0)</f>
        <v>#N/A</v>
      </c>
      <c r="C237" s="91" t="e">
        <f>VLOOKUP(A229,'01.2012'!$B$2:$AB$57,25,0)</f>
        <v>#N/A</v>
      </c>
      <c r="D237" s="90" t="e">
        <f>VLOOKUP(A229,'01.2012'!$B$2:$AB$57,27,0)</f>
        <v>#N/A</v>
      </c>
      <c r="E237" s="137" t="s">
        <v>106</v>
      </c>
      <c r="F237" s="6"/>
      <c r="G237" s="97"/>
      <c r="H237" s="99" t="e">
        <f>IF(VLOOKUP(H229,'01.2012'!$B$2:$AB$57,7,0)&lt;1,-VLOOKUP(H229,'01.2012'!$B$2:$AB$57,6,0),VLOOKUP(H229,'01.2012'!$B$2:$AB$57,7,0))</f>
        <v>#N/A</v>
      </c>
      <c r="I237" s="90" t="e">
        <f>VLOOKUP(H229,'01.2012'!$B$2:$AB$57,14,0)</f>
        <v>#N/A</v>
      </c>
      <c r="J237" s="91" t="e">
        <f>VLOOKUP(H229,'01.2012'!$B$2:$AB$57,25,0)</f>
        <v>#N/A</v>
      </c>
      <c r="K237" s="90" t="e">
        <f>VLOOKUP(H229,'01.2012'!$B$2:$AB$57,27,0)</f>
        <v>#N/A</v>
      </c>
      <c r="L237" s="129"/>
    </row>
    <row r="238" spans="1:12">
      <c r="A238" s="6"/>
      <c r="B238" s="6"/>
      <c r="C238" s="6"/>
      <c r="E238" s="88"/>
      <c r="F238" s="6"/>
      <c r="G238" s="97"/>
      <c r="L238" s="88"/>
    </row>
    <row r="239" spans="1:12">
      <c r="A239" s="121" t="s">
        <v>89</v>
      </c>
      <c r="B239" s="121"/>
      <c r="C239" s="6"/>
      <c r="E239" s="6"/>
      <c r="F239" s="6"/>
      <c r="G239" s="97"/>
      <c r="H239" s="121" t="s">
        <v>89</v>
      </c>
      <c r="I239" s="121"/>
    </row>
    <row r="240" spans="1:12">
      <c r="A240" s="122" t="s">
        <v>90</v>
      </c>
      <c r="B240" s="122"/>
      <c r="C240" s="6"/>
      <c r="E240" s="6"/>
      <c r="F240" s="6"/>
      <c r="G240" s="97"/>
      <c r="H240" s="122" t="s">
        <v>90</v>
      </c>
      <c r="I240" s="122"/>
    </row>
    <row r="241" spans="1:12">
      <c r="A241" s="108">
        <f t="shared" ref="A241" si="39">INT((ROW()-1)/12)*2+1+(COLUMN()&gt;6)</f>
        <v>41</v>
      </c>
      <c r="B241" s="138"/>
      <c r="C241" s="138"/>
      <c r="D241" s="139"/>
      <c r="E241" s="138"/>
      <c r="F241" s="138"/>
      <c r="G241" s="140"/>
      <c r="H241" s="108">
        <f t="shared" ref="H241" si="40">INT((ROW()-1)/12)*2+1+(COLUMN()&gt;6)</f>
        <v>42</v>
      </c>
      <c r="I241" s="98"/>
      <c r="J241" s="98"/>
      <c r="K241" s="100"/>
      <c r="L241" s="98"/>
    </row>
    <row r="242" spans="1:12" ht="14.25">
      <c r="A242" s="110" t="s">
        <v>82</v>
      </c>
      <c r="B242" s="110"/>
      <c r="C242" s="110"/>
      <c r="D242" s="110"/>
      <c r="E242" s="110"/>
      <c r="F242" s="92"/>
      <c r="G242" s="94"/>
      <c r="H242" s="110" t="s">
        <v>82</v>
      </c>
      <c r="I242" s="110"/>
      <c r="J242" s="110"/>
      <c r="K242" s="110"/>
      <c r="L242" s="110"/>
    </row>
    <row r="243" spans="1:12" ht="14.25">
      <c r="A243" s="109" t="s">
        <v>94</v>
      </c>
      <c r="B243" s="109"/>
      <c r="C243" s="109"/>
      <c r="D243" s="109"/>
      <c r="E243" s="109"/>
      <c r="F243" s="92"/>
      <c r="G243" s="94"/>
      <c r="H243" s="109" t="s">
        <v>94</v>
      </c>
      <c r="I243" s="109"/>
      <c r="J243" s="109"/>
      <c r="K243" s="109"/>
      <c r="L243" s="109"/>
    </row>
    <row r="244" spans="1:12">
      <c r="A244" s="87"/>
      <c r="B244" s="87"/>
      <c r="C244" s="87"/>
      <c r="D244" s="22"/>
      <c r="E244" s="87"/>
      <c r="F244" s="87"/>
      <c r="G244" s="95"/>
      <c r="H244" s="87"/>
      <c r="I244" s="87"/>
      <c r="J244" s="87"/>
      <c r="K244" s="22"/>
      <c r="L244" s="87"/>
    </row>
    <row r="245" spans="1:12">
      <c r="A245" s="6"/>
      <c r="B245" s="123"/>
      <c r="C245" s="123"/>
      <c r="D245" s="123"/>
      <c r="E245" s="123" t="e">
        <f>VLOOKUP(VLOOKUP(A241,'01.2012'!$B$2:$AB$57,2,0),'01.2012'!$C$2:$E$57,3,0)</f>
        <v>#N/A</v>
      </c>
      <c r="F245" s="87"/>
      <c r="G245" s="95"/>
      <c r="I245" s="123"/>
      <c r="J245" s="123"/>
      <c r="K245" s="123"/>
      <c r="L245" s="123" t="e">
        <f>VLOOKUP(VLOOKUP(H241,'01.2012'!$B$2:$AB$57,2,0),'01.2012'!$C$2:$E$57,3,0)</f>
        <v>#N/A</v>
      </c>
    </row>
    <row r="246" spans="1:12">
      <c r="A246" s="124" t="s">
        <v>83</v>
      </c>
      <c r="B246" s="124"/>
      <c r="C246" s="6"/>
      <c r="D246" s="125"/>
      <c r="E246" s="125" t="e">
        <f>VLOOKUP(A241,'01.2012'!$B$2:$AB$57,4,0)</f>
        <v>#N/A</v>
      </c>
      <c r="F246" s="89"/>
      <c r="G246" s="96"/>
      <c r="H246" s="124" t="s">
        <v>83</v>
      </c>
      <c r="I246" s="124"/>
      <c r="K246" s="125"/>
      <c r="L246" s="125" t="e">
        <f>VLOOKUP(H241,'01.2012'!$B$2:$AB$57,4,0)</f>
        <v>#N/A</v>
      </c>
    </row>
    <row r="247" spans="1:12">
      <c r="A247" s="93" t="s">
        <v>44</v>
      </c>
      <c r="B247" s="6"/>
      <c r="C247" s="126"/>
      <c r="D247" s="126"/>
      <c r="E247" s="126" t="e">
        <f>VLOOKUP(A241,'01.2012'!$B$2:$AB$57,5,0)</f>
        <v>#N/A</v>
      </c>
      <c r="F247" s="89"/>
      <c r="G247" s="96"/>
      <c r="H247" s="93" t="s">
        <v>44</v>
      </c>
      <c r="J247" s="126"/>
      <c r="K247" s="126"/>
      <c r="L247" s="126" t="e">
        <f>VLOOKUP(H241,'01.2012'!$B$2:$AB$57,5,0)</f>
        <v>#N/A</v>
      </c>
    </row>
    <row r="248" spans="1:12" ht="39.75">
      <c r="A248" s="127" t="s">
        <v>105</v>
      </c>
      <c r="B248" s="128" t="s">
        <v>84</v>
      </c>
      <c r="C248" s="132" t="s">
        <v>85</v>
      </c>
      <c r="D248" s="128" t="s">
        <v>102</v>
      </c>
      <c r="E248" s="136" t="s">
        <v>106</v>
      </c>
      <c r="F248" s="6"/>
      <c r="G248" s="97"/>
      <c r="H248" s="127" t="s">
        <v>105</v>
      </c>
      <c r="I248" s="128" t="s">
        <v>84</v>
      </c>
      <c r="J248" s="132" t="s">
        <v>85</v>
      </c>
      <c r="K248" s="128" t="s">
        <v>102</v>
      </c>
      <c r="L248" s="135"/>
    </row>
    <row r="249" spans="1:12" ht="21">
      <c r="A249" s="99" t="e">
        <f>IF(VLOOKUP(A241,'01.2012'!$B$2:$AB$57,7,0)&lt;1,-VLOOKUP(A241,'01.2012'!$B$2:$AB$57,6,0),VLOOKUP(A241,'01.2012'!$B$2:$AB$57,7,0))</f>
        <v>#N/A</v>
      </c>
      <c r="B249" s="90" t="e">
        <f>VLOOKUP(A241,'01.2012'!$B$2:$AB$57,14,0)</f>
        <v>#N/A</v>
      </c>
      <c r="C249" s="91" t="e">
        <f>VLOOKUP(A241,'01.2012'!$B$2:$AB$57,25,0)</f>
        <v>#N/A</v>
      </c>
      <c r="D249" s="90" t="e">
        <f>VLOOKUP(A241,'01.2012'!$B$2:$AB$57,27,0)</f>
        <v>#N/A</v>
      </c>
      <c r="E249" s="137" t="s">
        <v>106</v>
      </c>
      <c r="F249" s="6"/>
      <c r="G249" s="97"/>
      <c r="H249" s="99" t="e">
        <f>IF(VLOOKUP(H241,'01.2012'!$B$2:$AB$57,7,0)&lt;1,-VLOOKUP(H241,'01.2012'!$B$2:$AB$57,6,0),VLOOKUP(H241,'01.2012'!$B$2:$AB$57,7,0))</f>
        <v>#N/A</v>
      </c>
      <c r="I249" s="90" t="e">
        <f>VLOOKUP(H241,'01.2012'!$B$2:$AB$57,14,0)</f>
        <v>#N/A</v>
      </c>
      <c r="J249" s="91" t="e">
        <f>VLOOKUP(H241,'01.2012'!$B$2:$AB$57,25,0)</f>
        <v>#N/A</v>
      </c>
      <c r="K249" s="90" t="e">
        <f>VLOOKUP(H241,'01.2012'!$B$2:$AB$57,27,0)</f>
        <v>#N/A</v>
      </c>
      <c r="L249" s="129"/>
    </row>
    <row r="250" spans="1:12">
      <c r="A250" s="6"/>
      <c r="B250" s="6"/>
      <c r="C250" s="6"/>
      <c r="E250" s="88"/>
      <c r="F250" s="6"/>
      <c r="G250" s="97"/>
      <c r="L250" s="88"/>
    </row>
    <row r="251" spans="1:12">
      <c r="A251" s="121" t="s">
        <v>89</v>
      </c>
      <c r="B251" s="121"/>
      <c r="C251" s="6"/>
      <c r="E251" s="6"/>
      <c r="F251" s="6"/>
      <c r="G251" s="97"/>
      <c r="H251" s="121" t="s">
        <v>89</v>
      </c>
      <c r="I251" s="121"/>
    </row>
    <row r="252" spans="1:12">
      <c r="A252" s="122" t="s">
        <v>90</v>
      </c>
      <c r="B252" s="122"/>
      <c r="C252" s="6"/>
      <c r="E252" s="6"/>
      <c r="F252" s="6"/>
      <c r="G252" s="97"/>
      <c r="H252" s="122" t="s">
        <v>90</v>
      </c>
      <c r="I252" s="122"/>
    </row>
    <row r="253" spans="1:12">
      <c r="A253" s="108">
        <f t="shared" ref="A253" si="41">INT((ROW()-1)/12)*2+1+(COLUMN()&gt;6)</f>
        <v>43</v>
      </c>
      <c r="B253" s="138"/>
      <c r="C253" s="138"/>
      <c r="D253" s="139"/>
      <c r="E253" s="138"/>
      <c r="F253" s="138"/>
      <c r="G253" s="140"/>
      <c r="H253" s="108">
        <f t="shared" ref="H253" si="42">INT((ROW()-1)/12)*2+1+(COLUMN()&gt;6)</f>
        <v>44</v>
      </c>
      <c r="I253" s="98"/>
      <c r="J253" s="98"/>
      <c r="K253" s="100"/>
      <c r="L253" s="98"/>
    </row>
    <row r="254" spans="1:12" ht="14.25">
      <c r="A254" s="110" t="s">
        <v>82</v>
      </c>
      <c r="B254" s="110"/>
      <c r="C254" s="110"/>
      <c r="D254" s="110"/>
      <c r="E254" s="110"/>
      <c r="F254" s="92"/>
      <c r="G254" s="94"/>
      <c r="H254" s="110" t="s">
        <v>82</v>
      </c>
      <c r="I254" s="110"/>
      <c r="J254" s="110"/>
      <c r="K254" s="110"/>
      <c r="L254" s="110"/>
    </row>
    <row r="255" spans="1:12" ht="14.25">
      <c r="A255" s="109" t="s">
        <v>94</v>
      </c>
      <c r="B255" s="109"/>
      <c r="C255" s="109"/>
      <c r="D255" s="109"/>
      <c r="E255" s="109"/>
      <c r="F255" s="92"/>
      <c r="G255" s="94"/>
      <c r="H255" s="109" t="s">
        <v>94</v>
      </c>
      <c r="I255" s="109"/>
      <c r="J255" s="109"/>
      <c r="K255" s="109"/>
      <c r="L255" s="109"/>
    </row>
    <row r="256" spans="1:12">
      <c r="A256" s="87"/>
      <c r="B256" s="87"/>
      <c r="C256" s="87"/>
      <c r="D256" s="22"/>
      <c r="E256" s="87"/>
      <c r="F256" s="87"/>
      <c r="G256" s="95"/>
      <c r="H256" s="87"/>
      <c r="I256" s="87"/>
      <c r="J256" s="87"/>
      <c r="K256" s="22"/>
      <c r="L256" s="87"/>
    </row>
    <row r="257" spans="1:12">
      <c r="A257" s="6"/>
      <c r="B257" s="123"/>
      <c r="C257" s="123"/>
      <c r="D257" s="123"/>
      <c r="E257" s="123" t="e">
        <f>VLOOKUP(VLOOKUP(A253,'01.2012'!$B$2:$AB$57,2,0),'01.2012'!$C$2:$E$57,3,0)</f>
        <v>#N/A</v>
      </c>
      <c r="F257" s="87"/>
      <c r="G257" s="95"/>
      <c r="I257" s="123"/>
      <c r="J257" s="123"/>
      <c r="K257" s="123"/>
      <c r="L257" s="123" t="e">
        <f>VLOOKUP(VLOOKUP(H253,'01.2012'!$B$2:$AB$57,2,0),'01.2012'!$C$2:$E$57,3,0)</f>
        <v>#N/A</v>
      </c>
    </row>
    <row r="258" spans="1:12">
      <c r="A258" s="124" t="s">
        <v>83</v>
      </c>
      <c r="B258" s="124"/>
      <c r="C258" s="6"/>
      <c r="D258" s="125"/>
      <c r="E258" s="125" t="e">
        <f>VLOOKUP(A253,'01.2012'!$B$2:$AB$57,4,0)</f>
        <v>#N/A</v>
      </c>
      <c r="F258" s="89"/>
      <c r="G258" s="96"/>
      <c r="H258" s="124" t="s">
        <v>83</v>
      </c>
      <c r="I258" s="124"/>
      <c r="K258" s="125"/>
      <c r="L258" s="125" t="e">
        <f>VLOOKUP(H253,'01.2012'!$B$2:$AB$57,4,0)</f>
        <v>#N/A</v>
      </c>
    </row>
    <row r="259" spans="1:12">
      <c r="A259" s="93" t="s">
        <v>44</v>
      </c>
      <c r="B259" s="6"/>
      <c r="C259" s="126"/>
      <c r="D259" s="126"/>
      <c r="E259" s="126" t="e">
        <f>VLOOKUP(A253,'01.2012'!$B$2:$AB$57,5,0)</f>
        <v>#N/A</v>
      </c>
      <c r="F259" s="89"/>
      <c r="G259" s="96"/>
      <c r="H259" s="93" t="s">
        <v>44</v>
      </c>
      <c r="J259" s="126"/>
      <c r="K259" s="126"/>
      <c r="L259" s="126" t="e">
        <f>VLOOKUP(H253,'01.2012'!$B$2:$AB$57,5,0)</f>
        <v>#N/A</v>
      </c>
    </row>
    <row r="260" spans="1:12" ht="39.75">
      <c r="A260" s="127" t="s">
        <v>105</v>
      </c>
      <c r="B260" s="128" t="s">
        <v>84</v>
      </c>
      <c r="C260" s="132" t="s">
        <v>85</v>
      </c>
      <c r="D260" s="128" t="s">
        <v>102</v>
      </c>
      <c r="E260" s="136" t="s">
        <v>106</v>
      </c>
      <c r="F260" s="6"/>
      <c r="G260" s="97"/>
      <c r="H260" s="127" t="s">
        <v>105</v>
      </c>
      <c r="I260" s="128" t="s">
        <v>84</v>
      </c>
      <c r="J260" s="132" t="s">
        <v>85</v>
      </c>
      <c r="K260" s="128" t="s">
        <v>102</v>
      </c>
      <c r="L260" s="135"/>
    </row>
    <row r="261" spans="1:12" ht="21">
      <c r="A261" s="99" t="e">
        <f>IF(VLOOKUP(A253,'01.2012'!$B$2:$AB$57,7,0)&lt;1,-VLOOKUP(A253,'01.2012'!$B$2:$AB$57,6,0),VLOOKUP(A253,'01.2012'!$B$2:$AB$57,7,0))</f>
        <v>#N/A</v>
      </c>
      <c r="B261" s="90" t="e">
        <f>VLOOKUP(A253,'01.2012'!$B$2:$AB$57,14,0)</f>
        <v>#N/A</v>
      </c>
      <c r="C261" s="91" t="e">
        <f>VLOOKUP(A253,'01.2012'!$B$2:$AB$57,25,0)</f>
        <v>#N/A</v>
      </c>
      <c r="D261" s="90" t="e">
        <f>VLOOKUP(A253,'01.2012'!$B$2:$AB$57,27,0)</f>
        <v>#N/A</v>
      </c>
      <c r="E261" s="137" t="s">
        <v>106</v>
      </c>
      <c r="F261" s="6"/>
      <c r="G261" s="97"/>
      <c r="H261" s="99" t="e">
        <f>IF(VLOOKUP(H253,'01.2012'!$B$2:$AB$57,7,0)&lt;1,-VLOOKUP(H253,'01.2012'!$B$2:$AB$57,6,0),VLOOKUP(H253,'01.2012'!$B$2:$AB$57,7,0))</f>
        <v>#N/A</v>
      </c>
      <c r="I261" s="90" t="e">
        <f>VLOOKUP(H253,'01.2012'!$B$2:$AB$57,14,0)</f>
        <v>#N/A</v>
      </c>
      <c r="J261" s="91" t="e">
        <f>VLOOKUP(H253,'01.2012'!$B$2:$AB$57,25,0)</f>
        <v>#N/A</v>
      </c>
      <c r="K261" s="90" t="e">
        <f>VLOOKUP(H253,'01.2012'!$B$2:$AB$57,27,0)</f>
        <v>#N/A</v>
      </c>
      <c r="L261" s="129"/>
    </row>
    <row r="262" spans="1:12">
      <c r="A262" s="6"/>
      <c r="B262" s="6"/>
      <c r="C262" s="6"/>
      <c r="E262" s="88"/>
      <c r="F262" s="6"/>
      <c r="G262" s="97"/>
      <c r="L262" s="88"/>
    </row>
    <row r="263" spans="1:12">
      <c r="A263" s="121" t="s">
        <v>89</v>
      </c>
      <c r="B263" s="121"/>
      <c r="C263" s="6"/>
      <c r="E263" s="6"/>
      <c r="F263" s="6"/>
      <c r="G263" s="97"/>
      <c r="H263" s="121" t="s">
        <v>89</v>
      </c>
      <c r="I263" s="121"/>
    </row>
    <row r="264" spans="1:12">
      <c r="A264" s="122" t="s">
        <v>90</v>
      </c>
      <c r="B264" s="122"/>
      <c r="C264" s="6"/>
      <c r="E264" s="6"/>
      <c r="F264" s="6"/>
      <c r="G264" s="97"/>
      <c r="H264" s="122" t="s">
        <v>90</v>
      </c>
      <c r="I264" s="122"/>
    </row>
    <row r="265" spans="1:12">
      <c r="A265" s="108">
        <f t="shared" ref="A265" si="43">INT((ROW()-1)/12)*2+1+(COLUMN()&gt;6)</f>
        <v>45</v>
      </c>
      <c r="B265" s="138"/>
      <c r="C265" s="138"/>
      <c r="D265" s="139"/>
      <c r="E265" s="138"/>
      <c r="F265" s="138"/>
      <c r="G265" s="140"/>
      <c r="H265" s="108">
        <f t="shared" ref="H265" si="44">INT((ROW()-1)/12)*2+1+(COLUMN()&gt;6)</f>
        <v>46</v>
      </c>
      <c r="I265" s="98"/>
      <c r="J265" s="98"/>
      <c r="K265" s="100"/>
      <c r="L265" s="98"/>
    </row>
    <row r="266" spans="1:12" ht="14.25">
      <c r="A266" s="110" t="s">
        <v>82</v>
      </c>
      <c r="B266" s="110"/>
      <c r="C266" s="110"/>
      <c r="D266" s="110"/>
      <c r="E266" s="110"/>
      <c r="F266" s="92"/>
      <c r="G266" s="94"/>
      <c r="H266" s="110" t="s">
        <v>82</v>
      </c>
      <c r="I266" s="110"/>
      <c r="J266" s="110"/>
      <c r="K266" s="110"/>
      <c r="L266" s="110"/>
    </row>
    <row r="267" spans="1:12" ht="14.25">
      <c r="A267" s="109" t="s">
        <v>94</v>
      </c>
      <c r="B267" s="109"/>
      <c r="C267" s="109"/>
      <c r="D267" s="109"/>
      <c r="E267" s="109"/>
      <c r="F267" s="92"/>
      <c r="G267" s="94"/>
      <c r="H267" s="109" t="s">
        <v>94</v>
      </c>
      <c r="I267" s="109"/>
      <c r="J267" s="109"/>
      <c r="K267" s="109"/>
      <c r="L267" s="109"/>
    </row>
    <row r="268" spans="1:12">
      <c r="A268" s="87"/>
      <c r="B268" s="87"/>
      <c r="C268" s="87"/>
      <c r="D268" s="22"/>
      <c r="E268" s="87"/>
      <c r="F268" s="87"/>
      <c r="G268" s="95"/>
      <c r="H268" s="87"/>
      <c r="I268" s="87"/>
      <c r="J268" s="87"/>
      <c r="K268" s="22"/>
      <c r="L268" s="87"/>
    </row>
    <row r="269" spans="1:12">
      <c r="A269" s="6"/>
      <c r="B269" s="123"/>
      <c r="C269" s="123"/>
      <c r="D269" s="123"/>
      <c r="E269" s="123" t="e">
        <f>VLOOKUP(VLOOKUP(A265,'01.2012'!$B$2:$AB$57,2,0),'01.2012'!$C$2:$E$57,3,0)</f>
        <v>#N/A</v>
      </c>
      <c r="F269" s="87"/>
      <c r="G269" s="95"/>
      <c r="I269" s="123"/>
      <c r="J269" s="123"/>
      <c r="K269" s="123"/>
      <c r="L269" s="123" t="e">
        <f>VLOOKUP(VLOOKUP(H265,'01.2012'!$B$2:$AB$57,2,0),'01.2012'!$C$2:$E$57,3,0)</f>
        <v>#N/A</v>
      </c>
    </row>
    <row r="270" spans="1:12">
      <c r="A270" s="124" t="s">
        <v>83</v>
      </c>
      <c r="B270" s="124"/>
      <c r="C270" s="6"/>
      <c r="D270" s="125"/>
      <c r="E270" s="125" t="e">
        <f>VLOOKUP(A265,'01.2012'!$B$2:$AB$57,4,0)</f>
        <v>#N/A</v>
      </c>
      <c r="F270" s="89"/>
      <c r="G270" s="96"/>
      <c r="H270" s="124" t="s">
        <v>83</v>
      </c>
      <c r="I270" s="124"/>
      <c r="K270" s="125"/>
      <c r="L270" s="125" t="e">
        <f>VLOOKUP(H265,'01.2012'!$B$2:$AB$57,4,0)</f>
        <v>#N/A</v>
      </c>
    </row>
    <row r="271" spans="1:12">
      <c r="A271" s="93" t="s">
        <v>44</v>
      </c>
      <c r="B271" s="6"/>
      <c r="C271" s="126"/>
      <c r="D271" s="126"/>
      <c r="E271" s="126" t="e">
        <f>VLOOKUP(A265,'01.2012'!$B$2:$AB$57,5,0)</f>
        <v>#N/A</v>
      </c>
      <c r="F271" s="89"/>
      <c r="G271" s="96"/>
      <c r="H271" s="93" t="s">
        <v>44</v>
      </c>
      <c r="J271" s="126"/>
      <c r="K271" s="126"/>
      <c r="L271" s="126" t="e">
        <f>VLOOKUP(H265,'01.2012'!$B$2:$AB$57,5,0)</f>
        <v>#N/A</v>
      </c>
    </row>
    <row r="272" spans="1:12" ht="39.75">
      <c r="A272" s="127" t="s">
        <v>105</v>
      </c>
      <c r="B272" s="128" t="s">
        <v>84</v>
      </c>
      <c r="C272" s="132" t="s">
        <v>85</v>
      </c>
      <c r="D272" s="128" t="s">
        <v>102</v>
      </c>
      <c r="E272" s="136" t="s">
        <v>106</v>
      </c>
      <c r="F272" s="6"/>
      <c r="G272" s="97"/>
      <c r="H272" s="127" t="s">
        <v>105</v>
      </c>
      <c r="I272" s="128" t="s">
        <v>84</v>
      </c>
      <c r="J272" s="132" t="s">
        <v>85</v>
      </c>
      <c r="K272" s="128" t="s">
        <v>102</v>
      </c>
      <c r="L272" s="135"/>
    </row>
    <row r="273" spans="1:12" ht="21">
      <c r="A273" s="99" t="e">
        <f>IF(VLOOKUP(A265,'01.2012'!$B$2:$AB$57,7,0)&lt;1,-VLOOKUP(A265,'01.2012'!$B$2:$AB$57,6,0),VLOOKUP(A265,'01.2012'!$B$2:$AB$57,7,0))</f>
        <v>#N/A</v>
      </c>
      <c r="B273" s="90" t="e">
        <f>VLOOKUP(A265,'01.2012'!$B$2:$AB$57,14,0)</f>
        <v>#N/A</v>
      </c>
      <c r="C273" s="91" t="e">
        <f>VLOOKUP(A265,'01.2012'!$B$2:$AB$57,25,0)</f>
        <v>#N/A</v>
      </c>
      <c r="D273" s="90" t="e">
        <f>VLOOKUP(A265,'01.2012'!$B$2:$AB$57,27,0)</f>
        <v>#N/A</v>
      </c>
      <c r="E273" s="137" t="s">
        <v>106</v>
      </c>
      <c r="F273" s="6"/>
      <c r="G273" s="97"/>
      <c r="H273" s="99" t="e">
        <f>IF(VLOOKUP(H265,'01.2012'!$B$2:$AB$57,7,0)&lt;1,-VLOOKUP(H265,'01.2012'!$B$2:$AB$57,6,0),VLOOKUP(H265,'01.2012'!$B$2:$AB$57,7,0))</f>
        <v>#N/A</v>
      </c>
      <c r="I273" s="90" t="e">
        <f>VLOOKUP(H265,'01.2012'!$B$2:$AB$57,14,0)</f>
        <v>#N/A</v>
      </c>
      <c r="J273" s="91" t="e">
        <f>VLOOKUP(H265,'01.2012'!$B$2:$AB$57,25,0)</f>
        <v>#N/A</v>
      </c>
      <c r="K273" s="90" t="e">
        <f>VLOOKUP(H265,'01.2012'!$B$2:$AB$57,27,0)</f>
        <v>#N/A</v>
      </c>
      <c r="L273" s="129"/>
    </row>
    <row r="274" spans="1:12">
      <c r="A274" s="6"/>
      <c r="B274" s="6"/>
      <c r="C274" s="6"/>
      <c r="E274" s="88"/>
      <c r="F274" s="6"/>
      <c r="G274" s="97"/>
      <c r="L274" s="88"/>
    </row>
    <row r="275" spans="1:12">
      <c r="A275" s="121" t="s">
        <v>89</v>
      </c>
      <c r="B275" s="121"/>
      <c r="C275" s="6"/>
      <c r="E275" s="6"/>
      <c r="F275" s="6"/>
      <c r="G275" s="97"/>
      <c r="H275" s="121" t="s">
        <v>89</v>
      </c>
      <c r="I275" s="121"/>
    </row>
    <row r="276" spans="1:12">
      <c r="A276" s="122" t="s">
        <v>90</v>
      </c>
      <c r="B276" s="122"/>
      <c r="C276" s="6"/>
      <c r="E276" s="6"/>
      <c r="F276" s="6"/>
      <c r="G276" s="97"/>
      <c r="H276" s="122" t="s">
        <v>90</v>
      </c>
      <c r="I276" s="122"/>
    </row>
    <row r="277" spans="1:12">
      <c r="A277" s="108">
        <f t="shared" ref="A277" si="45">INT((ROW()-1)/12)*2+1+(COLUMN()&gt;6)</f>
        <v>47</v>
      </c>
      <c r="B277" s="138"/>
      <c r="C277" s="138"/>
      <c r="D277" s="139"/>
      <c r="E277" s="138"/>
      <c r="F277" s="138"/>
      <c r="G277" s="140"/>
      <c r="H277" s="108">
        <f t="shared" ref="H277" si="46">INT((ROW()-1)/12)*2+1+(COLUMN()&gt;6)</f>
        <v>48</v>
      </c>
      <c r="I277" s="98"/>
      <c r="J277" s="98"/>
      <c r="K277" s="100"/>
      <c r="L277" s="98"/>
    </row>
    <row r="278" spans="1:12" ht="14.25">
      <c r="A278" s="110" t="s">
        <v>82</v>
      </c>
      <c r="B278" s="110"/>
      <c r="C278" s="110"/>
      <c r="D278" s="110"/>
      <c r="E278" s="110"/>
      <c r="F278" s="92"/>
      <c r="G278" s="94"/>
      <c r="H278" s="110" t="s">
        <v>82</v>
      </c>
      <c r="I278" s="110"/>
      <c r="J278" s="110"/>
      <c r="K278" s="110"/>
      <c r="L278" s="110"/>
    </row>
    <row r="279" spans="1:12" ht="14.25">
      <c r="A279" s="109" t="s">
        <v>94</v>
      </c>
      <c r="B279" s="109"/>
      <c r="C279" s="109"/>
      <c r="D279" s="109"/>
      <c r="E279" s="109"/>
      <c r="F279" s="92"/>
      <c r="G279" s="94"/>
      <c r="H279" s="109" t="s">
        <v>94</v>
      </c>
      <c r="I279" s="109"/>
      <c r="J279" s="109"/>
      <c r="K279" s="109"/>
      <c r="L279" s="109"/>
    </row>
    <row r="280" spans="1:12">
      <c r="A280" s="87"/>
      <c r="B280" s="87"/>
      <c r="C280" s="87"/>
      <c r="D280" s="22"/>
      <c r="E280" s="87"/>
      <c r="F280" s="87"/>
      <c r="G280" s="95"/>
      <c r="H280" s="87"/>
      <c r="I280" s="87"/>
      <c r="J280" s="87"/>
      <c r="K280" s="22"/>
      <c r="L280" s="87"/>
    </row>
    <row r="281" spans="1:12">
      <c r="A281" s="6"/>
      <c r="B281" s="123"/>
      <c r="C281" s="123"/>
      <c r="D281" s="123"/>
      <c r="E281" s="123" t="e">
        <f>VLOOKUP(VLOOKUP(A277,'01.2012'!$B$2:$AB$57,2,0),'01.2012'!$C$2:$E$57,3,0)</f>
        <v>#N/A</v>
      </c>
      <c r="F281" s="87"/>
      <c r="G281" s="95"/>
      <c r="I281" s="123"/>
      <c r="J281" s="123"/>
      <c r="K281" s="123"/>
      <c r="L281" s="123" t="e">
        <f>VLOOKUP(VLOOKUP(H277,'01.2012'!$B$2:$AB$57,2,0),'01.2012'!$C$2:$E$57,3,0)</f>
        <v>#N/A</v>
      </c>
    </row>
    <row r="282" spans="1:12">
      <c r="A282" s="124" t="s">
        <v>83</v>
      </c>
      <c r="B282" s="124"/>
      <c r="C282" s="6"/>
      <c r="D282" s="125"/>
      <c r="E282" s="125" t="e">
        <f>VLOOKUP(A277,'01.2012'!$B$2:$AB$57,4,0)</f>
        <v>#N/A</v>
      </c>
      <c r="F282" s="89"/>
      <c r="G282" s="96"/>
      <c r="H282" s="124" t="s">
        <v>83</v>
      </c>
      <c r="I282" s="124"/>
      <c r="K282" s="125"/>
      <c r="L282" s="125" t="e">
        <f>VLOOKUP(H277,'01.2012'!$B$2:$AB$57,4,0)</f>
        <v>#N/A</v>
      </c>
    </row>
    <row r="283" spans="1:12">
      <c r="A283" s="93" t="s">
        <v>44</v>
      </c>
      <c r="B283" s="6"/>
      <c r="C283" s="126"/>
      <c r="D283" s="126"/>
      <c r="E283" s="126" t="e">
        <f>VLOOKUP(A277,'01.2012'!$B$2:$AB$57,5,0)</f>
        <v>#N/A</v>
      </c>
      <c r="F283" s="89"/>
      <c r="G283" s="96"/>
      <c r="H283" s="93" t="s">
        <v>44</v>
      </c>
      <c r="J283" s="126"/>
      <c r="K283" s="126"/>
      <c r="L283" s="126" t="e">
        <f>VLOOKUP(H277,'01.2012'!$B$2:$AB$57,5,0)</f>
        <v>#N/A</v>
      </c>
    </row>
    <row r="284" spans="1:12" ht="39.75">
      <c r="A284" s="127" t="s">
        <v>105</v>
      </c>
      <c r="B284" s="128" t="s">
        <v>84</v>
      </c>
      <c r="C284" s="132" t="s">
        <v>85</v>
      </c>
      <c r="D284" s="128" t="s">
        <v>102</v>
      </c>
      <c r="E284" s="136" t="s">
        <v>106</v>
      </c>
      <c r="F284" s="6"/>
      <c r="G284" s="97"/>
      <c r="H284" s="127" t="s">
        <v>105</v>
      </c>
      <c r="I284" s="128" t="s">
        <v>84</v>
      </c>
      <c r="J284" s="132" t="s">
        <v>85</v>
      </c>
      <c r="K284" s="128" t="s">
        <v>102</v>
      </c>
      <c r="L284" s="135"/>
    </row>
    <row r="285" spans="1:12" ht="21">
      <c r="A285" s="99" t="e">
        <f>IF(VLOOKUP(A277,'01.2012'!$B$2:$AB$57,7,0)&lt;1,-VLOOKUP(A277,'01.2012'!$B$2:$AB$57,6,0),VLOOKUP(A277,'01.2012'!$B$2:$AB$57,7,0))</f>
        <v>#N/A</v>
      </c>
      <c r="B285" s="90" t="e">
        <f>VLOOKUP(A277,'01.2012'!$B$2:$AB$57,14,0)</f>
        <v>#N/A</v>
      </c>
      <c r="C285" s="91" t="e">
        <f>VLOOKUP(A277,'01.2012'!$B$2:$AB$57,25,0)</f>
        <v>#N/A</v>
      </c>
      <c r="D285" s="90" t="e">
        <f>VLOOKUP(A277,'01.2012'!$B$2:$AB$57,27,0)</f>
        <v>#N/A</v>
      </c>
      <c r="E285" s="137" t="s">
        <v>106</v>
      </c>
      <c r="F285" s="6"/>
      <c r="G285" s="97"/>
      <c r="H285" s="99" t="e">
        <f>IF(VLOOKUP(H277,'01.2012'!$B$2:$AB$57,7,0)&lt;1,-VLOOKUP(H277,'01.2012'!$B$2:$AB$57,6,0),VLOOKUP(H277,'01.2012'!$B$2:$AB$57,7,0))</f>
        <v>#N/A</v>
      </c>
      <c r="I285" s="90" t="e">
        <f>VLOOKUP(H277,'01.2012'!$B$2:$AB$57,14,0)</f>
        <v>#N/A</v>
      </c>
      <c r="J285" s="91" t="e">
        <f>VLOOKUP(H277,'01.2012'!$B$2:$AB$57,25,0)</f>
        <v>#N/A</v>
      </c>
      <c r="K285" s="90" t="e">
        <f>VLOOKUP(H277,'01.2012'!$B$2:$AB$57,27,0)</f>
        <v>#N/A</v>
      </c>
      <c r="L285" s="129"/>
    </row>
    <row r="286" spans="1:12">
      <c r="A286" s="6"/>
      <c r="B286" s="6"/>
      <c r="C286" s="6"/>
      <c r="E286" s="88"/>
      <c r="F286" s="6"/>
      <c r="G286" s="97"/>
      <c r="L286" s="88"/>
    </row>
    <row r="287" spans="1:12">
      <c r="A287" s="121" t="s">
        <v>89</v>
      </c>
      <c r="B287" s="121"/>
      <c r="C287" s="6"/>
      <c r="E287" s="6"/>
      <c r="F287" s="6"/>
      <c r="G287" s="97"/>
      <c r="H287" s="121" t="s">
        <v>89</v>
      </c>
      <c r="I287" s="121"/>
    </row>
    <row r="288" spans="1:12">
      <c r="A288" s="122" t="s">
        <v>90</v>
      </c>
      <c r="B288" s="122"/>
      <c r="C288" s="6"/>
      <c r="E288" s="6"/>
      <c r="F288" s="6"/>
      <c r="G288" s="97"/>
      <c r="H288" s="122" t="s">
        <v>90</v>
      </c>
      <c r="I288" s="122"/>
    </row>
    <row r="289" spans="1:12">
      <c r="A289" s="108">
        <f t="shared" ref="A289" si="47">INT((ROW()-1)/12)*2+1+(COLUMN()&gt;6)</f>
        <v>49</v>
      </c>
      <c r="B289" s="138"/>
      <c r="C289" s="138"/>
      <c r="D289" s="139"/>
      <c r="E289" s="138"/>
      <c r="F289" s="138"/>
      <c r="G289" s="140"/>
      <c r="H289" s="108">
        <f t="shared" ref="H289" si="48">INT((ROW()-1)/12)*2+1+(COLUMN()&gt;6)</f>
        <v>50</v>
      </c>
      <c r="I289" s="98"/>
      <c r="J289" s="98"/>
      <c r="K289" s="100"/>
      <c r="L289" s="98"/>
    </row>
    <row r="290" spans="1:12" ht="14.25">
      <c r="A290" s="110" t="s">
        <v>82</v>
      </c>
      <c r="B290" s="110"/>
      <c r="C290" s="110"/>
      <c r="D290" s="110"/>
      <c r="E290" s="110"/>
      <c r="F290" s="92"/>
      <c r="G290" s="94"/>
      <c r="H290" s="110" t="s">
        <v>82</v>
      </c>
      <c r="I290" s="110"/>
      <c r="J290" s="110"/>
      <c r="K290" s="110"/>
      <c r="L290" s="110"/>
    </row>
    <row r="291" spans="1:12" ht="14.25">
      <c r="A291" s="109" t="s">
        <v>94</v>
      </c>
      <c r="B291" s="109"/>
      <c r="C291" s="109"/>
      <c r="D291" s="109"/>
      <c r="E291" s="109"/>
      <c r="F291" s="92"/>
      <c r="G291" s="94"/>
      <c r="H291" s="109" t="s">
        <v>94</v>
      </c>
      <c r="I291" s="109"/>
      <c r="J291" s="109"/>
      <c r="K291" s="109"/>
      <c r="L291" s="109"/>
    </row>
    <row r="292" spans="1:12">
      <c r="A292" s="87"/>
      <c r="B292" s="87"/>
      <c r="C292" s="87"/>
      <c r="D292" s="22"/>
      <c r="E292" s="87"/>
      <c r="F292" s="87"/>
      <c r="G292" s="95"/>
      <c r="H292" s="87"/>
      <c r="I292" s="87"/>
      <c r="J292" s="87"/>
      <c r="K292" s="22"/>
      <c r="L292" s="87"/>
    </row>
    <row r="293" spans="1:12">
      <c r="A293" s="6"/>
      <c r="B293" s="123"/>
      <c r="C293" s="123"/>
      <c r="D293" s="123"/>
      <c r="E293" s="123" t="e">
        <f>VLOOKUP(VLOOKUP(A289,'01.2012'!$B$2:$AB$57,2,0),'01.2012'!$C$2:$E$57,3,0)</f>
        <v>#N/A</v>
      </c>
      <c r="F293" s="87"/>
      <c r="G293" s="95"/>
      <c r="I293" s="123"/>
      <c r="J293" s="123"/>
      <c r="K293" s="123"/>
      <c r="L293" s="123" t="e">
        <f>VLOOKUP(VLOOKUP(H289,'01.2012'!$B$2:$AB$57,2,0),'01.2012'!$C$2:$E$57,3,0)</f>
        <v>#N/A</v>
      </c>
    </row>
    <row r="294" spans="1:12">
      <c r="A294" s="124" t="s">
        <v>83</v>
      </c>
      <c r="B294" s="124"/>
      <c r="C294" s="6"/>
      <c r="D294" s="125"/>
      <c r="E294" s="125" t="e">
        <f>VLOOKUP(A289,'01.2012'!$B$2:$AB$57,4,0)</f>
        <v>#N/A</v>
      </c>
      <c r="F294" s="89"/>
      <c r="G294" s="96"/>
      <c r="H294" s="124" t="s">
        <v>83</v>
      </c>
      <c r="I294" s="124"/>
      <c r="K294" s="125"/>
      <c r="L294" s="125" t="e">
        <f>VLOOKUP(H289,'01.2012'!$B$2:$AB$57,4,0)</f>
        <v>#N/A</v>
      </c>
    </row>
    <row r="295" spans="1:12">
      <c r="A295" s="93" t="s">
        <v>44</v>
      </c>
      <c r="B295" s="6"/>
      <c r="C295" s="126"/>
      <c r="D295" s="126"/>
      <c r="E295" s="126" t="e">
        <f>VLOOKUP(A289,'01.2012'!$B$2:$AB$57,5,0)</f>
        <v>#N/A</v>
      </c>
      <c r="F295" s="89"/>
      <c r="G295" s="96"/>
      <c r="H295" s="93" t="s">
        <v>44</v>
      </c>
      <c r="J295" s="126"/>
      <c r="K295" s="126"/>
      <c r="L295" s="126" t="e">
        <f>VLOOKUP(H289,'01.2012'!$B$2:$AB$57,5,0)</f>
        <v>#N/A</v>
      </c>
    </row>
    <row r="296" spans="1:12" ht="39.75">
      <c r="A296" s="127" t="s">
        <v>105</v>
      </c>
      <c r="B296" s="128" t="s">
        <v>84</v>
      </c>
      <c r="C296" s="132" t="s">
        <v>85</v>
      </c>
      <c r="D296" s="128" t="s">
        <v>102</v>
      </c>
      <c r="E296" s="136" t="s">
        <v>106</v>
      </c>
      <c r="F296" s="6"/>
      <c r="G296" s="97"/>
      <c r="H296" s="127" t="s">
        <v>105</v>
      </c>
      <c r="I296" s="128" t="s">
        <v>84</v>
      </c>
      <c r="J296" s="132" t="s">
        <v>85</v>
      </c>
      <c r="K296" s="128" t="s">
        <v>102</v>
      </c>
      <c r="L296" s="135"/>
    </row>
    <row r="297" spans="1:12" ht="21">
      <c r="A297" s="99" t="e">
        <f>IF(VLOOKUP(A289,'01.2012'!$B$2:$AB$57,7,0)&lt;1,-VLOOKUP(A289,'01.2012'!$B$2:$AB$57,6,0),VLOOKUP(A289,'01.2012'!$B$2:$AB$57,7,0))</f>
        <v>#N/A</v>
      </c>
      <c r="B297" s="90" t="e">
        <f>VLOOKUP(A289,'01.2012'!$B$2:$AB$57,14,0)</f>
        <v>#N/A</v>
      </c>
      <c r="C297" s="91" t="e">
        <f>VLOOKUP(A289,'01.2012'!$B$2:$AB$57,25,0)</f>
        <v>#N/A</v>
      </c>
      <c r="D297" s="90" t="e">
        <f>VLOOKUP(A289,'01.2012'!$B$2:$AB$57,27,0)</f>
        <v>#N/A</v>
      </c>
      <c r="E297" s="137" t="s">
        <v>106</v>
      </c>
      <c r="F297" s="6"/>
      <c r="G297" s="97"/>
      <c r="H297" s="99" t="e">
        <f>IF(VLOOKUP(H289,'01.2012'!$B$2:$AB$57,7,0)&lt;1,-VLOOKUP(H289,'01.2012'!$B$2:$AB$57,6,0),VLOOKUP(H289,'01.2012'!$B$2:$AB$57,7,0))</f>
        <v>#N/A</v>
      </c>
      <c r="I297" s="90" t="e">
        <f>VLOOKUP(H289,'01.2012'!$B$2:$AB$57,14,0)</f>
        <v>#N/A</v>
      </c>
      <c r="J297" s="91" t="e">
        <f>VLOOKUP(H289,'01.2012'!$B$2:$AB$57,25,0)</f>
        <v>#N/A</v>
      </c>
      <c r="K297" s="90" t="e">
        <f>VLOOKUP(H289,'01.2012'!$B$2:$AB$57,27,0)</f>
        <v>#N/A</v>
      </c>
      <c r="L297" s="129"/>
    </row>
    <row r="298" spans="1:12">
      <c r="A298" s="6"/>
      <c r="B298" s="6"/>
      <c r="C298" s="6"/>
      <c r="E298" s="88"/>
      <c r="F298" s="6"/>
      <c r="G298" s="97"/>
      <c r="L298" s="88"/>
    </row>
    <row r="299" spans="1:12">
      <c r="A299" s="121" t="s">
        <v>89</v>
      </c>
      <c r="B299" s="121"/>
      <c r="C299" s="6"/>
      <c r="E299" s="6"/>
      <c r="F299" s="6"/>
      <c r="G299" s="97"/>
      <c r="H299" s="121" t="s">
        <v>89</v>
      </c>
      <c r="I299" s="121"/>
    </row>
    <row r="300" spans="1:12">
      <c r="A300" s="122" t="s">
        <v>90</v>
      </c>
      <c r="B300" s="122"/>
      <c r="C300" s="6"/>
      <c r="E300" s="6"/>
      <c r="F300" s="6"/>
      <c r="G300" s="97"/>
      <c r="H300" s="122" t="s">
        <v>90</v>
      </c>
      <c r="I300" s="122"/>
    </row>
    <row r="301" spans="1:12">
      <c r="A301" s="108">
        <f t="shared" ref="A301" si="49">INT((ROW()-1)/12)*2+1+(COLUMN()&gt;6)</f>
        <v>51</v>
      </c>
      <c r="B301" s="138"/>
      <c r="C301" s="138"/>
      <c r="D301" s="139"/>
      <c r="E301" s="138"/>
      <c r="F301" s="138"/>
      <c r="G301" s="140"/>
      <c r="H301" s="108">
        <f t="shared" ref="H301" si="50">INT((ROW()-1)/12)*2+1+(COLUMN()&gt;6)</f>
        <v>52</v>
      </c>
      <c r="I301" s="98"/>
      <c r="J301" s="98"/>
      <c r="K301" s="100"/>
      <c r="L301" s="98"/>
    </row>
    <row r="302" spans="1:12" ht="14.25">
      <c r="A302" s="110" t="s">
        <v>82</v>
      </c>
      <c r="B302" s="110"/>
      <c r="C302" s="110"/>
      <c r="D302" s="110"/>
      <c r="E302" s="110"/>
      <c r="F302" s="92"/>
      <c r="G302" s="94"/>
      <c r="H302" s="110" t="s">
        <v>82</v>
      </c>
      <c r="I302" s="110"/>
      <c r="J302" s="110"/>
      <c r="K302" s="110"/>
      <c r="L302" s="110"/>
    </row>
    <row r="303" spans="1:12" ht="14.25">
      <c r="A303" s="109" t="s">
        <v>94</v>
      </c>
      <c r="B303" s="109"/>
      <c r="C303" s="109"/>
      <c r="D303" s="109"/>
      <c r="E303" s="109"/>
      <c r="F303" s="92"/>
      <c r="G303" s="94"/>
      <c r="H303" s="109" t="s">
        <v>94</v>
      </c>
      <c r="I303" s="109"/>
      <c r="J303" s="109"/>
      <c r="K303" s="109"/>
      <c r="L303" s="109"/>
    </row>
    <row r="304" spans="1:12">
      <c r="A304" s="87"/>
      <c r="B304" s="87"/>
      <c r="C304" s="87"/>
      <c r="D304" s="22"/>
      <c r="E304" s="87"/>
      <c r="F304" s="87"/>
      <c r="G304" s="95"/>
      <c r="H304" s="87"/>
      <c r="I304" s="87"/>
      <c r="J304" s="87"/>
      <c r="K304" s="22"/>
      <c r="L304" s="87"/>
    </row>
    <row r="305" spans="1:12">
      <c r="A305" s="6"/>
      <c r="B305" s="123"/>
      <c r="C305" s="123"/>
      <c r="D305" s="123"/>
      <c r="E305" s="123" t="e">
        <f>VLOOKUP(VLOOKUP(A301,'01.2012'!$B$2:$AB$57,2,0),'01.2012'!$C$2:$E$57,3,0)</f>
        <v>#N/A</v>
      </c>
      <c r="F305" s="87"/>
      <c r="G305" s="95"/>
      <c r="I305" s="123"/>
      <c r="J305" s="123"/>
      <c r="K305" s="123"/>
      <c r="L305" s="123" t="e">
        <f>VLOOKUP(VLOOKUP(H301,'01.2012'!$B$2:$AB$57,2,0),'01.2012'!$C$2:$E$57,3,0)</f>
        <v>#N/A</v>
      </c>
    </row>
    <row r="306" spans="1:12">
      <c r="A306" s="124" t="s">
        <v>83</v>
      </c>
      <c r="B306" s="124"/>
      <c r="C306" s="6"/>
      <c r="D306" s="125"/>
      <c r="E306" s="125" t="e">
        <f>VLOOKUP(A301,'01.2012'!$B$2:$AB$57,4,0)</f>
        <v>#N/A</v>
      </c>
      <c r="F306" s="89"/>
      <c r="G306" s="96"/>
      <c r="H306" s="124" t="s">
        <v>83</v>
      </c>
      <c r="I306" s="124"/>
      <c r="K306" s="125"/>
      <c r="L306" s="125" t="e">
        <f>VLOOKUP(H301,'01.2012'!$B$2:$AB$57,4,0)</f>
        <v>#N/A</v>
      </c>
    </row>
    <row r="307" spans="1:12">
      <c r="A307" s="93" t="s">
        <v>44</v>
      </c>
      <c r="B307" s="6"/>
      <c r="C307" s="126"/>
      <c r="D307" s="126"/>
      <c r="E307" s="126" t="e">
        <f>VLOOKUP(A301,'01.2012'!$B$2:$AB$57,5,0)</f>
        <v>#N/A</v>
      </c>
      <c r="F307" s="89"/>
      <c r="G307" s="96"/>
      <c r="H307" s="93" t="s">
        <v>44</v>
      </c>
      <c r="J307" s="126"/>
      <c r="K307" s="126"/>
      <c r="L307" s="126" t="e">
        <f>VLOOKUP(H301,'01.2012'!$B$2:$AB$57,5,0)</f>
        <v>#N/A</v>
      </c>
    </row>
    <row r="308" spans="1:12" ht="39.75">
      <c r="A308" s="127" t="s">
        <v>105</v>
      </c>
      <c r="B308" s="128" t="s">
        <v>84</v>
      </c>
      <c r="C308" s="132" t="s">
        <v>85</v>
      </c>
      <c r="D308" s="128" t="s">
        <v>102</v>
      </c>
      <c r="E308" s="136" t="s">
        <v>106</v>
      </c>
      <c r="F308" s="6"/>
      <c r="G308" s="97"/>
      <c r="H308" s="127" t="s">
        <v>105</v>
      </c>
      <c r="I308" s="128" t="s">
        <v>84</v>
      </c>
      <c r="J308" s="132" t="s">
        <v>85</v>
      </c>
      <c r="K308" s="128" t="s">
        <v>102</v>
      </c>
      <c r="L308" s="135"/>
    </row>
    <row r="309" spans="1:12" ht="21">
      <c r="A309" s="99" t="e">
        <f>IF(VLOOKUP(A301,'01.2012'!$B$2:$AB$57,7,0)&lt;1,-VLOOKUP(A301,'01.2012'!$B$2:$AB$57,6,0),VLOOKUP(A301,'01.2012'!$B$2:$AB$57,7,0))</f>
        <v>#N/A</v>
      </c>
      <c r="B309" s="90" t="e">
        <f>VLOOKUP(A301,'01.2012'!$B$2:$AB$57,14,0)</f>
        <v>#N/A</v>
      </c>
      <c r="C309" s="91" t="e">
        <f>VLOOKUP(A301,'01.2012'!$B$2:$AB$57,25,0)</f>
        <v>#N/A</v>
      </c>
      <c r="D309" s="90" t="e">
        <f>VLOOKUP(A301,'01.2012'!$B$2:$AB$57,27,0)</f>
        <v>#N/A</v>
      </c>
      <c r="E309" s="137" t="s">
        <v>106</v>
      </c>
      <c r="F309" s="6"/>
      <c r="G309" s="97"/>
      <c r="H309" s="99" t="e">
        <f>IF(VLOOKUP(H301,'01.2012'!$B$2:$AB$57,7,0)&lt;1,-VLOOKUP(H301,'01.2012'!$B$2:$AB$57,6,0),VLOOKUP(H301,'01.2012'!$B$2:$AB$57,7,0))</f>
        <v>#N/A</v>
      </c>
      <c r="I309" s="90" t="e">
        <f>VLOOKUP(H301,'01.2012'!$B$2:$AB$57,14,0)</f>
        <v>#N/A</v>
      </c>
      <c r="J309" s="91" t="e">
        <f>VLOOKUP(H301,'01.2012'!$B$2:$AB$57,25,0)</f>
        <v>#N/A</v>
      </c>
      <c r="K309" s="90" t="e">
        <f>VLOOKUP(H301,'01.2012'!$B$2:$AB$57,27,0)</f>
        <v>#N/A</v>
      </c>
      <c r="L309" s="129"/>
    </row>
    <row r="310" spans="1:12">
      <c r="A310" s="6"/>
      <c r="B310" s="6"/>
      <c r="C310" s="6"/>
      <c r="E310" s="88"/>
      <c r="F310" s="6"/>
      <c r="G310" s="97"/>
      <c r="L310" s="88"/>
    </row>
    <row r="311" spans="1:12">
      <c r="A311" s="121" t="s">
        <v>89</v>
      </c>
      <c r="B311" s="121"/>
      <c r="C311" s="6"/>
      <c r="E311" s="6"/>
      <c r="F311" s="6"/>
      <c r="G311" s="97"/>
      <c r="H311" s="121" t="s">
        <v>89</v>
      </c>
      <c r="I311" s="121"/>
    </row>
    <row r="312" spans="1:12">
      <c r="A312" s="122" t="s">
        <v>90</v>
      </c>
      <c r="B312" s="122"/>
      <c r="C312" s="6"/>
      <c r="E312" s="6"/>
      <c r="F312" s="6"/>
      <c r="G312" s="97"/>
      <c r="H312" s="122" t="s">
        <v>90</v>
      </c>
      <c r="I312" s="122"/>
    </row>
    <row r="313" spans="1:12">
      <c r="A313" s="108">
        <f t="shared" ref="A313" si="51">INT((ROW()-1)/12)*2+1+(COLUMN()&gt;6)</f>
        <v>53</v>
      </c>
      <c r="B313" s="138"/>
      <c r="C313" s="138"/>
      <c r="D313" s="139"/>
      <c r="E313" s="138"/>
      <c r="F313" s="138"/>
      <c r="G313" s="140"/>
      <c r="H313" s="108">
        <f t="shared" ref="H313" si="52">INT((ROW()-1)/12)*2+1+(COLUMN()&gt;6)</f>
        <v>54</v>
      </c>
      <c r="I313" s="98"/>
      <c r="J313" s="98"/>
      <c r="K313" s="100"/>
      <c r="L313" s="98"/>
    </row>
    <row r="314" spans="1:12" ht="14.25">
      <c r="A314" s="110" t="s">
        <v>82</v>
      </c>
      <c r="B314" s="110"/>
      <c r="C314" s="110"/>
      <c r="D314" s="110"/>
      <c r="E314" s="110"/>
      <c r="F314" s="92"/>
      <c r="G314" s="94"/>
      <c r="H314" s="110" t="s">
        <v>82</v>
      </c>
      <c r="I314" s="110"/>
      <c r="J314" s="110"/>
      <c r="K314" s="110"/>
      <c r="L314" s="110"/>
    </row>
    <row r="315" spans="1:12" ht="14.25">
      <c r="A315" s="109" t="s">
        <v>94</v>
      </c>
      <c r="B315" s="109"/>
      <c r="C315" s="109"/>
      <c r="D315" s="109"/>
      <c r="E315" s="109"/>
      <c r="F315" s="92"/>
      <c r="G315" s="94"/>
      <c r="H315" s="109" t="s">
        <v>94</v>
      </c>
      <c r="I315" s="109"/>
      <c r="J315" s="109"/>
      <c r="K315" s="109"/>
      <c r="L315" s="109"/>
    </row>
    <row r="316" spans="1:12">
      <c r="A316" s="87"/>
      <c r="B316" s="87"/>
      <c r="C316" s="87"/>
      <c r="D316" s="22"/>
      <c r="E316" s="87"/>
      <c r="F316" s="87"/>
      <c r="G316" s="95"/>
      <c r="H316" s="87"/>
      <c r="I316" s="87"/>
      <c r="J316" s="87"/>
      <c r="K316" s="22"/>
      <c r="L316" s="87"/>
    </row>
    <row r="317" spans="1:12">
      <c r="A317" s="6"/>
      <c r="B317" s="123"/>
      <c r="C317" s="123"/>
      <c r="D317" s="123"/>
      <c r="E317" s="123" t="e">
        <f>VLOOKUP(VLOOKUP(A313,'01.2012'!$B$2:$AB$57,2,0),'01.2012'!$C$2:$E$57,3,0)</f>
        <v>#N/A</v>
      </c>
      <c r="F317" s="87"/>
      <c r="G317" s="95"/>
      <c r="I317" s="123"/>
      <c r="J317" s="123"/>
      <c r="K317" s="123"/>
      <c r="L317" s="123" t="e">
        <f>VLOOKUP(VLOOKUP(H313,'01.2012'!$B$2:$AB$57,2,0),'01.2012'!$C$2:$E$57,3,0)</f>
        <v>#N/A</v>
      </c>
    </row>
    <row r="318" spans="1:12">
      <c r="A318" s="124" t="s">
        <v>83</v>
      </c>
      <c r="B318" s="124"/>
      <c r="C318" s="6"/>
      <c r="D318" s="125"/>
      <c r="E318" s="125" t="e">
        <f>VLOOKUP(A313,'01.2012'!$B$2:$AB$57,4,0)</f>
        <v>#N/A</v>
      </c>
      <c r="F318" s="89"/>
      <c r="G318" s="96"/>
      <c r="H318" s="124" t="s">
        <v>83</v>
      </c>
      <c r="I318" s="124"/>
      <c r="K318" s="125"/>
      <c r="L318" s="125" t="e">
        <f>VLOOKUP(H313,'01.2012'!$B$2:$AB$57,4,0)</f>
        <v>#N/A</v>
      </c>
    </row>
    <row r="319" spans="1:12">
      <c r="A319" s="93" t="s">
        <v>44</v>
      </c>
      <c r="B319" s="6"/>
      <c r="C319" s="126"/>
      <c r="D319" s="126"/>
      <c r="E319" s="126" t="e">
        <f>VLOOKUP(A313,'01.2012'!$B$2:$AB$57,5,0)</f>
        <v>#N/A</v>
      </c>
      <c r="F319" s="89"/>
      <c r="G319" s="96"/>
      <c r="H319" s="93" t="s">
        <v>44</v>
      </c>
      <c r="J319" s="126"/>
      <c r="K319" s="126"/>
      <c r="L319" s="126" t="e">
        <f>VLOOKUP(H313,'01.2012'!$B$2:$AB$57,5,0)</f>
        <v>#N/A</v>
      </c>
    </row>
    <row r="320" spans="1:12" ht="39.75">
      <c r="A320" s="127" t="s">
        <v>105</v>
      </c>
      <c r="B320" s="128" t="s">
        <v>84</v>
      </c>
      <c r="C320" s="132" t="s">
        <v>85</v>
      </c>
      <c r="D320" s="128" t="s">
        <v>102</v>
      </c>
      <c r="E320" s="136" t="s">
        <v>106</v>
      </c>
      <c r="F320" s="6"/>
      <c r="G320" s="97"/>
      <c r="H320" s="127" t="s">
        <v>105</v>
      </c>
      <c r="I320" s="128" t="s">
        <v>84</v>
      </c>
      <c r="J320" s="132" t="s">
        <v>85</v>
      </c>
      <c r="K320" s="128" t="s">
        <v>102</v>
      </c>
      <c r="L320" s="135"/>
    </row>
    <row r="321" spans="1:12" ht="21">
      <c r="A321" s="99" t="e">
        <f>IF(VLOOKUP(A313,'01.2012'!$B$2:$AB$57,7,0)&lt;1,-VLOOKUP(A313,'01.2012'!$B$2:$AB$57,6,0),VLOOKUP(A313,'01.2012'!$B$2:$AB$57,7,0))</f>
        <v>#N/A</v>
      </c>
      <c r="B321" s="90" t="e">
        <f>VLOOKUP(A313,'01.2012'!$B$2:$AB$57,14,0)</f>
        <v>#N/A</v>
      </c>
      <c r="C321" s="91" t="e">
        <f>VLOOKUP(A313,'01.2012'!$B$2:$AB$57,25,0)</f>
        <v>#N/A</v>
      </c>
      <c r="D321" s="90" t="e">
        <f>VLOOKUP(A313,'01.2012'!$B$2:$AB$57,27,0)</f>
        <v>#N/A</v>
      </c>
      <c r="E321" s="137" t="s">
        <v>106</v>
      </c>
      <c r="F321" s="6"/>
      <c r="G321" s="97"/>
      <c r="H321" s="99" t="e">
        <f>IF(VLOOKUP(H313,'01.2012'!$B$2:$AB$57,7,0)&lt;1,-VLOOKUP(H313,'01.2012'!$B$2:$AB$57,6,0),VLOOKUP(H313,'01.2012'!$B$2:$AB$57,7,0))</f>
        <v>#N/A</v>
      </c>
      <c r="I321" s="90" t="e">
        <f>VLOOKUP(H313,'01.2012'!$B$2:$AB$57,14,0)</f>
        <v>#N/A</v>
      </c>
      <c r="J321" s="91" t="e">
        <f>VLOOKUP(H313,'01.2012'!$B$2:$AB$57,25,0)</f>
        <v>#N/A</v>
      </c>
      <c r="K321" s="90" t="e">
        <f>VLOOKUP(H313,'01.2012'!$B$2:$AB$57,27,0)</f>
        <v>#N/A</v>
      </c>
      <c r="L321" s="129"/>
    </row>
    <row r="322" spans="1:12">
      <c r="A322" s="6"/>
      <c r="B322" s="6"/>
      <c r="C322" s="6"/>
      <c r="E322" s="88"/>
      <c r="F322" s="6"/>
      <c r="G322" s="97"/>
      <c r="L322" s="88"/>
    </row>
    <row r="323" spans="1:12">
      <c r="A323" s="121" t="s">
        <v>89</v>
      </c>
      <c r="B323" s="121"/>
      <c r="C323" s="6"/>
      <c r="E323" s="6"/>
      <c r="F323" s="6"/>
      <c r="G323" s="97"/>
      <c r="H323" s="121" t="s">
        <v>89</v>
      </c>
      <c r="I323" s="121"/>
    </row>
    <row r="324" spans="1:12">
      <c r="A324" s="122" t="s">
        <v>90</v>
      </c>
      <c r="B324" s="122"/>
      <c r="C324" s="6"/>
      <c r="E324" s="6"/>
      <c r="F324" s="6"/>
      <c r="G324" s="97"/>
      <c r="H324" s="122" t="s">
        <v>90</v>
      </c>
      <c r="I324" s="122"/>
    </row>
    <row r="325" spans="1:12">
      <c r="A325" s="108">
        <f t="shared" ref="A325" si="53">INT((ROW()-1)/12)*2+1+(COLUMN()&gt;6)</f>
        <v>55</v>
      </c>
      <c r="B325" s="138"/>
      <c r="C325" s="138"/>
      <c r="D325" s="139"/>
      <c r="E325" s="138"/>
      <c r="F325" s="138"/>
      <c r="G325" s="140"/>
      <c r="H325" s="108">
        <f t="shared" ref="H325" si="54">INT((ROW()-1)/12)*2+1+(COLUMN()&gt;6)</f>
        <v>56</v>
      </c>
      <c r="I325" s="98"/>
      <c r="J325" s="98"/>
      <c r="K325" s="100"/>
      <c r="L325" s="98"/>
    </row>
    <row r="326" spans="1:12" ht="14.25">
      <c r="A326" s="110" t="s">
        <v>82</v>
      </c>
      <c r="B326" s="110"/>
      <c r="C326" s="110"/>
      <c r="D326" s="110"/>
      <c r="E326" s="110"/>
      <c r="F326" s="92"/>
      <c r="G326" s="94"/>
      <c r="H326" s="110" t="s">
        <v>82</v>
      </c>
      <c r="I326" s="110"/>
      <c r="J326" s="110"/>
      <c r="K326" s="110"/>
      <c r="L326" s="110"/>
    </row>
    <row r="327" spans="1:12" ht="14.25">
      <c r="A327" s="109" t="s">
        <v>94</v>
      </c>
      <c r="B327" s="109"/>
      <c r="C327" s="109"/>
      <c r="D327" s="109"/>
      <c r="E327" s="109"/>
      <c r="F327" s="92"/>
      <c r="G327" s="94"/>
      <c r="H327" s="109" t="s">
        <v>94</v>
      </c>
      <c r="I327" s="109"/>
      <c r="J327" s="109"/>
      <c r="K327" s="109"/>
      <c r="L327" s="109"/>
    </row>
    <row r="328" spans="1:12">
      <c r="A328" s="87"/>
      <c r="B328" s="87"/>
      <c r="C328" s="87"/>
      <c r="D328" s="22"/>
      <c r="E328" s="87"/>
      <c r="F328" s="87"/>
      <c r="G328" s="95"/>
      <c r="H328" s="87"/>
      <c r="I328" s="87"/>
      <c r="J328" s="87"/>
      <c r="K328" s="22"/>
      <c r="L328" s="87"/>
    </row>
    <row r="329" spans="1:12">
      <c r="A329" s="6"/>
      <c r="B329" s="123"/>
      <c r="C329" s="123"/>
      <c r="D329" s="123"/>
      <c r="E329" s="123" t="e">
        <f>VLOOKUP(VLOOKUP(A325,'01.2012'!$B$2:$AB$57,2,0),'01.2012'!$C$2:$E$57,3,0)</f>
        <v>#N/A</v>
      </c>
      <c r="F329" s="87"/>
      <c r="G329" s="95"/>
      <c r="I329" s="123"/>
      <c r="J329" s="123"/>
      <c r="K329" s="123"/>
      <c r="L329" s="123" t="e">
        <f>VLOOKUP(VLOOKUP(H325,'01.2012'!$B$2:$AB$57,2,0),'01.2012'!$C$2:$E$57,3,0)</f>
        <v>#N/A</v>
      </c>
    </row>
    <row r="330" spans="1:12">
      <c r="A330" s="124" t="s">
        <v>83</v>
      </c>
      <c r="B330" s="124"/>
      <c r="C330" s="6"/>
      <c r="D330" s="125"/>
      <c r="E330" s="125" t="e">
        <f>VLOOKUP(A325,'01.2012'!$B$2:$AB$57,4,0)</f>
        <v>#N/A</v>
      </c>
      <c r="F330" s="89"/>
      <c r="G330" s="96"/>
      <c r="H330" s="124" t="s">
        <v>83</v>
      </c>
      <c r="I330" s="124"/>
      <c r="K330" s="125"/>
      <c r="L330" s="125" t="e">
        <f>VLOOKUP(H325,'01.2012'!$B$2:$AB$57,4,0)</f>
        <v>#N/A</v>
      </c>
    </row>
    <row r="331" spans="1:12">
      <c r="A331" s="93" t="s">
        <v>44</v>
      </c>
      <c r="B331" s="6"/>
      <c r="C331" s="126"/>
      <c r="D331" s="126"/>
      <c r="E331" s="126" t="e">
        <f>VLOOKUP(A325,'01.2012'!$B$2:$AB$57,5,0)</f>
        <v>#N/A</v>
      </c>
      <c r="F331" s="89"/>
      <c r="G331" s="96"/>
      <c r="H331" s="93" t="s">
        <v>44</v>
      </c>
      <c r="J331" s="126"/>
      <c r="K331" s="126"/>
      <c r="L331" s="126" t="e">
        <f>VLOOKUP(H325,'01.2012'!$B$2:$AB$57,5,0)</f>
        <v>#N/A</v>
      </c>
    </row>
    <row r="332" spans="1:12" ht="39.75">
      <c r="A332" s="127" t="s">
        <v>105</v>
      </c>
      <c r="B332" s="128" t="s">
        <v>84</v>
      </c>
      <c r="C332" s="132" t="s">
        <v>85</v>
      </c>
      <c r="D332" s="128" t="s">
        <v>102</v>
      </c>
      <c r="E332" s="136" t="s">
        <v>106</v>
      </c>
      <c r="F332" s="6"/>
      <c r="G332" s="97"/>
      <c r="H332" s="127" t="s">
        <v>105</v>
      </c>
      <c r="I332" s="128" t="s">
        <v>84</v>
      </c>
      <c r="J332" s="132" t="s">
        <v>85</v>
      </c>
      <c r="K332" s="128" t="s">
        <v>102</v>
      </c>
      <c r="L332" s="135"/>
    </row>
    <row r="333" spans="1:12" ht="21">
      <c r="A333" s="99" t="e">
        <f>IF(VLOOKUP(A325,'01.2012'!$B$2:$AB$57,7,0)&lt;1,-VLOOKUP(A325,'01.2012'!$B$2:$AB$57,6,0),VLOOKUP(A325,'01.2012'!$B$2:$AB$57,7,0))</f>
        <v>#N/A</v>
      </c>
      <c r="B333" s="90" t="e">
        <f>VLOOKUP(A325,'01.2012'!$B$2:$AB$57,14,0)</f>
        <v>#N/A</v>
      </c>
      <c r="C333" s="91" t="e">
        <f>VLOOKUP(A325,'01.2012'!$B$2:$AB$57,25,0)</f>
        <v>#N/A</v>
      </c>
      <c r="D333" s="90" t="e">
        <f>VLOOKUP(A325,'01.2012'!$B$2:$AB$57,27,0)</f>
        <v>#N/A</v>
      </c>
      <c r="E333" s="137" t="s">
        <v>106</v>
      </c>
      <c r="F333" s="6"/>
      <c r="G333" s="97"/>
      <c r="H333" s="99" t="e">
        <f>IF(VLOOKUP(H325,'01.2012'!$B$2:$AB$57,7,0)&lt;1,-VLOOKUP(H325,'01.2012'!$B$2:$AB$57,6,0),VLOOKUP(H325,'01.2012'!$B$2:$AB$57,7,0))</f>
        <v>#N/A</v>
      </c>
      <c r="I333" s="90" t="e">
        <f>VLOOKUP(H325,'01.2012'!$B$2:$AB$57,14,0)</f>
        <v>#N/A</v>
      </c>
      <c r="J333" s="91" t="e">
        <f>VLOOKUP(H325,'01.2012'!$B$2:$AB$57,25,0)</f>
        <v>#N/A</v>
      </c>
      <c r="K333" s="90" t="e">
        <f>VLOOKUP(H325,'01.2012'!$B$2:$AB$57,27,0)</f>
        <v>#N/A</v>
      </c>
      <c r="L333" s="129"/>
    </row>
    <row r="334" spans="1:12">
      <c r="A334" s="6"/>
      <c r="B334" s="6"/>
      <c r="C334" s="6"/>
      <c r="E334" s="88"/>
      <c r="F334" s="6"/>
      <c r="G334" s="97"/>
      <c r="L334" s="88"/>
    </row>
    <row r="335" spans="1:12">
      <c r="A335" s="121" t="s">
        <v>89</v>
      </c>
      <c r="B335" s="121"/>
      <c r="C335" s="6"/>
      <c r="E335" s="6"/>
      <c r="F335" s="6"/>
      <c r="G335" s="97"/>
      <c r="H335" s="121" t="s">
        <v>89</v>
      </c>
      <c r="I335" s="121"/>
    </row>
    <row r="336" spans="1:12">
      <c r="A336" s="122" t="s">
        <v>90</v>
      </c>
      <c r="B336" s="122"/>
      <c r="C336" s="6"/>
      <c r="E336" s="6"/>
      <c r="F336" s="6"/>
      <c r="G336" s="97"/>
      <c r="H336" s="122" t="s">
        <v>90</v>
      </c>
      <c r="I336" s="122"/>
    </row>
    <row r="337" spans="1:12">
      <c r="A337" s="108">
        <f t="shared" ref="A337" si="55">INT((ROW()-1)/12)*2+1+(COLUMN()&gt;6)</f>
        <v>57</v>
      </c>
      <c r="B337" s="138"/>
      <c r="C337" s="138"/>
      <c r="D337" s="139"/>
      <c r="E337" s="138"/>
      <c r="F337" s="138"/>
      <c r="G337" s="140"/>
      <c r="H337" s="108">
        <f t="shared" ref="H337" si="56">INT((ROW()-1)/12)*2+1+(COLUMN()&gt;6)</f>
        <v>58</v>
      </c>
      <c r="I337" s="98"/>
      <c r="J337" s="98"/>
      <c r="K337" s="100"/>
      <c r="L337" s="98"/>
    </row>
    <row r="338" spans="1:12" ht="14.25">
      <c r="A338" s="110" t="s">
        <v>82</v>
      </c>
      <c r="B338" s="110"/>
      <c r="C338" s="110"/>
      <c r="D338" s="110"/>
      <c r="E338" s="110"/>
      <c r="F338" s="92"/>
      <c r="G338" s="94"/>
      <c r="H338" s="110" t="s">
        <v>82</v>
      </c>
      <c r="I338" s="110"/>
      <c r="J338" s="110"/>
      <c r="K338" s="110"/>
      <c r="L338" s="110"/>
    </row>
    <row r="339" spans="1:12" ht="14.25">
      <c r="A339" s="109" t="s">
        <v>94</v>
      </c>
      <c r="B339" s="109"/>
      <c r="C339" s="109"/>
      <c r="D339" s="109"/>
      <c r="E339" s="109"/>
      <c r="F339" s="92"/>
      <c r="G339" s="94"/>
      <c r="H339" s="109" t="s">
        <v>94</v>
      </c>
      <c r="I339" s="109"/>
      <c r="J339" s="109"/>
      <c r="K339" s="109"/>
      <c r="L339" s="109"/>
    </row>
    <row r="340" spans="1:12">
      <c r="A340" s="87"/>
      <c r="B340" s="87"/>
      <c r="C340" s="87"/>
      <c r="D340" s="22"/>
      <c r="E340" s="87"/>
      <c r="F340" s="87"/>
      <c r="G340" s="95"/>
      <c r="H340" s="87"/>
      <c r="I340" s="87"/>
      <c r="J340" s="87"/>
      <c r="K340" s="22"/>
      <c r="L340" s="87"/>
    </row>
    <row r="341" spans="1:12">
      <c r="A341" s="6"/>
      <c r="B341" s="123"/>
      <c r="C341" s="123"/>
      <c r="D341" s="123"/>
      <c r="E341" s="123" t="e">
        <f>VLOOKUP(VLOOKUP(A337,'01.2012'!$B$2:$AB$57,2,0),'01.2012'!$C$2:$E$57,3,0)</f>
        <v>#N/A</v>
      </c>
      <c r="F341" s="87"/>
      <c r="G341" s="95"/>
      <c r="I341" s="123"/>
      <c r="J341" s="123"/>
      <c r="K341" s="123"/>
      <c r="L341" s="123" t="e">
        <f>VLOOKUP(VLOOKUP(H337,'01.2012'!$B$2:$AB$57,2,0),'01.2012'!$C$2:$E$57,3,0)</f>
        <v>#N/A</v>
      </c>
    </row>
    <row r="342" spans="1:12">
      <c r="A342" s="124" t="s">
        <v>83</v>
      </c>
      <c r="B342" s="124"/>
      <c r="C342" s="6"/>
      <c r="D342" s="125"/>
      <c r="E342" s="125" t="e">
        <f>VLOOKUP(A337,'01.2012'!$B$2:$AB$57,4,0)</f>
        <v>#N/A</v>
      </c>
      <c r="F342" s="89"/>
      <c r="G342" s="96"/>
      <c r="H342" s="124" t="s">
        <v>83</v>
      </c>
      <c r="I342" s="124"/>
      <c r="K342" s="125"/>
      <c r="L342" s="125" t="e">
        <f>VLOOKUP(H337,'01.2012'!$B$2:$AB$57,4,0)</f>
        <v>#N/A</v>
      </c>
    </row>
    <row r="343" spans="1:12">
      <c r="A343" s="93" t="s">
        <v>44</v>
      </c>
      <c r="B343" s="6"/>
      <c r="C343" s="126"/>
      <c r="D343" s="126"/>
      <c r="E343" s="126" t="e">
        <f>VLOOKUP(A337,'01.2012'!$B$2:$AB$57,5,0)</f>
        <v>#N/A</v>
      </c>
      <c r="F343" s="89"/>
      <c r="G343" s="96"/>
      <c r="H343" s="93" t="s">
        <v>44</v>
      </c>
      <c r="J343" s="126"/>
      <c r="K343" s="126"/>
      <c r="L343" s="126" t="e">
        <f>VLOOKUP(H337,'01.2012'!$B$2:$AB$57,5,0)</f>
        <v>#N/A</v>
      </c>
    </row>
    <row r="344" spans="1:12" ht="39.75">
      <c r="A344" s="127" t="s">
        <v>105</v>
      </c>
      <c r="B344" s="128" t="s">
        <v>84</v>
      </c>
      <c r="C344" s="132" t="s">
        <v>85</v>
      </c>
      <c r="D344" s="128" t="s">
        <v>102</v>
      </c>
      <c r="E344" s="136" t="s">
        <v>106</v>
      </c>
      <c r="F344" s="6"/>
      <c r="G344" s="97"/>
      <c r="H344" s="127" t="s">
        <v>105</v>
      </c>
      <c r="I344" s="128" t="s">
        <v>84</v>
      </c>
      <c r="J344" s="132" t="s">
        <v>85</v>
      </c>
      <c r="K344" s="128" t="s">
        <v>102</v>
      </c>
      <c r="L344" s="135"/>
    </row>
    <row r="345" spans="1:12" ht="21">
      <c r="A345" s="99" t="e">
        <f>IF(VLOOKUP(A337,'01.2012'!$B$2:$AB$57,7,0)&lt;1,-VLOOKUP(A337,'01.2012'!$B$2:$AB$57,6,0),VLOOKUP(A337,'01.2012'!$B$2:$AB$57,7,0))</f>
        <v>#N/A</v>
      </c>
      <c r="B345" s="90" t="e">
        <f>VLOOKUP(A337,'01.2012'!$B$2:$AB$57,14,0)</f>
        <v>#N/A</v>
      </c>
      <c r="C345" s="91" t="e">
        <f>VLOOKUP(A337,'01.2012'!$B$2:$AB$57,25,0)</f>
        <v>#N/A</v>
      </c>
      <c r="D345" s="90" t="e">
        <f>VLOOKUP(A337,'01.2012'!$B$2:$AB$57,27,0)</f>
        <v>#N/A</v>
      </c>
      <c r="E345" s="137" t="s">
        <v>106</v>
      </c>
      <c r="F345" s="6"/>
      <c r="G345" s="97"/>
      <c r="H345" s="99" t="e">
        <f>IF(VLOOKUP(H337,'01.2012'!$B$2:$AB$57,7,0)&lt;1,-VLOOKUP(H337,'01.2012'!$B$2:$AB$57,6,0),VLOOKUP(H337,'01.2012'!$B$2:$AB$57,7,0))</f>
        <v>#N/A</v>
      </c>
      <c r="I345" s="90" t="e">
        <f>VLOOKUP(H337,'01.2012'!$B$2:$AB$57,14,0)</f>
        <v>#N/A</v>
      </c>
      <c r="J345" s="91" t="e">
        <f>VLOOKUP(H337,'01.2012'!$B$2:$AB$57,25,0)</f>
        <v>#N/A</v>
      </c>
      <c r="K345" s="90" t="e">
        <f>VLOOKUP(H337,'01.2012'!$B$2:$AB$57,27,0)</f>
        <v>#N/A</v>
      </c>
      <c r="L345" s="129"/>
    </row>
    <row r="346" spans="1:12">
      <c r="A346" s="6"/>
      <c r="B346" s="6"/>
      <c r="C346" s="6"/>
      <c r="E346" s="88"/>
      <c r="F346" s="6"/>
      <c r="G346" s="97"/>
      <c r="L346" s="88"/>
    </row>
    <row r="347" spans="1:12">
      <c r="A347" s="121" t="s">
        <v>89</v>
      </c>
      <c r="B347" s="121"/>
      <c r="C347" s="6"/>
      <c r="E347" s="6"/>
      <c r="F347" s="6"/>
      <c r="G347" s="97"/>
      <c r="H347" s="121" t="s">
        <v>89</v>
      </c>
      <c r="I347" s="121"/>
    </row>
    <row r="348" spans="1:12">
      <c r="A348" s="122" t="s">
        <v>90</v>
      </c>
      <c r="B348" s="122"/>
      <c r="C348" s="6"/>
      <c r="E348" s="6"/>
      <c r="F348" s="6"/>
      <c r="G348" s="97"/>
      <c r="H348" s="122" t="s">
        <v>90</v>
      </c>
      <c r="I348" s="122"/>
    </row>
    <row r="349" spans="1:12">
      <c r="A349" s="108">
        <f t="shared" ref="A349" si="57">INT((ROW()-1)/12)*2+1+(COLUMN()&gt;6)</f>
        <v>59</v>
      </c>
      <c r="B349" s="138"/>
      <c r="C349" s="138"/>
      <c r="D349" s="139"/>
      <c r="E349" s="138"/>
      <c r="F349" s="138"/>
      <c r="G349" s="140"/>
      <c r="H349" s="108">
        <f t="shared" ref="H349" si="58">INT((ROW()-1)/12)*2+1+(COLUMN()&gt;6)</f>
        <v>60</v>
      </c>
      <c r="I349" s="98"/>
      <c r="J349" s="98"/>
      <c r="K349" s="100"/>
      <c r="L349" s="98"/>
    </row>
    <row r="350" spans="1:12" ht="14.25">
      <c r="A350" s="110" t="s">
        <v>82</v>
      </c>
      <c r="B350" s="110"/>
      <c r="C350" s="110"/>
      <c r="D350" s="110"/>
      <c r="E350" s="110"/>
      <c r="F350" s="92"/>
      <c r="G350" s="94"/>
      <c r="H350" s="110" t="s">
        <v>82</v>
      </c>
      <c r="I350" s="110"/>
      <c r="J350" s="110"/>
      <c r="K350" s="110"/>
      <c r="L350" s="110"/>
    </row>
    <row r="351" spans="1:12" ht="14.25">
      <c r="A351" s="109" t="s">
        <v>94</v>
      </c>
      <c r="B351" s="109"/>
      <c r="C351" s="109"/>
      <c r="D351" s="109"/>
      <c r="E351" s="109"/>
      <c r="F351" s="92"/>
      <c r="G351" s="94"/>
      <c r="H351" s="109" t="s">
        <v>94</v>
      </c>
      <c r="I351" s="109"/>
      <c r="J351" s="109"/>
      <c r="K351" s="109"/>
      <c r="L351" s="109"/>
    </row>
    <row r="352" spans="1:12">
      <c r="A352" s="87"/>
      <c r="B352" s="87"/>
      <c r="C352" s="87"/>
      <c r="D352" s="22"/>
      <c r="E352" s="87"/>
      <c r="F352" s="87"/>
      <c r="G352" s="95"/>
      <c r="H352" s="87"/>
      <c r="I352" s="87"/>
      <c r="J352" s="87"/>
      <c r="K352" s="22"/>
      <c r="L352" s="87"/>
    </row>
    <row r="353" spans="1:12">
      <c r="A353" s="6"/>
      <c r="B353" s="123"/>
      <c r="C353" s="123"/>
      <c r="D353" s="123"/>
      <c r="E353" s="123" t="e">
        <f>VLOOKUP(VLOOKUP(A349,'01.2012'!$B$2:$AB$57,2,0),'01.2012'!$C$2:$E$57,3,0)</f>
        <v>#N/A</v>
      </c>
      <c r="F353" s="87"/>
      <c r="G353" s="95"/>
      <c r="I353" s="123"/>
      <c r="J353" s="123"/>
      <c r="K353" s="123"/>
      <c r="L353" s="123" t="e">
        <f>VLOOKUP(VLOOKUP(H349,'01.2012'!$B$2:$AB$57,2,0),'01.2012'!$C$2:$E$57,3,0)</f>
        <v>#N/A</v>
      </c>
    </row>
    <row r="354" spans="1:12">
      <c r="A354" s="124" t="s">
        <v>83</v>
      </c>
      <c r="B354" s="124"/>
      <c r="C354" s="6"/>
      <c r="D354" s="125"/>
      <c r="E354" s="125" t="e">
        <f>VLOOKUP(A349,'01.2012'!$B$2:$AB$57,4,0)</f>
        <v>#N/A</v>
      </c>
      <c r="F354" s="89"/>
      <c r="G354" s="96"/>
      <c r="H354" s="124" t="s">
        <v>83</v>
      </c>
      <c r="I354" s="124"/>
      <c r="K354" s="125"/>
      <c r="L354" s="125" t="e">
        <f>VLOOKUP(H349,'01.2012'!$B$2:$AB$57,4,0)</f>
        <v>#N/A</v>
      </c>
    </row>
    <row r="355" spans="1:12">
      <c r="A355" s="93" t="s">
        <v>44</v>
      </c>
      <c r="B355" s="6"/>
      <c r="C355" s="126"/>
      <c r="D355" s="126"/>
      <c r="E355" s="126" t="e">
        <f>VLOOKUP(A349,'01.2012'!$B$2:$AB$57,5,0)</f>
        <v>#N/A</v>
      </c>
      <c r="F355" s="89"/>
      <c r="G355" s="96"/>
      <c r="H355" s="93" t="s">
        <v>44</v>
      </c>
      <c r="J355" s="126"/>
      <c r="K355" s="126"/>
      <c r="L355" s="126" t="e">
        <f>VLOOKUP(H349,'01.2012'!$B$2:$AB$57,5,0)</f>
        <v>#N/A</v>
      </c>
    </row>
    <row r="356" spans="1:12" ht="39.75">
      <c r="A356" s="127" t="s">
        <v>105</v>
      </c>
      <c r="B356" s="128" t="s">
        <v>84</v>
      </c>
      <c r="C356" s="132" t="s">
        <v>85</v>
      </c>
      <c r="D356" s="128" t="s">
        <v>102</v>
      </c>
      <c r="E356" s="136" t="s">
        <v>106</v>
      </c>
      <c r="F356" s="6"/>
      <c r="G356" s="97"/>
      <c r="H356" s="127" t="s">
        <v>105</v>
      </c>
      <c r="I356" s="128" t="s">
        <v>84</v>
      </c>
      <c r="J356" s="132" t="s">
        <v>85</v>
      </c>
      <c r="K356" s="128" t="s">
        <v>102</v>
      </c>
      <c r="L356" s="135"/>
    </row>
    <row r="357" spans="1:12" ht="21">
      <c r="A357" s="99" t="e">
        <f>IF(VLOOKUP(A349,'01.2012'!$B$2:$AB$57,7,0)&lt;1,-VLOOKUP(A349,'01.2012'!$B$2:$AB$57,6,0),VLOOKUP(A349,'01.2012'!$B$2:$AB$57,7,0))</f>
        <v>#N/A</v>
      </c>
      <c r="B357" s="90" t="e">
        <f>VLOOKUP(A349,'01.2012'!$B$2:$AB$57,14,0)</f>
        <v>#N/A</v>
      </c>
      <c r="C357" s="91" t="e">
        <f>VLOOKUP(A349,'01.2012'!$B$2:$AB$57,25,0)</f>
        <v>#N/A</v>
      </c>
      <c r="D357" s="90" t="e">
        <f>VLOOKUP(A349,'01.2012'!$B$2:$AB$57,27,0)</f>
        <v>#N/A</v>
      </c>
      <c r="E357" s="137" t="s">
        <v>106</v>
      </c>
      <c r="F357" s="6"/>
      <c r="G357" s="97"/>
      <c r="H357" s="99" t="e">
        <f>IF(VLOOKUP(H349,'01.2012'!$B$2:$AB$57,7,0)&lt;1,-VLOOKUP(H349,'01.2012'!$B$2:$AB$57,6,0),VLOOKUP(H349,'01.2012'!$B$2:$AB$57,7,0))</f>
        <v>#N/A</v>
      </c>
      <c r="I357" s="90" t="e">
        <f>VLOOKUP(H349,'01.2012'!$B$2:$AB$57,14,0)</f>
        <v>#N/A</v>
      </c>
      <c r="J357" s="91" t="e">
        <f>VLOOKUP(H349,'01.2012'!$B$2:$AB$57,25,0)</f>
        <v>#N/A</v>
      </c>
      <c r="K357" s="90" t="e">
        <f>VLOOKUP(H349,'01.2012'!$B$2:$AB$57,27,0)</f>
        <v>#N/A</v>
      </c>
      <c r="L357" s="129"/>
    </row>
    <row r="358" spans="1:12">
      <c r="A358" s="6"/>
      <c r="B358" s="6"/>
      <c r="C358" s="6"/>
      <c r="E358" s="88"/>
      <c r="F358" s="6"/>
      <c r="G358" s="97"/>
      <c r="L358" s="88"/>
    </row>
    <row r="359" spans="1:12">
      <c r="A359" s="121" t="s">
        <v>89</v>
      </c>
      <c r="B359" s="121"/>
      <c r="C359" s="6"/>
      <c r="E359" s="6"/>
      <c r="F359" s="6"/>
      <c r="G359" s="97"/>
      <c r="H359" s="121" t="s">
        <v>89</v>
      </c>
      <c r="I359" s="121"/>
    </row>
    <row r="360" spans="1:12">
      <c r="A360" s="122" t="s">
        <v>90</v>
      </c>
      <c r="B360" s="122"/>
      <c r="C360" s="6"/>
      <c r="E360" s="6"/>
      <c r="F360" s="6"/>
      <c r="G360" s="97"/>
      <c r="H360" s="122" t="s">
        <v>90</v>
      </c>
      <c r="I360" s="122"/>
    </row>
    <row r="361" spans="1:12">
      <c r="A361" s="108">
        <f t="shared" ref="A361" si="59">INT((ROW()-1)/12)*2+1+(COLUMN()&gt;6)</f>
        <v>61</v>
      </c>
      <c r="B361" s="138"/>
      <c r="C361" s="138"/>
      <c r="D361" s="139"/>
      <c r="E361" s="138"/>
      <c r="F361" s="138"/>
      <c r="G361" s="140"/>
      <c r="H361" s="108">
        <f t="shared" ref="H361" si="60">INT((ROW()-1)/12)*2+1+(COLUMN()&gt;6)</f>
        <v>62</v>
      </c>
      <c r="I361" s="98"/>
      <c r="J361" s="98"/>
      <c r="K361" s="100"/>
      <c r="L361" s="98"/>
    </row>
    <row r="362" spans="1:12" ht="14.25">
      <c r="A362" s="110" t="s">
        <v>82</v>
      </c>
      <c r="B362" s="110"/>
      <c r="C362" s="110"/>
      <c r="D362" s="110"/>
      <c r="E362" s="110"/>
      <c r="F362" s="92"/>
      <c r="G362" s="94"/>
      <c r="H362" s="110" t="s">
        <v>82</v>
      </c>
      <c r="I362" s="110"/>
      <c r="J362" s="110"/>
      <c r="K362" s="110"/>
      <c r="L362" s="110"/>
    </row>
    <row r="363" spans="1:12" ht="14.25">
      <c r="A363" s="109" t="s">
        <v>94</v>
      </c>
      <c r="B363" s="109"/>
      <c r="C363" s="109"/>
      <c r="D363" s="109"/>
      <c r="E363" s="109"/>
      <c r="F363" s="92"/>
      <c r="G363" s="94"/>
      <c r="H363" s="109" t="s">
        <v>94</v>
      </c>
      <c r="I363" s="109"/>
      <c r="J363" s="109"/>
      <c r="K363" s="109"/>
      <c r="L363" s="109"/>
    </row>
    <row r="364" spans="1:12">
      <c r="A364" s="87"/>
      <c r="B364" s="87"/>
      <c r="C364" s="87"/>
      <c r="D364" s="22"/>
      <c r="E364" s="87"/>
      <c r="F364" s="87"/>
      <c r="G364" s="95"/>
      <c r="H364" s="87"/>
      <c r="I364" s="87"/>
      <c r="J364" s="87"/>
      <c r="K364" s="22"/>
      <c r="L364" s="87"/>
    </row>
    <row r="365" spans="1:12">
      <c r="A365" s="6"/>
      <c r="B365" s="123"/>
      <c r="C365" s="123"/>
      <c r="D365" s="123"/>
      <c r="E365" s="123" t="e">
        <f>VLOOKUP(VLOOKUP(A361,'01.2012'!$B$2:$AB$57,2,0),'01.2012'!$C$2:$E$57,3,0)</f>
        <v>#N/A</v>
      </c>
      <c r="F365" s="87"/>
      <c r="G365" s="95"/>
      <c r="I365" s="123"/>
      <c r="J365" s="123"/>
      <c r="K365" s="123"/>
      <c r="L365" s="123" t="e">
        <f>VLOOKUP(VLOOKUP(H361,'01.2012'!$B$2:$AB$57,2,0),'01.2012'!$C$2:$E$57,3,0)</f>
        <v>#N/A</v>
      </c>
    </row>
    <row r="366" spans="1:12">
      <c r="A366" s="124" t="s">
        <v>83</v>
      </c>
      <c r="B366" s="124"/>
      <c r="C366" s="6"/>
      <c r="D366" s="125"/>
      <c r="E366" s="125" t="e">
        <f>VLOOKUP(A361,'01.2012'!$B$2:$AB$57,4,0)</f>
        <v>#N/A</v>
      </c>
      <c r="F366" s="89"/>
      <c r="G366" s="96"/>
      <c r="H366" s="124" t="s">
        <v>83</v>
      </c>
      <c r="I366" s="124"/>
      <c r="K366" s="125"/>
      <c r="L366" s="125" t="e">
        <f>VLOOKUP(H361,'01.2012'!$B$2:$AB$57,4,0)</f>
        <v>#N/A</v>
      </c>
    </row>
    <row r="367" spans="1:12">
      <c r="A367" s="93" t="s">
        <v>44</v>
      </c>
      <c r="B367" s="6"/>
      <c r="C367" s="126"/>
      <c r="D367" s="126"/>
      <c r="E367" s="126" t="e">
        <f>VLOOKUP(A361,'01.2012'!$B$2:$AB$57,5,0)</f>
        <v>#N/A</v>
      </c>
      <c r="F367" s="89"/>
      <c r="G367" s="96"/>
      <c r="H367" s="93" t="s">
        <v>44</v>
      </c>
      <c r="J367" s="126"/>
      <c r="K367" s="126"/>
      <c r="L367" s="126" t="e">
        <f>VLOOKUP(H361,'01.2012'!$B$2:$AB$57,5,0)</f>
        <v>#N/A</v>
      </c>
    </row>
    <row r="368" spans="1:12" ht="39.75">
      <c r="A368" s="127" t="s">
        <v>105</v>
      </c>
      <c r="B368" s="128" t="s">
        <v>84</v>
      </c>
      <c r="C368" s="132" t="s">
        <v>85</v>
      </c>
      <c r="D368" s="128" t="s">
        <v>102</v>
      </c>
      <c r="E368" s="136" t="s">
        <v>106</v>
      </c>
      <c r="F368" s="6"/>
      <c r="G368" s="97"/>
      <c r="H368" s="127" t="s">
        <v>105</v>
      </c>
      <c r="I368" s="128" t="s">
        <v>84</v>
      </c>
      <c r="J368" s="132" t="s">
        <v>85</v>
      </c>
      <c r="K368" s="128" t="s">
        <v>102</v>
      </c>
      <c r="L368" s="135"/>
    </row>
    <row r="369" spans="1:12" ht="21">
      <c r="A369" s="99" t="e">
        <f>IF(VLOOKUP(A361,'01.2012'!$B$2:$AB$57,7,0)&lt;1,-VLOOKUP(A361,'01.2012'!$B$2:$AB$57,6,0),VLOOKUP(A361,'01.2012'!$B$2:$AB$57,7,0))</f>
        <v>#N/A</v>
      </c>
      <c r="B369" s="90" t="e">
        <f>VLOOKUP(A361,'01.2012'!$B$2:$AB$57,14,0)</f>
        <v>#N/A</v>
      </c>
      <c r="C369" s="91" t="e">
        <f>VLOOKUP(A361,'01.2012'!$B$2:$AB$57,25,0)</f>
        <v>#N/A</v>
      </c>
      <c r="D369" s="90" t="e">
        <f>VLOOKUP(A361,'01.2012'!$B$2:$AB$57,27,0)</f>
        <v>#N/A</v>
      </c>
      <c r="E369" s="137" t="s">
        <v>106</v>
      </c>
      <c r="F369" s="6"/>
      <c r="G369" s="97"/>
      <c r="H369" s="99" t="e">
        <f>IF(VLOOKUP(H361,'01.2012'!$B$2:$AB$57,7,0)&lt;1,-VLOOKUP(H361,'01.2012'!$B$2:$AB$57,6,0),VLOOKUP(H361,'01.2012'!$B$2:$AB$57,7,0))</f>
        <v>#N/A</v>
      </c>
      <c r="I369" s="90" t="e">
        <f>VLOOKUP(H361,'01.2012'!$B$2:$AB$57,14,0)</f>
        <v>#N/A</v>
      </c>
      <c r="J369" s="91" t="e">
        <f>VLOOKUP(H361,'01.2012'!$B$2:$AB$57,25,0)</f>
        <v>#N/A</v>
      </c>
      <c r="K369" s="90" t="e">
        <f>VLOOKUP(H361,'01.2012'!$B$2:$AB$57,27,0)</f>
        <v>#N/A</v>
      </c>
      <c r="L369" s="129"/>
    </row>
    <row r="370" spans="1:12">
      <c r="A370" s="6"/>
      <c r="B370" s="6"/>
      <c r="C370" s="6"/>
      <c r="E370" s="88"/>
      <c r="F370" s="6"/>
      <c r="G370" s="97"/>
      <c r="L370" s="88"/>
    </row>
    <row r="371" spans="1:12">
      <c r="A371" s="121" t="s">
        <v>89</v>
      </c>
      <c r="B371" s="121"/>
      <c r="C371" s="6"/>
      <c r="E371" s="6"/>
      <c r="F371" s="6"/>
      <c r="G371" s="97"/>
      <c r="H371" s="121" t="s">
        <v>89</v>
      </c>
      <c r="I371" s="121"/>
    </row>
    <row r="372" spans="1:12">
      <c r="A372" s="122" t="s">
        <v>90</v>
      </c>
      <c r="B372" s="122"/>
      <c r="C372" s="6"/>
      <c r="E372" s="6"/>
      <c r="F372" s="6"/>
      <c r="G372" s="97"/>
      <c r="H372" s="122" t="s">
        <v>90</v>
      </c>
      <c r="I372" s="122"/>
    </row>
    <row r="373" spans="1:12">
      <c r="A373" s="108">
        <f t="shared" ref="A373" si="61">INT((ROW()-1)/12)*2+1+(COLUMN()&gt;6)</f>
        <v>63</v>
      </c>
      <c r="B373" s="138"/>
      <c r="C373" s="138"/>
      <c r="D373" s="139"/>
      <c r="E373" s="138"/>
      <c r="F373" s="138"/>
      <c r="G373" s="140"/>
      <c r="H373" s="108">
        <f t="shared" ref="H373" si="62">INT((ROW()-1)/12)*2+1+(COLUMN()&gt;6)</f>
        <v>64</v>
      </c>
      <c r="I373" s="98"/>
      <c r="J373" s="98"/>
      <c r="K373" s="100"/>
      <c r="L373" s="98"/>
    </row>
    <row r="374" spans="1:12" ht="14.25">
      <c r="A374" s="110" t="s">
        <v>82</v>
      </c>
      <c r="B374" s="110"/>
      <c r="C374" s="110"/>
      <c r="D374" s="110"/>
      <c r="E374" s="110"/>
      <c r="F374" s="92"/>
      <c r="G374" s="94"/>
      <c r="H374" s="110" t="s">
        <v>82</v>
      </c>
      <c r="I374" s="110"/>
      <c r="J374" s="110"/>
      <c r="K374" s="110"/>
      <c r="L374" s="110"/>
    </row>
    <row r="375" spans="1:12" ht="14.25">
      <c r="A375" s="109" t="s">
        <v>94</v>
      </c>
      <c r="B375" s="109"/>
      <c r="C375" s="109"/>
      <c r="D375" s="109"/>
      <c r="E375" s="109"/>
      <c r="F375" s="92"/>
      <c r="G375" s="94"/>
      <c r="H375" s="109" t="s">
        <v>94</v>
      </c>
      <c r="I375" s="109"/>
      <c r="J375" s="109"/>
      <c r="K375" s="109"/>
      <c r="L375" s="109"/>
    </row>
    <row r="376" spans="1:12">
      <c r="A376" s="87"/>
      <c r="B376" s="87"/>
      <c r="C376" s="87"/>
      <c r="D376" s="22"/>
      <c r="E376" s="87"/>
      <c r="F376" s="87"/>
      <c r="G376" s="95"/>
      <c r="H376" s="87"/>
      <c r="I376" s="87"/>
      <c r="J376" s="87"/>
      <c r="K376" s="22"/>
      <c r="L376" s="87"/>
    </row>
    <row r="377" spans="1:12">
      <c r="A377" s="6"/>
      <c r="B377" s="123"/>
      <c r="C377" s="123"/>
      <c r="D377" s="123"/>
      <c r="E377" s="123" t="e">
        <f>VLOOKUP(VLOOKUP(A373,'01.2012'!$B$2:$AB$57,2,0),'01.2012'!$C$2:$E$57,3,0)</f>
        <v>#N/A</v>
      </c>
      <c r="F377" s="87"/>
      <c r="G377" s="95"/>
      <c r="I377" s="123"/>
      <c r="J377" s="123"/>
      <c r="K377" s="123"/>
      <c r="L377" s="123" t="e">
        <f>VLOOKUP(VLOOKUP(H373,'01.2012'!$B$2:$AB$57,2,0),'01.2012'!$C$2:$E$57,3,0)</f>
        <v>#N/A</v>
      </c>
    </row>
    <row r="378" spans="1:12">
      <c r="A378" s="124" t="s">
        <v>83</v>
      </c>
      <c r="B378" s="124"/>
      <c r="C378" s="6"/>
      <c r="D378" s="125"/>
      <c r="E378" s="125" t="e">
        <f>VLOOKUP(A373,'01.2012'!$B$2:$AB$57,4,0)</f>
        <v>#N/A</v>
      </c>
      <c r="F378" s="89"/>
      <c r="G378" s="96"/>
      <c r="H378" s="124" t="s">
        <v>83</v>
      </c>
      <c r="I378" s="124"/>
      <c r="K378" s="125"/>
      <c r="L378" s="125" t="e">
        <f>VLOOKUP(H373,'01.2012'!$B$2:$AB$57,4,0)</f>
        <v>#N/A</v>
      </c>
    </row>
    <row r="379" spans="1:12">
      <c r="A379" s="93" t="s">
        <v>44</v>
      </c>
      <c r="B379" s="6"/>
      <c r="C379" s="126"/>
      <c r="D379" s="126"/>
      <c r="E379" s="126" t="e">
        <f>VLOOKUP(A373,'01.2012'!$B$2:$AB$57,5,0)</f>
        <v>#N/A</v>
      </c>
      <c r="F379" s="89"/>
      <c r="G379" s="96"/>
      <c r="H379" s="93" t="s">
        <v>44</v>
      </c>
      <c r="J379" s="126"/>
      <c r="K379" s="126"/>
      <c r="L379" s="126" t="e">
        <f>VLOOKUP(H373,'01.2012'!$B$2:$AB$57,5,0)</f>
        <v>#N/A</v>
      </c>
    </row>
    <row r="380" spans="1:12" ht="39.75">
      <c r="A380" s="127" t="s">
        <v>105</v>
      </c>
      <c r="B380" s="128" t="s">
        <v>84</v>
      </c>
      <c r="C380" s="132" t="s">
        <v>85</v>
      </c>
      <c r="D380" s="128" t="s">
        <v>102</v>
      </c>
      <c r="E380" s="136" t="s">
        <v>106</v>
      </c>
      <c r="F380" s="6"/>
      <c r="G380" s="97"/>
      <c r="H380" s="127" t="s">
        <v>105</v>
      </c>
      <c r="I380" s="128" t="s">
        <v>84</v>
      </c>
      <c r="J380" s="132" t="s">
        <v>85</v>
      </c>
      <c r="K380" s="128" t="s">
        <v>102</v>
      </c>
      <c r="L380" s="135"/>
    </row>
    <row r="381" spans="1:12" ht="21">
      <c r="A381" s="99" t="e">
        <f>IF(VLOOKUP(A373,'01.2012'!$B$2:$AB$57,7,0)&lt;1,-VLOOKUP(A373,'01.2012'!$B$2:$AB$57,6,0),VLOOKUP(A373,'01.2012'!$B$2:$AB$57,7,0))</f>
        <v>#N/A</v>
      </c>
      <c r="B381" s="90" t="e">
        <f>VLOOKUP(A373,'01.2012'!$B$2:$AB$57,14,0)</f>
        <v>#N/A</v>
      </c>
      <c r="C381" s="91" t="e">
        <f>VLOOKUP(A373,'01.2012'!$B$2:$AB$57,25,0)</f>
        <v>#N/A</v>
      </c>
      <c r="D381" s="90" t="e">
        <f>VLOOKUP(A373,'01.2012'!$B$2:$AB$57,27,0)</f>
        <v>#N/A</v>
      </c>
      <c r="E381" s="137" t="s">
        <v>106</v>
      </c>
      <c r="F381" s="6"/>
      <c r="G381" s="97"/>
      <c r="H381" s="99" t="e">
        <f>IF(VLOOKUP(H373,'01.2012'!$B$2:$AB$57,7,0)&lt;1,-VLOOKUP(H373,'01.2012'!$B$2:$AB$57,6,0),VLOOKUP(H373,'01.2012'!$B$2:$AB$57,7,0))</f>
        <v>#N/A</v>
      </c>
      <c r="I381" s="90" t="e">
        <f>VLOOKUP(H373,'01.2012'!$B$2:$AB$57,14,0)</f>
        <v>#N/A</v>
      </c>
      <c r="J381" s="91" t="e">
        <f>VLOOKUP(H373,'01.2012'!$B$2:$AB$57,25,0)</f>
        <v>#N/A</v>
      </c>
      <c r="K381" s="90" t="e">
        <f>VLOOKUP(H373,'01.2012'!$B$2:$AB$57,27,0)</f>
        <v>#N/A</v>
      </c>
      <c r="L381" s="129"/>
    </row>
    <row r="382" spans="1:12">
      <c r="A382" s="6"/>
      <c r="B382" s="6"/>
      <c r="C382" s="6"/>
      <c r="E382" s="88"/>
      <c r="F382" s="6"/>
      <c r="G382" s="97"/>
      <c r="L382" s="88"/>
    </row>
    <row r="383" spans="1:12">
      <c r="A383" s="121" t="s">
        <v>89</v>
      </c>
      <c r="B383" s="121"/>
      <c r="C383" s="6"/>
      <c r="E383" s="6"/>
      <c r="F383" s="6"/>
      <c r="G383" s="97"/>
      <c r="H383" s="121" t="s">
        <v>89</v>
      </c>
      <c r="I383" s="121"/>
    </row>
    <row r="384" spans="1:12">
      <c r="A384" s="122" t="s">
        <v>90</v>
      </c>
      <c r="B384" s="122"/>
      <c r="C384" s="6"/>
      <c r="E384" s="6"/>
      <c r="F384" s="6"/>
      <c r="G384" s="97"/>
      <c r="H384" s="122" t="s">
        <v>90</v>
      </c>
      <c r="I384" s="122"/>
    </row>
    <row r="385" spans="1:12">
      <c r="A385" s="108">
        <f t="shared" ref="A385" si="63">INT((ROW()-1)/12)*2+1+(COLUMN()&gt;6)</f>
        <v>65</v>
      </c>
      <c r="B385" s="138"/>
      <c r="C385" s="138"/>
      <c r="D385" s="139"/>
      <c r="E385" s="138"/>
      <c r="F385" s="138"/>
      <c r="G385" s="140"/>
      <c r="H385" s="108">
        <f t="shared" ref="H385" si="64">INT((ROW()-1)/12)*2+1+(COLUMN()&gt;6)</f>
        <v>66</v>
      </c>
      <c r="I385" s="98"/>
      <c r="J385" s="98"/>
      <c r="K385" s="100"/>
      <c r="L385" s="98"/>
    </row>
    <row r="386" spans="1:12" ht="14.25">
      <c r="A386" s="110" t="s">
        <v>82</v>
      </c>
      <c r="B386" s="110"/>
      <c r="C386" s="110"/>
      <c r="D386" s="110"/>
      <c r="E386" s="110"/>
      <c r="F386" s="92"/>
      <c r="G386" s="94"/>
      <c r="H386" s="110" t="s">
        <v>82</v>
      </c>
      <c r="I386" s="110"/>
      <c r="J386" s="110"/>
      <c r="K386" s="110"/>
      <c r="L386" s="110"/>
    </row>
    <row r="387" spans="1:12" ht="14.25">
      <c r="A387" s="109" t="s">
        <v>94</v>
      </c>
      <c r="B387" s="109"/>
      <c r="C387" s="109"/>
      <c r="D387" s="109"/>
      <c r="E387" s="109"/>
      <c r="F387" s="92"/>
      <c r="G387" s="94"/>
      <c r="H387" s="109" t="s">
        <v>94</v>
      </c>
      <c r="I387" s="109"/>
      <c r="J387" s="109"/>
      <c r="K387" s="109"/>
      <c r="L387" s="109"/>
    </row>
    <row r="388" spans="1:12">
      <c r="A388" s="87"/>
      <c r="B388" s="87"/>
      <c r="C388" s="87"/>
      <c r="D388" s="22"/>
      <c r="E388" s="87"/>
      <c r="F388" s="87"/>
      <c r="G388" s="95"/>
      <c r="H388" s="87"/>
      <c r="I388" s="87"/>
      <c r="J388" s="87"/>
      <c r="K388" s="22"/>
      <c r="L388" s="87"/>
    </row>
    <row r="389" spans="1:12">
      <c r="A389" s="6"/>
      <c r="B389" s="123"/>
      <c r="C389" s="123"/>
      <c r="D389" s="123"/>
      <c r="E389" s="123" t="e">
        <f>VLOOKUP(VLOOKUP(A385,'01.2012'!$B$2:$AB$57,2,0),'01.2012'!$C$2:$E$57,3,0)</f>
        <v>#N/A</v>
      </c>
      <c r="F389" s="87"/>
      <c r="G389" s="95"/>
      <c r="I389" s="123"/>
      <c r="J389" s="123"/>
      <c r="K389" s="123"/>
      <c r="L389" s="123" t="e">
        <f>VLOOKUP(VLOOKUP(H385,'01.2012'!$B$2:$AB$57,2,0),'01.2012'!$C$2:$E$57,3,0)</f>
        <v>#N/A</v>
      </c>
    </row>
    <row r="390" spans="1:12">
      <c r="A390" s="124" t="s">
        <v>83</v>
      </c>
      <c r="B390" s="124"/>
      <c r="C390" s="6"/>
      <c r="D390" s="125"/>
      <c r="E390" s="125" t="e">
        <f>VLOOKUP(A385,'01.2012'!$B$2:$AB$57,4,0)</f>
        <v>#N/A</v>
      </c>
      <c r="F390" s="89"/>
      <c r="G390" s="96"/>
      <c r="H390" s="124" t="s">
        <v>83</v>
      </c>
      <c r="I390" s="124"/>
      <c r="K390" s="125"/>
      <c r="L390" s="125" t="e">
        <f>VLOOKUP(H385,'01.2012'!$B$2:$AB$57,4,0)</f>
        <v>#N/A</v>
      </c>
    </row>
    <row r="391" spans="1:12">
      <c r="A391" s="93" t="s">
        <v>44</v>
      </c>
      <c r="B391" s="6"/>
      <c r="C391" s="126"/>
      <c r="D391" s="126"/>
      <c r="E391" s="126" t="e">
        <f>VLOOKUP(A385,'01.2012'!$B$2:$AB$57,5,0)</f>
        <v>#N/A</v>
      </c>
      <c r="F391" s="89"/>
      <c r="G391" s="96"/>
      <c r="H391" s="93" t="s">
        <v>44</v>
      </c>
      <c r="J391" s="126"/>
      <c r="K391" s="126"/>
      <c r="L391" s="126" t="e">
        <f>VLOOKUP(H385,'01.2012'!$B$2:$AB$57,5,0)</f>
        <v>#N/A</v>
      </c>
    </row>
    <row r="392" spans="1:12" ht="39.75">
      <c r="A392" s="127" t="s">
        <v>105</v>
      </c>
      <c r="B392" s="128" t="s">
        <v>84</v>
      </c>
      <c r="C392" s="132" t="s">
        <v>85</v>
      </c>
      <c r="D392" s="128" t="s">
        <v>102</v>
      </c>
      <c r="E392" s="136" t="s">
        <v>106</v>
      </c>
      <c r="F392" s="6"/>
      <c r="G392" s="97"/>
      <c r="H392" s="127" t="s">
        <v>105</v>
      </c>
      <c r="I392" s="128" t="s">
        <v>84</v>
      </c>
      <c r="J392" s="132" t="s">
        <v>85</v>
      </c>
      <c r="K392" s="128" t="s">
        <v>102</v>
      </c>
      <c r="L392" s="135"/>
    </row>
    <row r="393" spans="1:12" ht="21">
      <c r="A393" s="99" t="e">
        <f>IF(VLOOKUP(A385,'01.2012'!$B$2:$AB$57,7,0)&lt;1,-VLOOKUP(A385,'01.2012'!$B$2:$AB$57,6,0),VLOOKUP(A385,'01.2012'!$B$2:$AB$57,7,0))</f>
        <v>#N/A</v>
      </c>
      <c r="B393" s="90" t="e">
        <f>VLOOKUP(A385,'01.2012'!$B$2:$AB$57,14,0)</f>
        <v>#N/A</v>
      </c>
      <c r="C393" s="91" t="e">
        <f>VLOOKUP(A385,'01.2012'!$B$2:$AB$57,25,0)</f>
        <v>#N/A</v>
      </c>
      <c r="D393" s="90" t="e">
        <f>VLOOKUP(A385,'01.2012'!$B$2:$AB$57,27,0)</f>
        <v>#N/A</v>
      </c>
      <c r="E393" s="137" t="s">
        <v>106</v>
      </c>
      <c r="F393" s="6"/>
      <c r="G393" s="97"/>
      <c r="H393" s="99" t="e">
        <f>IF(VLOOKUP(H385,'01.2012'!$B$2:$AB$57,7,0)&lt;1,-VLOOKUP(H385,'01.2012'!$B$2:$AB$57,6,0),VLOOKUP(H385,'01.2012'!$B$2:$AB$57,7,0))</f>
        <v>#N/A</v>
      </c>
      <c r="I393" s="90" t="e">
        <f>VLOOKUP(H385,'01.2012'!$B$2:$AB$57,14,0)</f>
        <v>#N/A</v>
      </c>
      <c r="J393" s="91" t="e">
        <f>VLOOKUP(H385,'01.2012'!$B$2:$AB$57,25,0)</f>
        <v>#N/A</v>
      </c>
      <c r="K393" s="90" t="e">
        <f>VLOOKUP(H385,'01.2012'!$B$2:$AB$57,27,0)</f>
        <v>#N/A</v>
      </c>
      <c r="L393" s="129"/>
    </row>
    <row r="394" spans="1:12">
      <c r="A394" s="6"/>
      <c r="B394" s="6"/>
      <c r="C394" s="6"/>
      <c r="E394" s="88"/>
      <c r="F394" s="6"/>
      <c r="G394" s="97"/>
      <c r="L394" s="88"/>
    </row>
    <row r="395" spans="1:12">
      <c r="A395" s="121" t="s">
        <v>89</v>
      </c>
      <c r="B395" s="121"/>
      <c r="C395" s="6"/>
      <c r="E395" s="6"/>
      <c r="F395" s="6"/>
      <c r="G395" s="97"/>
      <c r="H395" s="121" t="s">
        <v>89</v>
      </c>
      <c r="I395" s="121"/>
    </row>
    <row r="396" spans="1:12">
      <c r="A396" s="122" t="s">
        <v>90</v>
      </c>
      <c r="B396" s="122"/>
      <c r="C396" s="6"/>
      <c r="E396" s="6"/>
      <c r="F396" s="6"/>
      <c r="G396" s="97"/>
      <c r="H396" s="122" t="s">
        <v>90</v>
      </c>
      <c r="I396" s="122"/>
    </row>
    <row r="397" spans="1:12">
      <c r="A397" s="108">
        <f t="shared" ref="A397" si="65">INT((ROW()-1)/12)*2+1+(COLUMN()&gt;6)</f>
        <v>67</v>
      </c>
      <c r="B397" s="138"/>
      <c r="C397" s="138"/>
      <c r="D397" s="139"/>
      <c r="E397" s="138"/>
      <c r="F397" s="138"/>
      <c r="G397" s="140"/>
      <c r="H397" s="108">
        <f t="shared" ref="H397" si="66">INT((ROW()-1)/12)*2+1+(COLUMN()&gt;6)</f>
        <v>68</v>
      </c>
      <c r="I397" s="98"/>
      <c r="J397" s="98"/>
      <c r="K397" s="100"/>
      <c r="L397" s="98"/>
    </row>
    <row r="398" spans="1:12" ht="14.25">
      <c r="A398" s="110" t="s">
        <v>82</v>
      </c>
      <c r="B398" s="110"/>
      <c r="C398" s="110"/>
      <c r="D398" s="110"/>
      <c r="E398" s="110"/>
      <c r="F398" s="92"/>
      <c r="G398" s="94"/>
      <c r="H398" s="110" t="s">
        <v>82</v>
      </c>
      <c r="I398" s="110"/>
      <c r="J398" s="110"/>
      <c r="K398" s="110"/>
      <c r="L398" s="110"/>
    </row>
    <row r="399" spans="1:12" ht="14.25">
      <c r="A399" s="109" t="s">
        <v>94</v>
      </c>
      <c r="B399" s="109"/>
      <c r="C399" s="109"/>
      <c r="D399" s="109"/>
      <c r="E399" s="109"/>
      <c r="F399" s="92"/>
      <c r="G399" s="94"/>
      <c r="H399" s="109" t="s">
        <v>94</v>
      </c>
      <c r="I399" s="109"/>
      <c r="J399" s="109"/>
      <c r="K399" s="109"/>
      <c r="L399" s="109"/>
    </row>
    <row r="400" spans="1:12">
      <c r="A400" s="87"/>
      <c r="B400" s="87"/>
      <c r="C400" s="87"/>
      <c r="D400" s="22"/>
      <c r="E400" s="87"/>
      <c r="F400" s="87"/>
      <c r="G400" s="95"/>
      <c r="H400" s="87"/>
      <c r="I400" s="87"/>
      <c r="J400" s="87"/>
      <c r="K400" s="22"/>
      <c r="L400" s="87"/>
    </row>
    <row r="401" spans="1:12">
      <c r="A401" s="6"/>
      <c r="B401" s="123"/>
      <c r="C401" s="123"/>
      <c r="D401" s="123"/>
      <c r="E401" s="123" t="e">
        <f>VLOOKUP(VLOOKUP(A397,'01.2012'!$B$2:$AB$57,2,0),'01.2012'!$C$2:$E$57,3,0)</f>
        <v>#N/A</v>
      </c>
      <c r="F401" s="87"/>
      <c r="G401" s="95"/>
      <c r="I401" s="123"/>
      <c r="J401" s="123"/>
      <c r="K401" s="123"/>
      <c r="L401" s="123" t="e">
        <f>VLOOKUP(VLOOKUP(H397,'01.2012'!$B$2:$AB$57,2,0),'01.2012'!$C$2:$E$57,3,0)</f>
        <v>#N/A</v>
      </c>
    </row>
    <row r="402" spans="1:12">
      <c r="A402" s="124" t="s">
        <v>83</v>
      </c>
      <c r="B402" s="124"/>
      <c r="C402" s="6"/>
      <c r="D402" s="125"/>
      <c r="E402" s="125" t="e">
        <f>VLOOKUP(A397,'01.2012'!$B$2:$AB$57,4,0)</f>
        <v>#N/A</v>
      </c>
      <c r="F402" s="89"/>
      <c r="G402" s="96"/>
      <c r="H402" s="124" t="s">
        <v>83</v>
      </c>
      <c r="I402" s="124"/>
      <c r="K402" s="125"/>
      <c r="L402" s="125" t="e">
        <f>VLOOKUP(H397,'01.2012'!$B$2:$AB$57,4,0)</f>
        <v>#N/A</v>
      </c>
    </row>
    <row r="403" spans="1:12">
      <c r="A403" s="93" t="s">
        <v>44</v>
      </c>
      <c r="B403" s="6"/>
      <c r="C403" s="126"/>
      <c r="D403" s="126"/>
      <c r="E403" s="126" t="e">
        <f>VLOOKUP(A397,'01.2012'!$B$2:$AB$57,5,0)</f>
        <v>#N/A</v>
      </c>
      <c r="F403" s="89"/>
      <c r="G403" s="96"/>
      <c r="H403" s="93" t="s">
        <v>44</v>
      </c>
      <c r="J403" s="126"/>
      <c r="K403" s="126"/>
      <c r="L403" s="126" t="e">
        <f>VLOOKUP(H397,'01.2012'!$B$2:$AB$57,5,0)</f>
        <v>#N/A</v>
      </c>
    </row>
    <row r="404" spans="1:12" ht="39.75">
      <c r="A404" s="127" t="s">
        <v>105</v>
      </c>
      <c r="B404" s="128" t="s">
        <v>84</v>
      </c>
      <c r="C404" s="132" t="s">
        <v>85</v>
      </c>
      <c r="D404" s="128" t="s">
        <v>102</v>
      </c>
      <c r="E404" s="136" t="s">
        <v>106</v>
      </c>
      <c r="F404" s="6"/>
      <c r="G404" s="97"/>
      <c r="H404" s="127" t="s">
        <v>105</v>
      </c>
      <c r="I404" s="128" t="s">
        <v>84</v>
      </c>
      <c r="J404" s="132" t="s">
        <v>85</v>
      </c>
      <c r="K404" s="128" t="s">
        <v>102</v>
      </c>
      <c r="L404" s="135"/>
    </row>
    <row r="405" spans="1:12" ht="21">
      <c r="A405" s="99" t="e">
        <f>IF(VLOOKUP(A397,'01.2012'!$B$2:$AB$57,7,0)&lt;1,-VLOOKUP(A397,'01.2012'!$B$2:$AB$57,6,0),VLOOKUP(A397,'01.2012'!$B$2:$AB$57,7,0))</f>
        <v>#N/A</v>
      </c>
      <c r="B405" s="90" t="e">
        <f>VLOOKUP(A397,'01.2012'!$B$2:$AB$57,14,0)</f>
        <v>#N/A</v>
      </c>
      <c r="C405" s="91" t="e">
        <f>VLOOKUP(A397,'01.2012'!$B$2:$AB$57,25,0)</f>
        <v>#N/A</v>
      </c>
      <c r="D405" s="90" t="e">
        <f>VLOOKUP(A397,'01.2012'!$B$2:$AB$57,27,0)</f>
        <v>#N/A</v>
      </c>
      <c r="E405" s="137" t="s">
        <v>106</v>
      </c>
      <c r="F405" s="6"/>
      <c r="G405" s="97"/>
      <c r="H405" s="99" t="e">
        <f>IF(VLOOKUP(H397,'01.2012'!$B$2:$AB$57,7,0)&lt;1,-VLOOKUP(H397,'01.2012'!$B$2:$AB$57,6,0),VLOOKUP(H397,'01.2012'!$B$2:$AB$57,7,0))</f>
        <v>#N/A</v>
      </c>
      <c r="I405" s="90" t="e">
        <f>VLOOKUP(H397,'01.2012'!$B$2:$AB$57,14,0)</f>
        <v>#N/A</v>
      </c>
      <c r="J405" s="91" t="e">
        <f>VLOOKUP(H397,'01.2012'!$B$2:$AB$57,25,0)</f>
        <v>#N/A</v>
      </c>
      <c r="K405" s="90" t="e">
        <f>VLOOKUP(H397,'01.2012'!$B$2:$AB$57,27,0)</f>
        <v>#N/A</v>
      </c>
      <c r="L405" s="129"/>
    </row>
    <row r="406" spans="1:12">
      <c r="A406" s="6"/>
      <c r="B406" s="6"/>
      <c r="C406" s="6"/>
      <c r="E406" s="88"/>
      <c r="F406" s="6"/>
      <c r="G406" s="97"/>
      <c r="L406" s="88"/>
    </row>
    <row r="407" spans="1:12">
      <c r="A407" s="121" t="s">
        <v>89</v>
      </c>
      <c r="B407" s="121"/>
      <c r="C407" s="6"/>
      <c r="E407" s="6"/>
      <c r="F407" s="6"/>
      <c r="G407" s="97"/>
      <c r="H407" s="121" t="s">
        <v>89</v>
      </c>
      <c r="I407" s="121"/>
    </row>
    <row r="408" spans="1:12">
      <c r="A408" s="122" t="s">
        <v>90</v>
      </c>
      <c r="B408" s="122"/>
      <c r="C408" s="6"/>
      <c r="E408" s="6"/>
      <c r="F408" s="6"/>
      <c r="G408" s="97"/>
      <c r="H408" s="122" t="s">
        <v>90</v>
      </c>
      <c r="I408" s="122"/>
    </row>
    <row r="409" spans="1:12">
      <c r="A409" s="108">
        <f t="shared" ref="A409" si="67">INT((ROW()-1)/12)*2+1+(COLUMN()&gt;6)</f>
        <v>69</v>
      </c>
      <c r="B409" s="138"/>
      <c r="C409" s="138"/>
      <c r="D409" s="139"/>
      <c r="E409" s="138"/>
      <c r="F409" s="138"/>
      <c r="G409" s="140"/>
      <c r="H409" s="108">
        <f t="shared" ref="H409" si="68">INT((ROW()-1)/12)*2+1+(COLUMN()&gt;6)</f>
        <v>70</v>
      </c>
      <c r="I409" s="98"/>
      <c r="J409" s="98"/>
      <c r="K409" s="100"/>
      <c r="L409" s="98"/>
    </row>
    <row r="410" spans="1:12" ht="14.25">
      <c r="A410" s="110" t="s">
        <v>82</v>
      </c>
      <c r="B410" s="110"/>
      <c r="C410" s="110"/>
      <c r="D410" s="110"/>
      <c r="E410" s="110"/>
      <c r="F410" s="92"/>
      <c r="G410" s="94"/>
      <c r="H410" s="110" t="s">
        <v>82</v>
      </c>
      <c r="I410" s="110"/>
      <c r="J410" s="110"/>
      <c r="K410" s="110"/>
      <c r="L410" s="110"/>
    </row>
    <row r="411" spans="1:12" ht="14.25">
      <c r="A411" s="109" t="s">
        <v>94</v>
      </c>
      <c r="B411" s="109"/>
      <c r="C411" s="109"/>
      <c r="D411" s="109"/>
      <c r="E411" s="109"/>
      <c r="F411" s="92"/>
      <c r="G411" s="94"/>
      <c r="H411" s="109" t="s">
        <v>94</v>
      </c>
      <c r="I411" s="109"/>
      <c r="J411" s="109"/>
      <c r="K411" s="109"/>
      <c r="L411" s="109"/>
    </row>
    <row r="412" spans="1:12">
      <c r="A412" s="87"/>
      <c r="B412" s="87"/>
      <c r="C412" s="87"/>
      <c r="D412" s="22"/>
      <c r="E412" s="87"/>
      <c r="F412" s="87"/>
      <c r="G412" s="95"/>
      <c r="H412" s="87"/>
      <c r="I412" s="87"/>
      <c r="J412" s="87"/>
      <c r="K412" s="22"/>
      <c r="L412" s="87"/>
    </row>
    <row r="413" spans="1:12">
      <c r="A413" s="6"/>
      <c r="B413" s="123"/>
      <c r="C413" s="123"/>
      <c r="D413" s="123"/>
      <c r="E413" s="123" t="e">
        <f>VLOOKUP(VLOOKUP(A409,'01.2012'!$B$2:$AB$57,2,0),'01.2012'!$C$2:$E$57,3,0)</f>
        <v>#N/A</v>
      </c>
      <c r="F413" s="87"/>
      <c r="G413" s="95"/>
      <c r="I413" s="123"/>
      <c r="J413" s="123"/>
      <c r="K413" s="123"/>
      <c r="L413" s="123" t="e">
        <f>VLOOKUP(VLOOKUP(H409,'01.2012'!$B$2:$AB$57,2,0),'01.2012'!$C$2:$E$57,3,0)</f>
        <v>#N/A</v>
      </c>
    </row>
    <row r="414" spans="1:12">
      <c r="A414" s="124" t="s">
        <v>83</v>
      </c>
      <c r="B414" s="124"/>
      <c r="C414" s="6"/>
      <c r="D414" s="125"/>
      <c r="E414" s="125" t="e">
        <f>VLOOKUP(A409,'01.2012'!$B$2:$AB$57,4,0)</f>
        <v>#N/A</v>
      </c>
      <c r="F414" s="89"/>
      <c r="G414" s="96"/>
      <c r="H414" s="124" t="s">
        <v>83</v>
      </c>
      <c r="I414" s="124"/>
      <c r="K414" s="125"/>
      <c r="L414" s="125" t="e">
        <f>VLOOKUP(H409,'01.2012'!$B$2:$AB$57,4,0)</f>
        <v>#N/A</v>
      </c>
    </row>
    <row r="415" spans="1:12">
      <c r="A415" s="93" t="s">
        <v>44</v>
      </c>
      <c r="B415" s="6"/>
      <c r="C415" s="126"/>
      <c r="D415" s="126"/>
      <c r="E415" s="126" t="e">
        <f>VLOOKUP(A409,'01.2012'!$B$2:$AB$57,5,0)</f>
        <v>#N/A</v>
      </c>
      <c r="F415" s="89"/>
      <c r="G415" s="96"/>
      <c r="H415" s="93" t="s">
        <v>44</v>
      </c>
      <c r="J415" s="126"/>
      <c r="K415" s="126"/>
      <c r="L415" s="126" t="e">
        <f>VLOOKUP(H409,'01.2012'!$B$2:$AB$57,5,0)</f>
        <v>#N/A</v>
      </c>
    </row>
    <row r="416" spans="1:12" ht="39.75">
      <c r="A416" s="127" t="s">
        <v>105</v>
      </c>
      <c r="B416" s="128" t="s">
        <v>84</v>
      </c>
      <c r="C416" s="132" t="s">
        <v>85</v>
      </c>
      <c r="D416" s="128" t="s">
        <v>102</v>
      </c>
      <c r="E416" s="136" t="s">
        <v>106</v>
      </c>
      <c r="F416" s="6"/>
      <c r="G416" s="97"/>
      <c r="H416" s="127" t="s">
        <v>105</v>
      </c>
      <c r="I416" s="128" t="s">
        <v>84</v>
      </c>
      <c r="J416" s="132" t="s">
        <v>85</v>
      </c>
      <c r="K416" s="128" t="s">
        <v>102</v>
      </c>
      <c r="L416" s="135"/>
    </row>
    <row r="417" spans="1:12" ht="21">
      <c r="A417" s="99" t="e">
        <f>IF(VLOOKUP(A409,'01.2012'!$B$2:$AB$57,7,0)&lt;1,-VLOOKUP(A409,'01.2012'!$B$2:$AB$57,6,0),VLOOKUP(A409,'01.2012'!$B$2:$AB$57,7,0))</f>
        <v>#N/A</v>
      </c>
      <c r="B417" s="90" t="e">
        <f>VLOOKUP(A409,'01.2012'!$B$2:$AB$57,14,0)</f>
        <v>#N/A</v>
      </c>
      <c r="C417" s="91" t="e">
        <f>VLOOKUP(A409,'01.2012'!$B$2:$AB$57,25,0)</f>
        <v>#N/A</v>
      </c>
      <c r="D417" s="90" t="e">
        <f>VLOOKUP(A409,'01.2012'!$B$2:$AB$57,27,0)</f>
        <v>#N/A</v>
      </c>
      <c r="E417" s="137" t="s">
        <v>106</v>
      </c>
      <c r="F417" s="6"/>
      <c r="G417" s="97"/>
      <c r="H417" s="99" t="e">
        <f>IF(VLOOKUP(H409,'01.2012'!$B$2:$AB$57,7,0)&lt;1,-VLOOKUP(H409,'01.2012'!$B$2:$AB$57,6,0),VLOOKUP(H409,'01.2012'!$B$2:$AB$57,7,0))</f>
        <v>#N/A</v>
      </c>
      <c r="I417" s="90" t="e">
        <f>VLOOKUP(H409,'01.2012'!$B$2:$AB$57,14,0)</f>
        <v>#N/A</v>
      </c>
      <c r="J417" s="91" t="e">
        <f>VLOOKUP(H409,'01.2012'!$B$2:$AB$57,25,0)</f>
        <v>#N/A</v>
      </c>
      <c r="K417" s="90" t="e">
        <f>VLOOKUP(H409,'01.2012'!$B$2:$AB$57,27,0)</f>
        <v>#N/A</v>
      </c>
      <c r="L417" s="129"/>
    </row>
    <row r="418" spans="1:12">
      <c r="A418" s="6"/>
      <c r="B418" s="6"/>
      <c r="C418" s="6"/>
      <c r="E418" s="88"/>
      <c r="F418" s="6"/>
      <c r="G418" s="97"/>
      <c r="L418" s="88"/>
    </row>
    <row r="419" spans="1:12">
      <c r="A419" s="121" t="s">
        <v>89</v>
      </c>
      <c r="B419" s="121"/>
      <c r="C419" s="6"/>
      <c r="E419" s="6"/>
      <c r="F419" s="6"/>
      <c r="G419" s="97"/>
      <c r="H419" s="121" t="s">
        <v>89</v>
      </c>
      <c r="I419" s="121"/>
    </row>
    <row r="420" spans="1:12">
      <c r="A420" s="122" t="s">
        <v>90</v>
      </c>
      <c r="B420" s="122"/>
      <c r="C420" s="6"/>
      <c r="E420" s="6"/>
      <c r="F420" s="6"/>
      <c r="G420" s="97"/>
      <c r="H420" s="122" t="s">
        <v>90</v>
      </c>
      <c r="I420" s="122"/>
    </row>
    <row r="421" spans="1:12">
      <c r="A421" s="108">
        <f t="shared" ref="A421" si="69">INT((ROW()-1)/12)*2+1+(COLUMN()&gt;6)</f>
        <v>71</v>
      </c>
      <c r="B421" s="138"/>
      <c r="C421" s="138"/>
      <c r="D421" s="139"/>
      <c r="E421" s="138"/>
      <c r="F421" s="138"/>
      <c r="G421" s="140"/>
      <c r="H421" s="108">
        <f t="shared" ref="H421" si="70">INT((ROW()-1)/12)*2+1+(COLUMN()&gt;6)</f>
        <v>72</v>
      </c>
      <c r="I421" s="98"/>
      <c r="J421" s="98"/>
      <c r="K421" s="100"/>
      <c r="L421" s="98"/>
    </row>
    <row r="422" spans="1:12" ht="14.25">
      <c r="A422" s="110" t="s">
        <v>82</v>
      </c>
      <c r="B422" s="110"/>
      <c r="C422" s="110"/>
      <c r="D422" s="110"/>
      <c r="E422" s="110"/>
      <c r="F422" s="92"/>
      <c r="G422" s="94"/>
      <c r="H422" s="110" t="s">
        <v>82</v>
      </c>
      <c r="I422" s="110"/>
      <c r="J422" s="110"/>
      <c r="K422" s="110"/>
      <c r="L422" s="110"/>
    </row>
    <row r="423" spans="1:12" ht="14.25">
      <c r="A423" s="109" t="s">
        <v>94</v>
      </c>
      <c r="B423" s="109"/>
      <c r="C423" s="109"/>
      <c r="D423" s="109"/>
      <c r="E423" s="109"/>
      <c r="F423" s="92"/>
      <c r="G423" s="94"/>
      <c r="H423" s="109" t="s">
        <v>94</v>
      </c>
      <c r="I423" s="109"/>
      <c r="J423" s="109"/>
      <c r="K423" s="109"/>
      <c r="L423" s="109"/>
    </row>
    <row r="424" spans="1:12">
      <c r="A424" s="87"/>
      <c r="B424" s="87"/>
      <c r="C424" s="87"/>
      <c r="D424" s="22"/>
      <c r="E424" s="87"/>
      <c r="F424" s="87"/>
      <c r="G424" s="95"/>
      <c r="H424" s="87"/>
      <c r="I424" s="87"/>
      <c r="J424" s="87"/>
      <c r="K424" s="22"/>
      <c r="L424" s="87"/>
    </row>
    <row r="425" spans="1:12">
      <c r="A425" s="6"/>
      <c r="B425" s="123"/>
      <c r="C425" s="123"/>
      <c r="D425" s="123"/>
      <c r="E425" s="123" t="e">
        <f>VLOOKUP(VLOOKUP(A421,'01.2012'!$B$2:$AB$57,2,0),'01.2012'!$C$2:$E$57,3,0)</f>
        <v>#N/A</v>
      </c>
      <c r="F425" s="87"/>
      <c r="G425" s="95"/>
      <c r="I425" s="123"/>
      <c r="J425" s="123"/>
      <c r="K425" s="123"/>
      <c r="L425" s="123" t="e">
        <f>VLOOKUP(VLOOKUP(H421,'01.2012'!$B$2:$AB$57,2,0),'01.2012'!$C$2:$E$57,3,0)</f>
        <v>#N/A</v>
      </c>
    </row>
    <row r="426" spans="1:12">
      <c r="A426" s="124" t="s">
        <v>83</v>
      </c>
      <c r="B426" s="124"/>
      <c r="C426" s="6"/>
      <c r="D426" s="125"/>
      <c r="E426" s="125" t="e">
        <f>VLOOKUP(A421,'01.2012'!$B$2:$AB$57,4,0)</f>
        <v>#N/A</v>
      </c>
      <c r="F426" s="89"/>
      <c r="G426" s="96"/>
      <c r="H426" s="124" t="s">
        <v>83</v>
      </c>
      <c r="I426" s="124"/>
      <c r="K426" s="125"/>
      <c r="L426" s="125" t="e">
        <f>VLOOKUP(H421,'01.2012'!$B$2:$AB$57,4,0)</f>
        <v>#N/A</v>
      </c>
    </row>
    <row r="427" spans="1:12">
      <c r="A427" s="93" t="s">
        <v>44</v>
      </c>
      <c r="B427" s="6"/>
      <c r="C427" s="126"/>
      <c r="D427" s="126"/>
      <c r="E427" s="126" t="e">
        <f>VLOOKUP(A421,'01.2012'!$B$2:$AB$57,5,0)</f>
        <v>#N/A</v>
      </c>
      <c r="F427" s="89"/>
      <c r="G427" s="96"/>
      <c r="H427" s="93" t="s">
        <v>44</v>
      </c>
      <c r="J427" s="126"/>
      <c r="K427" s="126"/>
      <c r="L427" s="126" t="e">
        <f>VLOOKUP(H421,'01.2012'!$B$2:$AB$57,5,0)</f>
        <v>#N/A</v>
      </c>
    </row>
    <row r="428" spans="1:12" ht="39.75">
      <c r="A428" s="127" t="s">
        <v>105</v>
      </c>
      <c r="B428" s="128" t="s">
        <v>84</v>
      </c>
      <c r="C428" s="132" t="s">
        <v>85</v>
      </c>
      <c r="D428" s="128" t="s">
        <v>102</v>
      </c>
      <c r="E428" s="136" t="s">
        <v>106</v>
      </c>
      <c r="F428" s="6"/>
      <c r="G428" s="97"/>
      <c r="H428" s="127" t="s">
        <v>105</v>
      </c>
      <c r="I428" s="128" t="s">
        <v>84</v>
      </c>
      <c r="J428" s="132" t="s">
        <v>85</v>
      </c>
      <c r="K428" s="128" t="s">
        <v>102</v>
      </c>
      <c r="L428" s="135"/>
    </row>
    <row r="429" spans="1:12" ht="21">
      <c r="A429" s="99" t="e">
        <f>IF(VLOOKUP(A421,'01.2012'!$B$2:$AB$57,7,0)&lt;1,-VLOOKUP(A421,'01.2012'!$B$2:$AB$57,6,0),VLOOKUP(A421,'01.2012'!$B$2:$AB$57,7,0))</f>
        <v>#N/A</v>
      </c>
      <c r="B429" s="90" t="e">
        <f>VLOOKUP(A421,'01.2012'!$B$2:$AB$57,14,0)</f>
        <v>#N/A</v>
      </c>
      <c r="C429" s="91" t="e">
        <f>VLOOKUP(A421,'01.2012'!$B$2:$AB$57,25,0)</f>
        <v>#N/A</v>
      </c>
      <c r="D429" s="90" t="e">
        <f>VLOOKUP(A421,'01.2012'!$B$2:$AB$57,27,0)</f>
        <v>#N/A</v>
      </c>
      <c r="E429" s="137" t="s">
        <v>106</v>
      </c>
      <c r="F429" s="6"/>
      <c r="G429" s="97"/>
      <c r="H429" s="99" t="e">
        <f>IF(VLOOKUP(H421,'01.2012'!$B$2:$AB$57,7,0)&lt;1,-VLOOKUP(H421,'01.2012'!$B$2:$AB$57,6,0),VLOOKUP(H421,'01.2012'!$B$2:$AB$57,7,0))</f>
        <v>#N/A</v>
      </c>
      <c r="I429" s="90" t="e">
        <f>VLOOKUP(H421,'01.2012'!$B$2:$AB$57,14,0)</f>
        <v>#N/A</v>
      </c>
      <c r="J429" s="91" t="e">
        <f>VLOOKUP(H421,'01.2012'!$B$2:$AB$57,25,0)</f>
        <v>#N/A</v>
      </c>
      <c r="K429" s="90" t="e">
        <f>VLOOKUP(H421,'01.2012'!$B$2:$AB$57,27,0)</f>
        <v>#N/A</v>
      </c>
      <c r="L429" s="129"/>
    </row>
    <row r="430" spans="1:12">
      <c r="A430" s="6"/>
      <c r="B430" s="6"/>
      <c r="C430" s="6"/>
      <c r="E430" s="88"/>
      <c r="F430" s="6"/>
      <c r="G430" s="97"/>
      <c r="L430" s="88"/>
    </row>
    <row r="431" spans="1:12">
      <c r="A431" s="121" t="s">
        <v>89</v>
      </c>
      <c r="B431" s="121"/>
      <c r="C431" s="6"/>
      <c r="E431" s="6"/>
      <c r="F431" s="6"/>
      <c r="G431" s="97"/>
      <c r="H431" s="121" t="s">
        <v>89</v>
      </c>
      <c r="I431" s="121"/>
    </row>
    <row r="432" spans="1:12">
      <c r="A432" s="122" t="s">
        <v>90</v>
      </c>
      <c r="B432" s="122"/>
      <c r="C432" s="6"/>
      <c r="E432" s="6"/>
      <c r="F432" s="6"/>
      <c r="G432" s="97"/>
      <c r="H432" s="122" t="s">
        <v>90</v>
      </c>
      <c r="I432" s="122"/>
    </row>
    <row r="433" spans="1:12">
      <c r="A433" s="108">
        <f t="shared" ref="A433" si="71">INT((ROW()-1)/12)*2+1+(COLUMN()&gt;6)</f>
        <v>73</v>
      </c>
      <c r="B433" s="138"/>
      <c r="C433" s="138"/>
      <c r="D433" s="139"/>
      <c r="E433" s="138"/>
      <c r="F433" s="138"/>
      <c r="G433" s="140"/>
      <c r="H433" s="108">
        <f t="shared" ref="H433" si="72">INT((ROW()-1)/12)*2+1+(COLUMN()&gt;6)</f>
        <v>74</v>
      </c>
      <c r="I433" s="98"/>
      <c r="J433" s="98"/>
      <c r="K433" s="100"/>
      <c r="L433" s="98"/>
    </row>
    <row r="434" spans="1:12" ht="14.25">
      <c r="A434" s="110" t="s">
        <v>82</v>
      </c>
      <c r="B434" s="110"/>
      <c r="C434" s="110"/>
      <c r="D434" s="110"/>
      <c r="E434" s="110"/>
      <c r="F434" s="92"/>
      <c r="G434" s="94"/>
      <c r="H434" s="110" t="s">
        <v>82</v>
      </c>
      <c r="I434" s="110"/>
      <c r="J434" s="110"/>
      <c r="K434" s="110"/>
      <c r="L434" s="110"/>
    </row>
    <row r="435" spans="1:12" ht="14.25">
      <c r="A435" s="109" t="s">
        <v>94</v>
      </c>
      <c r="B435" s="109"/>
      <c r="C435" s="109"/>
      <c r="D435" s="109"/>
      <c r="E435" s="109"/>
      <c r="F435" s="92"/>
      <c r="G435" s="94"/>
      <c r="H435" s="109" t="s">
        <v>94</v>
      </c>
      <c r="I435" s="109"/>
      <c r="J435" s="109"/>
      <c r="K435" s="109"/>
      <c r="L435" s="109"/>
    </row>
    <row r="436" spans="1:12">
      <c r="A436" s="87"/>
      <c r="B436" s="87"/>
      <c r="C436" s="87"/>
      <c r="D436" s="22"/>
      <c r="E436" s="87"/>
      <c r="F436" s="87"/>
      <c r="G436" s="95"/>
      <c r="H436" s="87"/>
      <c r="I436" s="87"/>
      <c r="J436" s="87"/>
      <c r="K436" s="22"/>
      <c r="L436" s="87"/>
    </row>
    <row r="437" spans="1:12">
      <c r="A437" s="6"/>
      <c r="B437" s="123"/>
      <c r="C437" s="123"/>
      <c r="D437" s="123"/>
      <c r="E437" s="123" t="e">
        <f>VLOOKUP(VLOOKUP(A433,'01.2012'!$B$2:$AB$57,2,0),'01.2012'!$C$2:$E$57,3,0)</f>
        <v>#N/A</v>
      </c>
      <c r="F437" s="87"/>
      <c r="G437" s="95"/>
      <c r="I437" s="123"/>
      <c r="J437" s="123"/>
      <c r="K437" s="123"/>
      <c r="L437" s="123" t="e">
        <f>VLOOKUP(VLOOKUP(H433,'01.2012'!$B$2:$AB$57,2,0),'01.2012'!$C$2:$E$57,3,0)</f>
        <v>#N/A</v>
      </c>
    </row>
    <row r="438" spans="1:12">
      <c r="A438" s="124" t="s">
        <v>83</v>
      </c>
      <c r="B438" s="124"/>
      <c r="C438" s="6"/>
      <c r="D438" s="125"/>
      <c r="E438" s="125" t="e">
        <f>VLOOKUP(A433,'01.2012'!$B$2:$AB$57,4,0)</f>
        <v>#N/A</v>
      </c>
      <c r="F438" s="89"/>
      <c r="G438" s="96"/>
      <c r="H438" s="124" t="s">
        <v>83</v>
      </c>
      <c r="I438" s="124"/>
      <c r="K438" s="125"/>
      <c r="L438" s="125" t="e">
        <f>VLOOKUP(H433,'01.2012'!$B$2:$AB$57,4,0)</f>
        <v>#N/A</v>
      </c>
    </row>
    <row r="439" spans="1:12">
      <c r="A439" s="93" t="s">
        <v>44</v>
      </c>
      <c r="B439" s="6"/>
      <c r="C439" s="126"/>
      <c r="D439" s="126"/>
      <c r="E439" s="126" t="e">
        <f>VLOOKUP(A433,'01.2012'!$B$2:$AB$57,5,0)</f>
        <v>#N/A</v>
      </c>
      <c r="F439" s="89"/>
      <c r="G439" s="96"/>
      <c r="H439" s="93" t="s">
        <v>44</v>
      </c>
      <c r="J439" s="126"/>
      <c r="K439" s="126"/>
      <c r="L439" s="126" t="e">
        <f>VLOOKUP(H433,'01.2012'!$B$2:$AB$57,5,0)</f>
        <v>#N/A</v>
      </c>
    </row>
    <row r="440" spans="1:12" ht="39.75">
      <c r="A440" s="127" t="s">
        <v>105</v>
      </c>
      <c r="B440" s="128" t="s">
        <v>84</v>
      </c>
      <c r="C440" s="132" t="s">
        <v>85</v>
      </c>
      <c r="D440" s="128" t="s">
        <v>102</v>
      </c>
      <c r="E440" s="136" t="s">
        <v>106</v>
      </c>
      <c r="F440" s="6"/>
      <c r="G440" s="97"/>
      <c r="H440" s="127" t="s">
        <v>105</v>
      </c>
      <c r="I440" s="128" t="s">
        <v>84</v>
      </c>
      <c r="J440" s="132" t="s">
        <v>85</v>
      </c>
      <c r="K440" s="128" t="s">
        <v>102</v>
      </c>
      <c r="L440" s="135"/>
    </row>
    <row r="441" spans="1:12" ht="21">
      <c r="A441" s="99" t="e">
        <f>IF(VLOOKUP(A433,'01.2012'!$B$2:$AB$57,7,0)&lt;1,-VLOOKUP(A433,'01.2012'!$B$2:$AB$57,6,0),VLOOKUP(A433,'01.2012'!$B$2:$AB$57,7,0))</f>
        <v>#N/A</v>
      </c>
      <c r="B441" s="90" t="e">
        <f>VLOOKUP(A433,'01.2012'!$B$2:$AB$57,14,0)</f>
        <v>#N/A</v>
      </c>
      <c r="C441" s="91" t="e">
        <f>VLOOKUP(A433,'01.2012'!$B$2:$AB$57,25,0)</f>
        <v>#N/A</v>
      </c>
      <c r="D441" s="90" t="e">
        <f>VLOOKUP(A433,'01.2012'!$B$2:$AB$57,27,0)</f>
        <v>#N/A</v>
      </c>
      <c r="E441" s="137" t="s">
        <v>106</v>
      </c>
      <c r="F441" s="6"/>
      <c r="G441" s="97"/>
      <c r="H441" s="99" t="e">
        <f>IF(VLOOKUP(H433,'01.2012'!$B$2:$AB$57,7,0)&lt;1,-VLOOKUP(H433,'01.2012'!$B$2:$AB$57,6,0),VLOOKUP(H433,'01.2012'!$B$2:$AB$57,7,0))</f>
        <v>#N/A</v>
      </c>
      <c r="I441" s="90" t="e">
        <f>VLOOKUP(H433,'01.2012'!$B$2:$AB$57,14,0)</f>
        <v>#N/A</v>
      </c>
      <c r="J441" s="91" t="e">
        <f>VLOOKUP(H433,'01.2012'!$B$2:$AB$57,25,0)</f>
        <v>#N/A</v>
      </c>
      <c r="K441" s="90" t="e">
        <f>VLOOKUP(H433,'01.2012'!$B$2:$AB$57,27,0)</f>
        <v>#N/A</v>
      </c>
      <c r="L441" s="129"/>
    </row>
    <row r="442" spans="1:12">
      <c r="A442" s="6"/>
      <c r="B442" s="6"/>
      <c r="C442" s="6"/>
      <c r="E442" s="88"/>
      <c r="F442" s="6"/>
      <c r="G442" s="97"/>
      <c r="L442" s="88"/>
    </row>
    <row r="443" spans="1:12">
      <c r="A443" s="121" t="s">
        <v>89</v>
      </c>
      <c r="B443" s="121"/>
      <c r="C443" s="6"/>
      <c r="E443" s="6"/>
      <c r="F443" s="6"/>
      <c r="G443" s="97"/>
      <c r="H443" s="121" t="s">
        <v>89</v>
      </c>
      <c r="I443" s="121"/>
    </row>
    <row r="444" spans="1:12">
      <c r="A444" s="122" t="s">
        <v>90</v>
      </c>
      <c r="B444" s="122"/>
      <c r="C444" s="6"/>
      <c r="E444" s="6"/>
      <c r="F444" s="6"/>
      <c r="G444" s="97"/>
      <c r="H444" s="122" t="s">
        <v>90</v>
      </c>
      <c r="I444" s="122"/>
    </row>
    <row r="445" spans="1:12">
      <c r="A445" s="108">
        <f t="shared" ref="A445" si="73">INT((ROW()-1)/12)*2+1+(COLUMN()&gt;6)</f>
        <v>75</v>
      </c>
      <c r="B445" s="138"/>
      <c r="C445" s="138"/>
      <c r="D445" s="139"/>
      <c r="E445" s="138"/>
      <c r="F445" s="138"/>
      <c r="G445" s="140"/>
      <c r="H445" s="108">
        <f t="shared" ref="H445" si="74">INT((ROW()-1)/12)*2+1+(COLUMN()&gt;6)</f>
        <v>76</v>
      </c>
      <c r="I445" s="98"/>
      <c r="J445" s="98"/>
      <c r="K445" s="100"/>
      <c r="L445" s="98"/>
    </row>
    <row r="446" spans="1:12" ht="14.25">
      <c r="A446" s="110" t="s">
        <v>82</v>
      </c>
      <c r="B446" s="110"/>
      <c r="C446" s="110"/>
      <c r="D446" s="110"/>
      <c r="E446" s="110"/>
      <c r="F446" s="92"/>
      <c r="G446" s="94"/>
      <c r="H446" s="110" t="s">
        <v>82</v>
      </c>
      <c r="I446" s="110"/>
      <c r="J446" s="110"/>
      <c r="K446" s="110"/>
      <c r="L446" s="110"/>
    </row>
    <row r="447" spans="1:12" ht="14.25">
      <c r="A447" s="109" t="s">
        <v>94</v>
      </c>
      <c r="B447" s="109"/>
      <c r="C447" s="109"/>
      <c r="D447" s="109"/>
      <c r="E447" s="109"/>
      <c r="F447" s="92"/>
      <c r="G447" s="94"/>
      <c r="H447" s="109" t="s">
        <v>94</v>
      </c>
      <c r="I447" s="109"/>
      <c r="J447" s="109"/>
      <c r="K447" s="109"/>
      <c r="L447" s="109"/>
    </row>
    <row r="448" spans="1:12">
      <c r="A448" s="87"/>
      <c r="B448" s="87"/>
      <c r="C448" s="87"/>
      <c r="D448" s="22"/>
      <c r="E448" s="87"/>
      <c r="F448" s="87"/>
      <c r="G448" s="95"/>
      <c r="H448" s="87"/>
      <c r="I448" s="87"/>
      <c r="J448" s="87"/>
      <c r="K448" s="22"/>
      <c r="L448" s="87"/>
    </row>
    <row r="449" spans="1:12">
      <c r="A449" s="6"/>
      <c r="B449" s="123"/>
      <c r="C449" s="123"/>
      <c r="D449" s="123"/>
      <c r="E449" s="123" t="e">
        <f>VLOOKUP(VLOOKUP(A445,'01.2012'!$B$2:$AB$57,2,0),'01.2012'!$C$2:$E$57,3,0)</f>
        <v>#N/A</v>
      </c>
      <c r="F449" s="87"/>
      <c r="G449" s="95"/>
      <c r="I449" s="123"/>
      <c r="J449" s="123"/>
      <c r="K449" s="123"/>
      <c r="L449" s="123" t="e">
        <f>VLOOKUP(VLOOKUP(H445,'01.2012'!$B$2:$AB$57,2,0),'01.2012'!$C$2:$E$57,3,0)</f>
        <v>#N/A</v>
      </c>
    </row>
    <row r="450" spans="1:12">
      <c r="A450" s="124" t="s">
        <v>83</v>
      </c>
      <c r="B450" s="124"/>
      <c r="C450" s="6"/>
      <c r="D450" s="125"/>
      <c r="E450" s="125" t="e">
        <f>VLOOKUP(A445,'01.2012'!$B$2:$AB$57,4,0)</f>
        <v>#N/A</v>
      </c>
      <c r="F450" s="89"/>
      <c r="G450" s="96"/>
      <c r="H450" s="124" t="s">
        <v>83</v>
      </c>
      <c r="I450" s="124"/>
      <c r="K450" s="125"/>
      <c r="L450" s="125" t="e">
        <f>VLOOKUP(H445,'01.2012'!$B$2:$AB$57,4,0)</f>
        <v>#N/A</v>
      </c>
    </row>
    <row r="451" spans="1:12">
      <c r="A451" s="93" t="s">
        <v>44</v>
      </c>
      <c r="B451" s="6"/>
      <c r="C451" s="126"/>
      <c r="D451" s="126"/>
      <c r="E451" s="126" t="e">
        <f>VLOOKUP(A445,'01.2012'!$B$2:$AB$57,5,0)</f>
        <v>#N/A</v>
      </c>
      <c r="F451" s="89"/>
      <c r="G451" s="96"/>
      <c r="H451" s="93" t="s">
        <v>44</v>
      </c>
      <c r="J451" s="126"/>
      <c r="K451" s="126"/>
      <c r="L451" s="126" t="e">
        <f>VLOOKUP(H445,'01.2012'!$B$2:$AB$57,5,0)</f>
        <v>#N/A</v>
      </c>
    </row>
    <row r="452" spans="1:12" ht="39.75">
      <c r="A452" s="127" t="s">
        <v>105</v>
      </c>
      <c r="B452" s="128" t="s">
        <v>84</v>
      </c>
      <c r="C452" s="132" t="s">
        <v>85</v>
      </c>
      <c r="D452" s="128" t="s">
        <v>102</v>
      </c>
      <c r="E452" s="136" t="s">
        <v>106</v>
      </c>
      <c r="F452" s="6"/>
      <c r="G452" s="97"/>
      <c r="H452" s="127" t="s">
        <v>105</v>
      </c>
      <c r="I452" s="128" t="s">
        <v>84</v>
      </c>
      <c r="J452" s="132" t="s">
        <v>85</v>
      </c>
      <c r="K452" s="128" t="s">
        <v>102</v>
      </c>
      <c r="L452" s="135"/>
    </row>
    <row r="453" spans="1:12" ht="21">
      <c r="A453" s="99" t="e">
        <f>IF(VLOOKUP(A445,'01.2012'!$B$2:$AB$57,7,0)&lt;1,-VLOOKUP(A445,'01.2012'!$B$2:$AB$57,6,0),VLOOKUP(A445,'01.2012'!$B$2:$AB$57,7,0))</f>
        <v>#N/A</v>
      </c>
      <c r="B453" s="90" t="e">
        <f>VLOOKUP(A445,'01.2012'!$B$2:$AB$57,14,0)</f>
        <v>#N/A</v>
      </c>
      <c r="C453" s="91" t="e">
        <f>VLOOKUP(A445,'01.2012'!$B$2:$AB$57,25,0)</f>
        <v>#N/A</v>
      </c>
      <c r="D453" s="90" t="e">
        <f>VLOOKUP(A445,'01.2012'!$B$2:$AB$57,27,0)</f>
        <v>#N/A</v>
      </c>
      <c r="E453" s="137" t="s">
        <v>106</v>
      </c>
      <c r="F453" s="6"/>
      <c r="G453" s="97"/>
      <c r="H453" s="99" t="e">
        <f>IF(VLOOKUP(H445,'01.2012'!$B$2:$AB$57,7,0)&lt;1,-VLOOKUP(H445,'01.2012'!$B$2:$AB$57,6,0),VLOOKUP(H445,'01.2012'!$B$2:$AB$57,7,0))</f>
        <v>#N/A</v>
      </c>
      <c r="I453" s="90" t="e">
        <f>VLOOKUP(H445,'01.2012'!$B$2:$AB$57,14,0)</f>
        <v>#N/A</v>
      </c>
      <c r="J453" s="91" t="e">
        <f>VLOOKUP(H445,'01.2012'!$B$2:$AB$57,25,0)</f>
        <v>#N/A</v>
      </c>
      <c r="K453" s="90" t="e">
        <f>VLOOKUP(H445,'01.2012'!$B$2:$AB$57,27,0)</f>
        <v>#N/A</v>
      </c>
      <c r="L453" s="129"/>
    </row>
    <row r="454" spans="1:12">
      <c r="A454" s="6"/>
      <c r="B454" s="6"/>
      <c r="C454" s="6"/>
      <c r="E454" s="88"/>
      <c r="F454" s="6"/>
      <c r="G454" s="97"/>
      <c r="L454" s="88"/>
    </row>
    <row r="455" spans="1:12">
      <c r="A455" s="121" t="s">
        <v>89</v>
      </c>
      <c r="B455" s="121"/>
      <c r="C455" s="6"/>
      <c r="E455" s="6"/>
      <c r="F455" s="6"/>
      <c r="G455" s="97"/>
      <c r="H455" s="121" t="s">
        <v>89</v>
      </c>
      <c r="I455" s="121"/>
    </row>
    <row r="456" spans="1:12">
      <c r="A456" s="122" t="s">
        <v>90</v>
      </c>
      <c r="B456" s="122"/>
      <c r="C456" s="6"/>
      <c r="E456" s="6"/>
      <c r="F456" s="6"/>
      <c r="G456" s="97"/>
      <c r="H456" s="122" t="s">
        <v>90</v>
      </c>
      <c r="I456" s="122"/>
    </row>
    <row r="457" spans="1:12">
      <c r="A457" s="108">
        <f t="shared" ref="A457" si="75">INT((ROW()-1)/12)*2+1+(COLUMN()&gt;6)</f>
        <v>77</v>
      </c>
      <c r="B457" s="138"/>
      <c r="C457" s="138"/>
      <c r="D457" s="139"/>
      <c r="E457" s="138"/>
      <c r="F457" s="138"/>
      <c r="G457" s="140"/>
      <c r="H457" s="108">
        <f t="shared" ref="H457" si="76">INT((ROW()-1)/12)*2+1+(COLUMN()&gt;6)</f>
        <v>78</v>
      </c>
      <c r="I457" s="98"/>
      <c r="J457" s="98"/>
      <c r="K457" s="100"/>
      <c r="L457" s="98"/>
    </row>
    <row r="458" spans="1:12" ht="14.25">
      <c r="A458" s="110" t="s">
        <v>82</v>
      </c>
      <c r="B458" s="110"/>
      <c r="C458" s="110"/>
      <c r="D458" s="110"/>
      <c r="E458" s="110"/>
      <c r="F458" s="92"/>
      <c r="G458" s="94"/>
      <c r="H458" s="110" t="s">
        <v>82</v>
      </c>
      <c r="I458" s="110"/>
      <c r="J458" s="110"/>
      <c r="K458" s="110"/>
      <c r="L458" s="110"/>
    </row>
    <row r="459" spans="1:12" ht="14.25">
      <c r="A459" s="109" t="s">
        <v>94</v>
      </c>
      <c r="B459" s="109"/>
      <c r="C459" s="109"/>
      <c r="D459" s="109"/>
      <c r="E459" s="109"/>
      <c r="F459" s="92"/>
      <c r="G459" s="94"/>
      <c r="H459" s="109" t="s">
        <v>94</v>
      </c>
      <c r="I459" s="109"/>
      <c r="J459" s="109"/>
      <c r="K459" s="109"/>
      <c r="L459" s="109"/>
    </row>
    <row r="460" spans="1:12">
      <c r="A460" s="87"/>
      <c r="B460" s="87"/>
      <c r="C460" s="87"/>
      <c r="D460" s="22"/>
      <c r="E460" s="87"/>
      <c r="F460" s="87"/>
      <c r="G460" s="95"/>
      <c r="H460" s="87"/>
      <c r="I460" s="87"/>
      <c r="J460" s="87"/>
      <c r="K460" s="22"/>
      <c r="L460" s="87"/>
    </row>
    <row r="461" spans="1:12">
      <c r="A461" s="6"/>
      <c r="B461" s="123"/>
      <c r="C461" s="123"/>
      <c r="D461" s="123"/>
      <c r="E461" s="123" t="e">
        <f>VLOOKUP(VLOOKUP(A457,'01.2012'!$B$2:$AB$57,2,0),'01.2012'!$C$2:$E$57,3,0)</f>
        <v>#N/A</v>
      </c>
      <c r="F461" s="87"/>
      <c r="G461" s="95"/>
      <c r="I461" s="123"/>
      <c r="J461" s="123"/>
      <c r="K461" s="123"/>
      <c r="L461" s="123" t="e">
        <f>VLOOKUP(VLOOKUP(H457,'01.2012'!$B$2:$AB$57,2,0),'01.2012'!$C$2:$E$57,3,0)</f>
        <v>#N/A</v>
      </c>
    </row>
    <row r="462" spans="1:12">
      <c r="A462" s="124" t="s">
        <v>83</v>
      </c>
      <c r="B462" s="124"/>
      <c r="C462" s="6"/>
      <c r="D462" s="125"/>
      <c r="E462" s="125" t="e">
        <f>VLOOKUP(A457,'01.2012'!$B$2:$AB$57,4,0)</f>
        <v>#N/A</v>
      </c>
      <c r="F462" s="89"/>
      <c r="G462" s="96"/>
      <c r="H462" s="124" t="s">
        <v>83</v>
      </c>
      <c r="I462" s="124"/>
      <c r="K462" s="125"/>
      <c r="L462" s="125" t="e">
        <f>VLOOKUP(H457,'01.2012'!$B$2:$AB$57,4,0)</f>
        <v>#N/A</v>
      </c>
    </row>
    <row r="463" spans="1:12">
      <c r="A463" s="93" t="s">
        <v>44</v>
      </c>
      <c r="B463" s="6"/>
      <c r="C463" s="126"/>
      <c r="D463" s="126"/>
      <c r="E463" s="126" t="e">
        <f>VLOOKUP(A457,'01.2012'!$B$2:$AB$57,5,0)</f>
        <v>#N/A</v>
      </c>
      <c r="F463" s="89"/>
      <c r="G463" s="96"/>
      <c r="H463" s="93" t="s">
        <v>44</v>
      </c>
      <c r="J463" s="126"/>
      <c r="K463" s="126"/>
      <c r="L463" s="126" t="e">
        <f>VLOOKUP(H457,'01.2012'!$B$2:$AB$57,5,0)</f>
        <v>#N/A</v>
      </c>
    </row>
    <row r="464" spans="1:12" ht="39.75">
      <c r="A464" s="127" t="s">
        <v>105</v>
      </c>
      <c r="B464" s="128" t="s">
        <v>84</v>
      </c>
      <c r="C464" s="132" t="s">
        <v>85</v>
      </c>
      <c r="D464" s="128" t="s">
        <v>102</v>
      </c>
      <c r="E464" s="136" t="s">
        <v>106</v>
      </c>
      <c r="F464" s="6"/>
      <c r="G464" s="97"/>
      <c r="H464" s="127" t="s">
        <v>105</v>
      </c>
      <c r="I464" s="128" t="s">
        <v>84</v>
      </c>
      <c r="J464" s="132" t="s">
        <v>85</v>
      </c>
      <c r="K464" s="128" t="s">
        <v>102</v>
      </c>
      <c r="L464" s="135"/>
    </row>
    <row r="465" spans="1:12" ht="21">
      <c r="A465" s="99" t="e">
        <f>IF(VLOOKUP(A457,'01.2012'!$B$2:$AB$57,7,0)&lt;1,-VLOOKUP(A457,'01.2012'!$B$2:$AB$57,6,0),VLOOKUP(A457,'01.2012'!$B$2:$AB$57,7,0))</f>
        <v>#N/A</v>
      </c>
      <c r="B465" s="90" t="e">
        <f>VLOOKUP(A457,'01.2012'!$B$2:$AB$57,14,0)</f>
        <v>#N/A</v>
      </c>
      <c r="C465" s="91" t="e">
        <f>VLOOKUP(A457,'01.2012'!$B$2:$AB$57,25,0)</f>
        <v>#N/A</v>
      </c>
      <c r="D465" s="90" t="e">
        <f>VLOOKUP(A457,'01.2012'!$B$2:$AB$57,27,0)</f>
        <v>#N/A</v>
      </c>
      <c r="E465" s="137" t="s">
        <v>106</v>
      </c>
      <c r="F465" s="6"/>
      <c r="G465" s="97"/>
      <c r="H465" s="99" t="e">
        <f>IF(VLOOKUP(H457,'01.2012'!$B$2:$AB$57,7,0)&lt;1,-VLOOKUP(H457,'01.2012'!$B$2:$AB$57,6,0),VLOOKUP(H457,'01.2012'!$B$2:$AB$57,7,0))</f>
        <v>#N/A</v>
      </c>
      <c r="I465" s="90" t="e">
        <f>VLOOKUP(H457,'01.2012'!$B$2:$AB$57,14,0)</f>
        <v>#N/A</v>
      </c>
      <c r="J465" s="91" t="e">
        <f>VLOOKUP(H457,'01.2012'!$B$2:$AB$57,25,0)</f>
        <v>#N/A</v>
      </c>
      <c r="K465" s="90" t="e">
        <f>VLOOKUP(H457,'01.2012'!$B$2:$AB$57,27,0)</f>
        <v>#N/A</v>
      </c>
      <c r="L465" s="129"/>
    </row>
    <row r="466" spans="1:12">
      <c r="A466" s="6"/>
      <c r="B466" s="6"/>
      <c r="C466" s="6"/>
      <c r="E466" s="88"/>
      <c r="F466" s="6"/>
      <c r="G466" s="97"/>
      <c r="L466" s="88"/>
    </row>
    <row r="467" spans="1:12">
      <c r="A467" s="121" t="s">
        <v>89</v>
      </c>
      <c r="B467" s="121"/>
      <c r="C467" s="6"/>
      <c r="E467" s="6"/>
      <c r="F467" s="6"/>
      <c r="G467" s="97"/>
      <c r="H467" s="121" t="s">
        <v>89</v>
      </c>
      <c r="I467" s="121"/>
    </row>
    <row r="468" spans="1:12">
      <c r="A468" s="122" t="s">
        <v>90</v>
      </c>
      <c r="B468" s="122"/>
      <c r="C468" s="6"/>
      <c r="E468" s="6"/>
      <c r="F468" s="6"/>
      <c r="G468" s="97"/>
      <c r="H468" s="122" t="s">
        <v>90</v>
      </c>
      <c r="I468" s="122"/>
    </row>
    <row r="469" spans="1:12">
      <c r="A469" s="108">
        <f t="shared" ref="A469" si="77">INT((ROW()-1)/12)*2+1+(COLUMN()&gt;6)</f>
        <v>79</v>
      </c>
      <c r="B469" s="138"/>
      <c r="C469" s="138"/>
      <c r="D469" s="139"/>
      <c r="E469" s="138"/>
      <c r="F469" s="138"/>
      <c r="G469" s="140"/>
      <c r="H469" s="108">
        <f t="shared" ref="H469" si="78">INT((ROW()-1)/12)*2+1+(COLUMN()&gt;6)</f>
        <v>80</v>
      </c>
      <c r="I469" s="98"/>
      <c r="J469" s="98"/>
      <c r="K469" s="100"/>
      <c r="L469" s="98"/>
    </row>
    <row r="470" spans="1:12" ht="14.25">
      <c r="A470" s="110" t="s">
        <v>82</v>
      </c>
      <c r="B470" s="110"/>
      <c r="C470" s="110"/>
      <c r="D470" s="110"/>
      <c r="E470" s="110"/>
      <c r="F470" s="92"/>
      <c r="G470" s="94"/>
      <c r="H470" s="110" t="s">
        <v>82</v>
      </c>
      <c r="I470" s="110"/>
      <c r="J470" s="110"/>
      <c r="K470" s="110"/>
      <c r="L470" s="110"/>
    </row>
    <row r="471" spans="1:12" ht="14.25">
      <c r="A471" s="109" t="s">
        <v>94</v>
      </c>
      <c r="B471" s="109"/>
      <c r="C471" s="109"/>
      <c r="D471" s="109"/>
      <c r="E471" s="109"/>
      <c r="F471" s="92"/>
      <c r="G471" s="94"/>
      <c r="H471" s="109" t="s">
        <v>94</v>
      </c>
      <c r="I471" s="109"/>
      <c r="J471" s="109"/>
      <c r="K471" s="109"/>
      <c r="L471" s="109"/>
    </row>
    <row r="472" spans="1:12">
      <c r="A472" s="87"/>
      <c r="B472" s="87"/>
      <c r="C472" s="87"/>
      <c r="D472" s="22"/>
      <c r="E472" s="87"/>
      <c r="F472" s="87"/>
      <c r="G472" s="95"/>
      <c r="H472" s="87"/>
      <c r="I472" s="87"/>
      <c r="J472" s="87"/>
      <c r="K472" s="22"/>
      <c r="L472" s="87"/>
    </row>
    <row r="473" spans="1:12">
      <c r="A473" s="6"/>
      <c r="B473" s="123"/>
      <c r="C473" s="123"/>
      <c r="D473" s="123"/>
      <c r="E473" s="123" t="e">
        <f>VLOOKUP(VLOOKUP(A469,'01.2012'!$B$2:$AB$57,2,0),'01.2012'!$C$2:$E$57,3,0)</f>
        <v>#N/A</v>
      </c>
      <c r="F473" s="87"/>
      <c r="G473" s="95"/>
      <c r="I473" s="123"/>
      <c r="J473" s="123"/>
      <c r="K473" s="123"/>
      <c r="L473" s="123" t="e">
        <f>VLOOKUP(VLOOKUP(H469,'01.2012'!$B$2:$AB$57,2,0),'01.2012'!$C$2:$E$57,3,0)</f>
        <v>#N/A</v>
      </c>
    </row>
    <row r="474" spans="1:12">
      <c r="A474" s="124" t="s">
        <v>83</v>
      </c>
      <c r="B474" s="124"/>
      <c r="C474" s="6"/>
      <c r="D474" s="125"/>
      <c r="E474" s="125" t="e">
        <f>VLOOKUP(A469,'01.2012'!$B$2:$AB$57,4,0)</f>
        <v>#N/A</v>
      </c>
      <c r="F474" s="89"/>
      <c r="G474" s="96"/>
      <c r="H474" s="124" t="s">
        <v>83</v>
      </c>
      <c r="I474" s="124"/>
      <c r="K474" s="125"/>
      <c r="L474" s="125" t="e">
        <f>VLOOKUP(H469,'01.2012'!$B$2:$AB$57,4,0)</f>
        <v>#N/A</v>
      </c>
    </row>
    <row r="475" spans="1:12">
      <c r="A475" s="93" t="s">
        <v>44</v>
      </c>
      <c r="B475" s="6"/>
      <c r="C475" s="126"/>
      <c r="D475" s="126"/>
      <c r="E475" s="126" t="e">
        <f>VLOOKUP(A469,'01.2012'!$B$2:$AB$57,5,0)</f>
        <v>#N/A</v>
      </c>
      <c r="F475" s="89"/>
      <c r="G475" s="96"/>
      <c r="H475" s="93" t="s">
        <v>44</v>
      </c>
      <c r="J475" s="126"/>
      <c r="K475" s="126"/>
      <c r="L475" s="126" t="e">
        <f>VLOOKUP(H469,'01.2012'!$B$2:$AB$57,5,0)</f>
        <v>#N/A</v>
      </c>
    </row>
    <row r="476" spans="1:12" ht="39.75">
      <c r="A476" s="127" t="s">
        <v>105</v>
      </c>
      <c r="B476" s="128" t="s">
        <v>84</v>
      </c>
      <c r="C476" s="132" t="s">
        <v>85</v>
      </c>
      <c r="D476" s="128" t="s">
        <v>102</v>
      </c>
      <c r="E476" s="136" t="s">
        <v>106</v>
      </c>
      <c r="F476" s="6"/>
      <c r="G476" s="97"/>
      <c r="H476" s="127" t="s">
        <v>105</v>
      </c>
      <c r="I476" s="128" t="s">
        <v>84</v>
      </c>
      <c r="J476" s="132" t="s">
        <v>85</v>
      </c>
      <c r="K476" s="128" t="s">
        <v>102</v>
      </c>
      <c r="L476" s="135"/>
    </row>
    <row r="477" spans="1:12" ht="21">
      <c r="A477" s="99" t="e">
        <f>IF(VLOOKUP(A469,'01.2012'!$B$2:$AB$57,7,0)&lt;1,-VLOOKUP(A469,'01.2012'!$B$2:$AB$57,6,0),VLOOKUP(A469,'01.2012'!$B$2:$AB$57,7,0))</f>
        <v>#N/A</v>
      </c>
      <c r="B477" s="90" t="e">
        <f>VLOOKUP(A469,'01.2012'!$B$2:$AB$57,14,0)</f>
        <v>#N/A</v>
      </c>
      <c r="C477" s="91" t="e">
        <f>VLOOKUP(A469,'01.2012'!$B$2:$AB$57,25,0)</f>
        <v>#N/A</v>
      </c>
      <c r="D477" s="90" t="e">
        <f>VLOOKUP(A469,'01.2012'!$B$2:$AB$57,27,0)</f>
        <v>#N/A</v>
      </c>
      <c r="E477" s="137" t="s">
        <v>106</v>
      </c>
      <c r="F477" s="6"/>
      <c r="G477" s="97"/>
      <c r="H477" s="99" t="e">
        <f>IF(VLOOKUP(H469,'01.2012'!$B$2:$AB$57,7,0)&lt;1,-VLOOKUP(H469,'01.2012'!$B$2:$AB$57,6,0),VLOOKUP(H469,'01.2012'!$B$2:$AB$57,7,0))</f>
        <v>#N/A</v>
      </c>
      <c r="I477" s="90" t="e">
        <f>VLOOKUP(H469,'01.2012'!$B$2:$AB$57,14,0)</f>
        <v>#N/A</v>
      </c>
      <c r="J477" s="91" t="e">
        <f>VLOOKUP(H469,'01.2012'!$B$2:$AB$57,25,0)</f>
        <v>#N/A</v>
      </c>
      <c r="K477" s="90" t="e">
        <f>VLOOKUP(H469,'01.2012'!$B$2:$AB$57,27,0)</f>
        <v>#N/A</v>
      </c>
      <c r="L477" s="129"/>
    </row>
    <row r="478" spans="1:12">
      <c r="A478" s="6"/>
      <c r="B478" s="6"/>
      <c r="C478" s="6"/>
      <c r="E478" s="88"/>
      <c r="F478" s="6"/>
      <c r="G478" s="97"/>
      <c r="L478" s="88"/>
    </row>
    <row r="479" spans="1:12">
      <c r="A479" s="121" t="s">
        <v>89</v>
      </c>
      <c r="B479" s="121"/>
      <c r="C479" s="6"/>
      <c r="E479" s="6"/>
      <c r="F479" s="6"/>
      <c r="G479" s="97"/>
      <c r="H479" s="121" t="s">
        <v>89</v>
      </c>
      <c r="I479" s="121"/>
    </row>
    <row r="480" spans="1:12">
      <c r="A480" s="122" t="s">
        <v>90</v>
      </c>
      <c r="B480" s="122"/>
      <c r="C480" s="6"/>
      <c r="E480" s="6"/>
      <c r="F480" s="6"/>
      <c r="G480" s="97"/>
      <c r="H480" s="122" t="s">
        <v>90</v>
      </c>
      <c r="I480" s="122"/>
    </row>
    <row r="481" spans="1:12">
      <c r="A481" s="108">
        <f t="shared" ref="A481" si="79">INT((ROW()-1)/12)*2+1+(COLUMN()&gt;6)</f>
        <v>81</v>
      </c>
      <c r="B481" s="138"/>
      <c r="C481" s="138"/>
      <c r="D481" s="139"/>
      <c r="E481" s="138"/>
      <c r="F481" s="138"/>
      <c r="G481" s="140"/>
      <c r="H481" s="108">
        <f t="shared" ref="H481" si="80">INT((ROW()-1)/12)*2+1+(COLUMN()&gt;6)</f>
        <v>82</v>
      </c>
      <c r="I481" s="98"/>
      <c r="J481" s="98"/>
      <c r="K481" s="100"/>
      <c r="L481" s="98"/>
    </row>
    <row r="482" spans="1:12" ht="14.25">
      <c r="A482" s="110" t="s">
        <v>82</v>
      </c>
      <c r="B482" s="110"/>
      <c r="C482" s="110"/>
      <c r="D482" s="110"/>
      <c r="E482" s="110"/>
      <c r="F482" s="92"/>
      <c r="G482" s="94"/>
      <c r="H482" s="110" t="s">
        <v>82</v>
      </c>
      <c r="I482" s="110"/>
      <c r="J482" s="110"/>
      <c r="K482" s="110"/>
      <c r="L482" s="110"/>
    </row>
    <row r="483" spans="1:12" ht="14.25">
      <c r="A483" s="109" t="s">
        <v>94</v>
      </c>
      <c r="B483" s="109"/>
      <c r="C483" s="109"/>
      <c r="D483" s="109"/>
      <c r="E483" s="109"/>
      <c r="F483" s="92"/>
      <c r="G483" s="94"/>
      <c r="H483" s="109" t="s">
        <v>94</v>
      </c>
      <c r="I483" s="109"/>
      <c r="J483" s="109"/>
      <c r="K483" s="109"/>
      <c r="L483" s="109"/>
    </row>
    <row r="484" spans="1:12">
      <c r="A484" s="87"/>
      <c r="B484" s="87"/>
      <c r="C484" s="87"/>
      <c r="D484" s="22"/>
      <c r="E484" s="87"/>
      <c r="F484" s="87"/>
      <c r="G484" s="95"/>
      <c r="H484" s="87"/>
      <c r="I484" s="87"/>
      <c r="J484" s="87"/>
      <c r="K484" s="22"/>
      <c r="L484" s="87"/>
    </row>
    <row r="485" spans="1:12">
      <c r="A485" s="6"/>
      <c r="B485" s="123"/>
      <c r="C485" s="123"/>
      <c r="D485" s="123"/>
      <c r="E485" s="123" t="e">
        <f>VLOOKUP(VLOOKUP(A481,'01.2012'!$B$2:$AB$57,2,0),'01.2012'!$C$2:$E$57,3,0)</f>
        <v>#N/A</v>
      </c>
      <c r="F485" s="87"/>
      <c r="G485" s="95"/>
      <c r="I485" s="123"/>
      <c r="J485" s="123"/>
      <c r="K485" s="123"/>
      <c r="L485" s="123" t="e">
        <f>VLOOKUP(VLOOKUP(H481,'01.2012'!$B$2:$AB$57,2,0),'01.2012'!$C$2:$E$57,3,0)</f>
        <v>#N/A</v>
      </c>
    </row>
    <row r="486" spans="1:12">
      <c r="A486" s="124" t="s">
        <v>83</v>
      </c>
      <c r="B486" s="124"/>
      <c r="C486" s="6"/>
      <c r="D486" s="125"/>
      <c r="E486" s="125" t="e">
        <f>VLOOKUP(A481,'01.2012'!$B$2:$AB$57,4,0)</f>
        <v>#N/A</v>
      </c>
      <c r="F486" s="89"/>
      <c r="G486" s="96"/>
      <c r="H486" s="124" t="s">
        <v>83</v>
      </c>
      <c r="I486" s="124"/>
      <c r="K486" s="125"/>
      <c r="L486" s="125" t="e">
        <f>VLOOKUP(H481,'01.2012'!$B$2:$AB$57,4,0)</f>
        <v>#N/A</v>
      </c>
    </row>
    <row r="487" spans="1:12">
      <c r="A487" s="93" t="s">
        <v>44</v>
      </c>
      <c r="B487" s="6"/>
      <c r="C487" s="126"/>
      <c r="D487" s="126"/>
      <c r="E487" s="126" t="e">
        <f>VLOOKUP(A481,'01.2012'!$B$2:$AB$57,5,0)</f>
        <v>#N/A</v>
      </c>
      <c r="F487" s="89"/>
      <c r="G487" s="96"/>
      <c r="H487" s="93" t="s">
        <v>44</v>
      </c>
      <c r="J487" s="126"/>
      <c r="K487" s="126"/>
      <c r="L487" s="126" t="e">
        <f>VLOOKUP(H481,'01.2012'!$B$2:$AB$57,5,0)</f>
        <v>#N/A</v>
      </c>
    </row>
    <row r="488" spans="1:12" ht="39.75">
      <c r="A488" s="127" t="s">
        <v>105</v>
      </c>
      <c r="B488" s="128" t="s">
        <v>84</v>
      </c>
      <c r="C488" s="132" t="s">
        <v>85</v>
      </c>
      <c r="D488" s="128" t="s">
        <v>102</v>
      </c>
      <c r="E488" s="136" t="s">
        <v>106</v>
      </c>
      <c r="F488" s="6"/>
      <c r="G488" s="97"/>
      <c r="H488" s="127" t="s">
        <v>105</v>
      </c>
      <c r="I488" s="128" t="s">
        <v>84</v>
      </c>
      <c r="J488" s="132" t="s">
        <v>85</v>
      </c>
      <c r="K488" s="128" t="s">
        <v>102</v>
      </c>
      <c r="L488" s="135"/>
    </row>
    <row r="489" spans="1:12" ht="21">
      <c r="A489" s="99" t="e">
        <f>IF(VLOOKUP(A481,'01.2012'!$B$2:$AB$57,7,0)&lt;1,-VLOOKUP(A481,'01.2012'!$B$2:$AB$57,6,0),VLOOKUP(A481,'01.2012'!$B$2:$AB$57,7,0))</f>
        <v>#N/A</v>
      </c>
      <c r="B489" s="90" t="e">
        <f>VLOOKUP(A481,'01.2012'!$B$2:$AB$57,14,0)</f>
        <v>#N/A</v>
      </c>
      <c r="C489" s="91" t="e">
        <f>VLOOKUP(A481,'01.2012'!$B$2:$AB$57,25,0)</f>
        <v>#N/A</v>
      </c>
      <c r="D489" s="90" t="e">
        <f>VLOOKUP(A481,'01.2012'!$B$2:$AB$57,27,0)</f>
        <v>#N/A</v>
      </c>
      <c r="E489" s="137" t="s">
        <v>106</v>
      </c>
      <c r="F489" s="6"/>
      <c r="G489" s="97"/>
      <c r="H489" s="99" t="e">
        <f>IF(VLOOKUP(H481,'01.2012'!$B$2:$AB$57,7,0)&lt;1,-VLOOKUP(H481,'01.2012'!$B$2:$AB$57,6,0),VLOOKUP(H481,'01.2012'!$B$2:$AB$57,7,0))</f>
        <v>#N/A</v>
      </c>
      <c r="I489" s="90" t="e">
        <f>VLOOKUP(H481,'01.2012'!$B$2:$AB$57,14,0)</f>
        <v>#N/A</v>
      </c>
      <c r="J489" s="91" t="e">
        <f>VLOOKUP(H481,'01.2012'!$B$2:$AB$57,25,0)</f>
        <v>#N/A</v>
      </c>
      <c r="K489" s="90" t="e">
        <f>VLOOKUP(H481,'01.2012'!$B$2:$AB$57,27,0)</f>
        <v>#N/A</v>
      </c>
      <c r="L489" s="129"/>
    </row>
    <row r="490" spans="1:12">
      <c r="A490" s="6"/>
      <c r="B490" s="6"/>
      <c r="C490" s="6"/>
      <c r="E490" s="88"/>
      <c r="F490" s="6"/>
      <c r="G490" s="97"/>
      <c r="L490" s="88"/>
    </row>
    <row r="491" spans="1:12">
      <c r="A491" s="121" t="s">
        <v>89</v>
      </c>
      <c r="B491" s="121"/>
      <c r="C491" s="6"/>
      <c r="E491" s="6"/>
      <c r="F491" s="6"/>
      <c r="G491" s="97"/>
      <c r="H491" s="121" t="s">
        <v>89</v>
      </c>
      <c r="I491" s="121"/>
    </row>
    <row r="492" spans="1:12">
      <c r="A492" s="122" t="s">
        <v>90</v>
      </c>
      <c r="B492" s="122"/>
      <c r="C492" s="6"/>
      <c r="E492" s="6"/>
      <c r="F492" s="6"/>
      <c r="G492" s="97"/>
      <c r="H492" s="122" t="s">
        <v>90</v>
      </c>
      <c r="I492" s="122"/>
    </row>
    <row r="493" spans="1:12">
      <c r="A493" s="108">
        <f t="shared" ref="A493" si="81">INT((ROW()-1)/12)*2+1+(COLUMN()&gt;6)</f>
        <v>83</v>
      </c>
      <c r="B493" s="138"/>
      <c r="C493" s="138"/>
      <c r="D493" s="139"/>
      <c r="E493" s="138"/>
      <c r="F493" s="138"/>
      <c r="G493" s="140"/>
      <c r="H493" s="108">
        <f t="shared" ref="H493" si="82">INT((ROW()-1)/12)*2+1+(COLUMN()&gt;6)</f>
        <v>84</v>
      </c>
      <c r="I493" s="98"/>
      <c r="J493" s="98"/>
      <c r="K493" s="100"/>
      <c r="L493" s="98"/>
    </row>
  </sheetData>
  <mergeCells count="4">
    <mergeCell ref="N5:P7"/>
    <mergeCell ref="Q9:R9"/>
    <mergeCell ref="Q10:R10"/>
    <mergeCell ref="Q11:R11"/>
  </mergeCells>
  <conditionalFormatting sqref="A1:G4 B5:G5 A6:B6 D6:G6 C7:G7 A7 A8:G16 B17:G17 B29:G29 B41:G41 B53:G53 B65:G65 B77:G77 B89:G89 B101:G101 B113:G113 B125:G125 B137:G137 B149:G149 B161:G161 B173:G173 B185:G185 B197:G197 B209:G209 B221:G221 B233:G233 B245:G245 B257:G257 B269:G269 B281:G281 B293:G293 B305:G305 B317:G317 B329:G329 B341:G341 B353:G353 B365:G365 B377:G377 B389:G389 B401:G401 B413:G413 B425:G425 B437:G437 B449:G449 B461:G461 B473:G473 B485:G485 A18:B18 A30:B30 A42:B42 A54:B54 A66:B66 A78:B78 A90:B90 A102:B102 A114:B114 A126:B126 A138:B138 A150:B150 A162:B162 A174:B174 A186:B186 A198:B198 A210:B210 A222:B222 A234:B234 A246:B246 A258:B258 A270:B270 A282:B282 A294:B294 A306:B306 A318:B318 A330:B330 A342:B342 A354:B354 A366:B366 A378:B378 A390:B390 A402:B402 A414:B414 A426:B426 A438:B438 A450:B450 A462:B462 A474:B474 A486:B486 D18:G18 D30:G30 D42:G42 D54:G54 D66:G66 D78:G78 D90:G90 D102:G102 D114:G114 D126:G126 D138:G138 D150:G150 D162:G162 D174:G174 D186:G186 D198:G198 D210:G210 D222:G222 D234:G234 D246:G246 D258:G258 D270:G270 D282:G282 D294:G294 D306:G306 D318:G318 D330:G330 D342:G342 D354:G354 D366:G366 D378:G378 D390:G390 D402:G402 D414:G414 D426:G426 D438:G438 D450:G450 D462:G462 D474:G474 D486:G486 C19:G19 C31:G31 C43:G43 C55:G55 C67:G67 C79:G79 C91:G91 C103:G103 C115:G115 C127:G127 C139:G139 C151:G151 C163:G163 C175:G175 C187:G187 C199:G199 C211:G211 C223:G223 C235:G235 C247:G247 C259:G259 C271:G271 C283:G283 C295:G295 C307:G307 C319:G319 C331:G331 C343:G343 C355:G355 C367:G367 C379:G379 C391:G391 C403:G403 C415:G415 C427:G427 C439:G439 C451:G451 C463:G463 C475:G475 C487:G487 A19 A31 A43 A55 A67 A79 A91 A103 A115 A127 A139 A151 A163 A175 A187 A199 A211 A223 A235 A247 A259 A271 A283 A295 A307 A319 A331 A343 A355 A367 A379 A391 A403 A415 A427 A439 A451 A463 A475 A487 A20:G28 A32:G40 A44:G52 A56:G64 A68:G76 A80:G88 A92:G100 A104:G112 A116:G124 A128:G136 A140:G148 A152:G160 A164:G172 A176:G184 A188:G196 A200:G208 A212:G220 A224:G232 A236:G244 A248:G256 A260:G268 A272:G280 A284:G292 A296:G304 A308:G316 A320:G328 A332:G340 A344:G352 A356:G364 A368:G376 A380:G388 A392:G400 A404:G412 A416:G424 A428:G436 A440:G448 A452:G460 A464:G472 A476:G484 A488:G493">
    <cfRule type="expression" dxfId="19" priority="7">
      <formula>ISERROR(A1)</formula>
    </cfRule>
  </conditionalFormatting>
  <conditionalFormatting sqref="P9:P11">
    <cfRule type="expression" dxfId="18" priority="6">
      <formula>ROUND($N9-$O9-$P9,2)</formula>
    </cfRule>
  </conditionalFormatting>
  <conditionalFormatting sqref="H2:M4 I5:M5 H6:I6 K6:M6 J7:M7 H7 H9:M12 H8:K8 M8 I1:M1 H14:L16 H26:L28 H38:L40 H50:L52 H62:L64 H74:L76 H86:L88 H98:L100 H110:L112 H122:L124 H134:L136 H146:L148 H158:L160 H170:L172 H182:L184 H194:L196 H206:L208 H218:L220 H230:L232 H242:L244 H254:L256 H266:L268 H278:L280 H290:L292 H302:L304 H314:L316 H326:L328 H338:L340 H350:L352 H362:L364 H374:L376 H386:L388 H398:L400 H410:L412 H422:L424 H434:L436 H446:L448 H458:L460 H470:L472 H482:L484 I17:L17 I29:L29 I41:L41 I53:L53 I65:L65 I77:L77 I89:L89 I101:L101 I113:L113 I125:L125 I137:L137 I149:L149 I161:L161 I173:L173 I185:L185 I197:L197 I209:L209 I221:L221 I233:L233 I245:L245 I257:L257 I269:L269 I281:L281 I293:L293 I305:L305 I317:L317 I329:L329 I341:L341 I353:L353 I365:L365 I377:L377 I389:L389 I401:L401 I413:L413 I425:L425 I437:L437 I449:L449 I461:L461 I473:L473 I485:L485 H18:I18 H30:I30 H42:I42 H54:I54 H66:I66 H78:I78 H90:I90 H102:I102 H114:I114 H126:I126 H138:I138 H150:I150 H162:I162 H174:I174 H186:I186 H198:I198 H210:I210 H222:I222 H234:I234 H246:I246 H258:I258 H270:I270 H282:I282 H294:I294 H306:I306 H318:I318 H330:I330 H342:I342 H354:I354 H366:I366 H378:I378 H390:I390 H402:I402 H414:I414 H426:I426 H438:I438 H450:I450 H462:I462 H474:I474 H486:I486 K18:L18 K30:L30 K42:L42 K54:L54 K66:L66 K78:L78 K90:L90 K102:L102 K114:L114 K126:L126 K138:L138 K150:L150 K162:L162 K174:L174 K186:L186 K198:L198 K210:L210 K222:L222 K234:L234 K246:L246 K258:L258 K270:L270 K282:L282 K294:L294 K306:L306 K318:L318 K330:L330 K342:L342 K354:L354 K366:L366 K378:L378 K390:L390 K402:L402 K414:L414 K426:L426 K438:L438 K450:L450 K462:L462 K474:L474 K486:L486 J19:L19 J31:L31 J43:L43 J55:L55 J67:L67 J79:L79 J91:L91 J103:L103 J115:L115 J127:L127 J139:L139 J151:L151 J163:L163 J175:L175 J187:L187 J199:L199 J211:L211 J223:L223 J235:L235 J247:L247 J259:L259 J271:L271 J283:L283 J295:L295 J307:L307 J319:L319 J331:L331 J343:L343 J355:L355 J367:L367 J379:L379 J391:L391 J403:L403 J415:L415 J427:L427 J439:L439 J451:L451 J463:L463 J475:L475 J487:L487 H19 H31 H43 H55 H67 H79 H91 H103 H115 H127 H139 H151 H163 H175 H187 H199 H211 H223 H235 H247 H259 H271 H283 H295 H307 H319 H331 H343 H355 H367 H379 H391 H403 H415 H427 H439 H451 H463 H475 H487 H21:L24 H33:L36 H45:L48 H57:L60 H69:L72 H81:L84 H93:L96 H105:L108 H117:L120 H129:L132 H141:L144 H153:L156 H165:L168 H177:L180 H189:L192 H201:L204 H213:L216 H225:L228 H237:L240 H249:L252 H261:L264 H273:L276 H285:L288 H297:L300 H309:L312 H321:L324 H333:L336 H345:L348 H357:L360 H369:L372 H381:L384 H393:L396 H405:L408 H417:L420 H429:L432 H441:L444 H453:L456 H465:L468 H477:L480 H489:L492 H20:K20 H32:K32 H44:K44 H56:K56 H68:K68 H80:K80 H92:K92 H104:K104 H116:K116 H128:K128 H140:K140 H152:K152 H164:K164 H176:K176 H188:K188 H200:K200 H212:K212 H224:K224 H236:K236 H248:K248 H260:K260 H272:K272 H284:K284 H296:K296 H308:K308 H320:K320 H332:K332 H344:K344 H356:K356 H368:K368 H380:K380 H392:K392 H404:K404 H416:K416 H428:K428 H440:K440 H452:K452 H464:K464 H476:K476 H488:K488 I13:M13 I25:L25 I37:L37 I49:L49 I61:L61 I73:L73 I85:L85 I97:L97 I109:L109 I121:L121 I133:L133 I145:L145 I157:L157 I169:L169 I181:L181 I193:L193 I205:L205 I217:L217 I229:L229 I241:L241 I253:L253 I265:L265 I277:L277 I289:L289 I301:L301 I313:L313 I325:L325 I337:L337 I349:L349 I361:L361 I373:L373 I385:L385 I397:L397 I409:L409 I421:L421 I433:L433 I445:L445 I457:L457 I469:L469 I481:L481 I493:L493">
    <cfRule type="expression" dxfId="17" priority="5">
      <formula>ISERROR(H1)</formula>
    </cfRule>
  </conditionalFormatting>
  <conditionalFormatting sqref="L8 L20 L32 L44 L56 L68 L80 L92 L104 L116 L128 L140 L152 L164 L176 L188 L200 L212 L224 L236 L248 L260 L272 L284 L296 L308 L320 L332 L344 L356 L368 L380 L392 L404 L416 L428 L440 L452 L464 L476 L488">
    <cfRule type="expression" dxfId="16" priority="4">
      <formula>ISERROR(L8)</formula>
    </cfRule>
  </conditionalFormatting>
  <conditionalFormatting sqref="N11:P11">
    <cfRule type="expression" dxfId="15" priority="2">
      <formula>N11</formula>
    </cfRule>
  </conditionalFormatting>
  <conditionalFormatting sqref="H1 H13 H25 H37 H49 H61 H73 H85 H97 H109 H121 H133 H145 H157 H169 H181 H193 H205 H217 H229 H241 H253 H265 H277 H289 H301 H313 H325 H337 H349 H361 H373 H385 H397 H409 H421 H433 H445 H457 H469 H481 H493">
    <cfRule type="expression" dxfId="14" priority="1">
      <formula>ISERROR(H1)</formula>
    </cfRule>
  </conditionalFormatting>
  <printOptions horizontalCentered="1"/>
  <pageMargins left="0.19685039370078741" right="0.15748031496062992" top="0.23622047244094491" bottom="0.19685039370078741" header="0.23622047244094491" footer="0.15748031496062992"/>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B1" workbookViewId="0">
      <selection activeCell="C11" sqref="C11"/>
    </sheetView>
  </sheetViews>
  <sheetFormatPr defaultRowHeight="12.75"/>
  <cols>
    <col min="1" max="1" width="0" hidden="1" customWidth="1"/>
    <col min="3" max="3" width="26.42578125" customWidth="1"/>
    <col min="4" max="4" width="10.140625" customWidth="1"/>
    <col min="5" max="5" width="20.28515625" bestFit="1" customWidth="1"/>
  </cols>
  <sheetData>
    <row r="1" spans="1:15">
      <c r="A1" s="111" t="str">
        <f>VLOOKUP(ROW()*1000,'01.2012'!$C$2:$E$57,3,0)</f>
        <v>УПРАВЛЕНИЕ</v>
      </c>
    </row>
    <row r="2" spans="1:15">
      <c r="A2" s="111" t="str">
        <f>VLOOKUP(ROW()*1000,'01.2012'!$C$2:$E$57,3,0)</f>
        <v>ОТДЕЛ КАДРОВ</v>
      </c>
      <c r="E2" s="6" t="s">
        <v>99</v>
      </c>
    </row>
    <row r="3" spans="1:15">
      <c r="A3" s="111" t="str">
        <f>VLOOKUP(ROW()*1000,'01.2012'!$C$2:$E$57,3,0)</f>
        <v>БУХГАЛТЕРИЯ И ФИНАНСЫ</v>
      </c>
      <c r="E3" s="111">
        <f ca="1">MATCH(C4,Отдел,0)*1000</f>
        <v>4000</v>
      </c>
    </row>
    <row r="4" spans="1:15">
      <c r="A4" s="111" t="str">
        <f>VLOOKUP(ROW()*1000,'01.2012'!$C$2:$E$57,3,0)</f>
        <v>ОТДЕЛ АНАЛИЗА И ЭКОНОМИКИ</v>
      </c>
      <c r="C4" s="150" t="s">
        <v>65</v>
      </c>
      <c r="D4" s="150"/>
      <c r="E4" s="150"/>
    </row>
    <row r="5" spans="1:15">
      <c r="A5" s="111" t="str">
        <f>VLOOKUP(ROW()*1000,'01.2012'!$C$2:$E$57,3,0)</f>
        <v>ОТДЕЛ ПО НАУКЕ</v>
      </c>
    </row>
    <row r="6" spans="1:15">
      <c r="A6" s="111" t="str">
        <f>VLOOKUP(ROW()*1000,'01.2012'!$C$2:$E$57,3,0)</f>
        <v>ОТДЕЛ 1</v>
      </c>
    </row>
    <row r="7" spans="1:15" ht="15">
      <c r="A7" s="111" t="str">
        <f>VLOOKUP(ROW()*1000,'01.2012'!$C$2:$E$57,3,0)</f>
        <v>ОТДЕЛ 2</v>
      </c>
      <c r="B7" s="148" t="s">
        <v>95</v>
      </c>
      <c r="C7" s="148"/>
      <c r="D7" s="148"/>
      <c r="E7" s="148"/>
    </row>
    <row r="8" spans="1:15" ht="15">
      <c r="A8" s="111" t="e">
        <f>VLOOKUP(ROW()*1000,'01.2012'!$C$2:$E$57,3,0)</f>
        <v>#N/A</v>
      </c>
      <c r="B8" s="148" t="s">
        <v>96</v>
      </c>
      <c r="C8" s="148"/>
      <c r="D8" s="148"/>
      <c r="E8" s="148"/>
    </row>
    <row r="9" spans="1:15">
      <c r="A9" s="111" t="e">
        <f>VLOOKUP(ROW()*1000,'01.2012'!$C$2:$E$57,3,0)</f>
        <v>#N/A</v>
      </c>
      <c r="B9" s="111">
        <f t="array" aca="1" ref="B9" ca="1">MAX((E3='01.2012'!C2:C57)*'01.2012'!A2:A57)+1</f>
        <v>4</v>
      </c>
      <c r="C9" s="111" t="s">
        <v>81</v>
      </c>
      <c r="D9" s="111"/>
      <c r="H9" s="149" t="s">
        <v>100</v>
      </c>
      <c r="I9" s="149"/>
      <c r="J9" s="149"/>
      <c r="K9" s="149"/>
      <c r="L9" s="149"/>
      <c r="M9" s="149"/>
      <c r="N9" s="149"/>
      <c r="O9" s="149"/>
    </row>
    <row r="10" spans="1:15">
      <c r="A10" s="111" t="e">
        <f>VLOOKUP(ROW()*1000,'01.2012'!$C$2:$E$57,3,0)</f>
        <v>#N/A</v>
      </c>
      <c r="B10" s="113" t="s">
        <v>17</v>
      </c>
      <c r="C10" s="101" t="s">
        <v>43</v>
      </c>
      <c r="D10" s="101" t="s">
        <v>97</v>
      </c>
      <c r="E10" s="114" t="s">
        <v>98</v>
      </c>
      <c r="H10" s="149"/>
      <c r="I10" s="149"/>
      <c r="J10" s="149"/>
      <c r="K10" s="149"/>
      <c r="L10" s="149"/>
      <c r="M10" s="149"/>
      <c r="N10" s="149"/>
      <c r="O10" s="149"/>
    </row>
    <row r="11" spans="1:15" ht="15.75" customHeight="1">
      <c r="A11" s="111" t="e">
        <f>VLOOKUP(ROW()*1000,'01.2012'!$C$2:$E$57,3,0)</f>
        <v>#N/A</v>
      </c>
      <c r="B11" s="117">
        <v>1</v>
      </c>
      <c r="C11" s="112" t="str">
        <f t="array" aca="1" ref="C11" ca="1">IF($B11=$B$9,C$9,INDEX('01.2012'!$E$2:$E$57,SUMPRODUCT(($B11='01.2012'!$A$2:$A$57)*($E$3='01.2012'!$C$2:$C$57)*ROW('01.2012'!$A$2:$A$57))-1))</f>
        <v>Саидов Хайрулло</v>
      </c>
      <c r="D11" s="112">
        <f ca="1">IF($B11=$B$9,SUM(D$10:D10),ROUNDDOWN(INDEX('01.2012'!$AB$2:$AB$57,SUMPRODUCT(($B11='01.2012'!$A$2:$A$57)*($E$3='01.2012'!$C$2:$C$57)*ROW('01.2012'!$A$2:$A$57))-1),1))</f>
        <v>96.7</v>
      </c>
      <c r="E11" s="115"/>
      <c r="H11" s="149"/>
      <c r="I11" s="149"/>
      <c r="J11" s="149"/>
      <c r="K11" s="149"/>
      <c r="L11" s="149"/>
      <c r="M11" s="149"/>
      <c r="N11" s="149"/>
      <c r="O11" s="149"/>
    </row>
    <row r="12" spans="1:15" ht="15.75" customHeight="1">
      <c r="A12" s="111" t="e">
        <f>VLOOKUP(ROW()*1000,'01.2012'!$C$2:$E$57,3,0)</f>
        <v>#N/A</v>
      </c>
      <c r="B12" s="117">
        <v>2</v>
      </c>
      <c r="C12" s="112" t="str">
        <f t="array" aca="1" ref="C12" ca="1">IF($B12=$B$9,C$9,INDEX('01.2012'!$E$2:$E$57,SUMPRODUCT(($B12='01.2012'!$A$2:$A$57)*($E$3='01.2012'!$C$2:$C$57)*ROW('01.2012'!$A$2:$A$57))-1))</f>
        <v>Муратова Надежда</v>
      </c>
      <c r="D12" s="112">
        <f ca="1">IF($B12=$B$9,SUM(D$10:D11),ROUNDDOWN(INDEX('01.2012'!$AB$2:$AB$57,SUMPRODUCT(($B12='01.2012'!$A$2:$A$57)*($E$3='01.2012'!$C$2:$C$57)*ROW('01.2012'!$A$2:$A$57))-1),1))</f>
        <v>96.7</v>
      </c>
      <c r="E12" s="115"/>
      <c r="H12" s="149"/>
      <c r="I12" s="149"/>
      <c r="J12" s="149"/>
      <c r="K12" s="149"/>
      <c r="L12" s="149"/>
      <c r="M12" s="149"/>
      <c r="N12" s="149"/>
      <c r="O12" s="149"/>
    </row>
    <row r="13" spans="1:15" ht="15.75" customHeight="1">
      <c r="A13" s="111" t="e">
        <f>VLOOKUP(ROW()*1000,'01.2012'!$C$2:$E$57,3,0)</f>
        <v>#N/A</v>
      </c>
      <c r="B13" s="117">
        <v>3</v>
      </c>
      <c r="C13" s="112" t="str">
        <f t="array" aca="1" ref="C13" ca="1">IF($B13=$B$9,C$9,INDEX('01.2012'!$E$2:$E$57,SUMPRODUCT(($B13='01.2012'!$A$2:$A$57)*($E$3='01.2012'!$C$2:$C$57)*ROW('01.2012'!$A$2:$A$57))-1))</f>
        <v>Ходжаев С</v>
      </c>
      <c r="D13" s="112">
        <f ca="1">IF($B13=$B$9,SUM(D$10:D12),ROUNDDOWN(INDEX('01.2012'!$AB$2:$AB$57,SUMPRODUCT(($B13='01.2012'!$A$2:$A$57)*($E$3='01.2012'!$C$2:$C$57)*ROW('01.2012'!$A$2:$A$57))-1),1))</f>
        <v>96.7</v>
      </c>
      <c r="E13" s="115"/>
      <c r="H13" s="149"/>
      <c r="I13" s="149"/>
      <c r="J13" s="149"/>
      <c r="K13" s="149"/>
      <c r="L13" s="149"/>
      <c r="M13" s="149"/>
      <c r="N13" s="149"/>
      <c r="O13" s="149"/>
    </row>
    <row r="14" spans="1:15" ht="15.75" customHeight="1">
      <c r="A14" s="111" t="e">
        <f>VLOOKUP(ROW()*1000,'01.2012'!$C$2:$E$57,3,0)</f>
        <v>#N/A</v>
      </c>
      <c r="B14" s="117">
        <v>4</v>
      </c>
      <c r="C14" s="112" t="str">
        <f t="array" aca="1" ref="C14" ca="1">IF($B14=$B$9,C$9,INDEX('01.2012'!$E$2:$E$57,SUMPRODUCT(($B14='01.2012'!$A$2:$A$57)*($E$3='01.2012'!$C$2:$C$57)*ROW('01.2012'!$A$2:$A$57))-1))</f>
        <v>Итого:</v>
      </c>
      <c r="D14" s="112">
        <f ca="1">IF($B14=$B$9,SUM(D$10:D13),ROUNDDOWN(INDEX('01.2012'!$AB$2:$AB$57,SUMPRODUCT(($B14='01.2012'!$A$2:$A$57)*($E$3='01.2012'!$C$2:$C$57)*ROW('01.2012'!$A$2:$A$57))-1),1))</f>
        <v>290.10000000000002</v>
      </c>
      <c r="E14" s="115"/>
      <c r="H14" s="149"/>
      <c r="I14" s="149"/>
      <c r="J14" s="149"/>
      <c r="K14" s="149"/>
      <c r="L14" s="149"/>
      <c r="M14" s="149"/>
      <c r="N14" s="149"/>
      <c r="O14" s="149"/>
    </row>
    <row r="15" spans="1:15" ht="15.75" customHeight="1">
      <c r="A15" s="111" t="e">
        <f>VLOOKUP(ROW()*1000,'01.2012'!$C$2:$E$57,3,0)</f>
        <v>#N/A</v>
      </c>
      <c r="B15" s="117">
        <v>5</v>
      </c>
      <c r="C15" s="112" t="e">
        <f t="array" aca="1" ref="C15" ca="1">IF($B15=$B$9,C$9,INDEX('01.2012'!$E$2:$E$57,SUMPRODUCT(($B15='01.2012'!$A$2:$A$57)*($E$3='01.2012'!$C$2:$C$57)*ROW('01.2012'!$A$2:$A$57))-1))</f>
        <v>#VALUE!</v>
      </c>
      <c r="D15" s="112" t="e">
        <f ca="1">IF($B15=$B$9,SUM(D$10:D14),ROUNDDOWN(INDEX('01.2012'!$AB$2:$AB$57,SUMPRODUCT(($B15='01.2012'!$A$2:$A$57)*($E$3='01.2012'!$C$2:$C$57)*ROW('01.2012'!$A$2:$A$57))-1),1))</f>
        <v>#VALUE!</v>
      </c>
      <c r="E15" s="115"/>
      <c r="H15" s="149"/>
      <c r="I15" s="149"/>
      <c r="J15" s="149"/>
      <c r="K15" s="149"/>
      <c r="L15" s="149"/>
      <c r="M15" s="149"/>
      <c r="N15" s="149"/>
      <c r="O15" s="149"/>
    </row>
    <row r="16" spans="1:15" ht="15.75" customHeight="1">
      <c r="A16" s="111" t="e">
        <f>VLOOKUP(ROW()*1000,'01.2012'!$C$2:$E$57,3,0)</f>
        <v>#N/A</v>
      </c>
      <c r="B16" s="117">
        <v>6</v>
      </c>
      <c r="C16" s="112" t="e">
        <f t="array" aca="1" ref="C16" ca="1">IF($B16=$B$9,C$9,INDEX('01.2012'!$E$2:$E$57,SUMPRODUCT(($B16='01.2012'!$A$2:$A$57)*($E$3='01.2012'!$C$2:$C$57)*ROW('01.2012'!$A$2:$A$57))-1))</f>
        <v>#VALUE!</v>
      </c>
      <c r="D16" s="112" t="e">
        <f ca="1">IF($B16=$B$9,SUM(D$10:D15),ROUNDDOWN(INDEX('01.2012'!$AB$2:$AB$57,SUMPRODUCT(($B16='01.2012'!$A$2:$A$57)*($E$3='01.2012'!$C$2:$C$57)*ROW('01.2012'!$A$2:$A$57))-1),1))</f>
        <v>#VALUE!</v>
      </c>
      <c r="E16" s="115"/>
      <c r="H16" s="149"/>
      <c r="I16" s="149"/>
      <c r="J16" s="149"/>
      <c r="K16" s="149"/>
      <c r="L16" s="149"/>
      <c r="M16" s="149"/>
      <c r="N16" s="149"/>
      <c r="O16" s="149"/>
    </row>
    <row r="17" spans="1:15" ht="15.75" customHeight="1">
      <c r="A17" s="111" t="e">
        <f>VLOOKUP(ROW()*1000,'01.2012'!$C$2:$E$57,3,0)</f>
        <v>#N/A</v>
      </c>
      <c r="B17" s="117">
        <v>7</v>
      </c>
      <c r="C17" s="112" t="e">
        <f t="array" aca="1" ref="C17" ca="1">IF($B17=$B$9,C$9,INDEX('01.2012'!$E$2:$E$57,SUMPRODUCT(($B17='01.2012'!$A$2:$A$57)*($E$3='01.2012'!$C$2:$C$57)*ROW('01.2012'!$A$2:$A$57))-1))</f>
        <v>#VALUE!</v>
      </c>
      <c r="D17" s="112" t="e">
        <f ca="1">IF($B17=$B$9,SUM(D$10:D16),ROUNDDOWN(INDEX('01.2012'!$AB$2:$AB$57,SUMPRODUCT(($B17='01.2012'!$A$2:$A$57)*($E$3='01.2012'!$C$2:$C$57)*ROW('01.2012'!$A$2:$A$57))-1),1))</f>
        <v>#VALUE!</v>
      </c>
      <c r="E17" s="115"/>
      <c r="H17" s="149"/>
      <c r="I17" s="149"/>
      <c r="J17" s="149"/>
      <c r="K17" s="149"/>
      <c r="L17" s="149"/>
      <c r="M17" s="149"/>
      <c r="N17" s="149"/>
      <c r="O17" s="149"/>
    </row>
    <row r="18" spans="1:15" ht="15.75" customHeight="1">
      <c r="A18" s="111" t="e">
        <f>VLOOKUP(ROW()*1000,'01.2012'!$C$2:$E$57,3,0)</f>
        <v>#N/A</v>
      </c>
      <c r="B18" s="117">
        <v>8</v>
      </c>
      <c r="C18" s="112" t="e">
        <f t="array" aca="1" ref="C18" ca="1">IF($B18=$B$9,C$9,INDEX('01.2012'!$E$2:$E$57,SUMPRODUCT(($B18='01.2012'!$A$2:$A$57)*($E$3='01.2012'!$C$2:$C$57)*ROW('01.2012'!$A$2:$A$57))-1))</f>
        <v>#VALUE!</v>
      </c>
      <c r="D18" s="112" t="e">
        <f ca="1">IF($B18=$B$9,SUM(D$10:D17),ROUNDDOWN(INDEX('01.2012'!$AB$2:$AB$57,SUMPRODUCT(($B18='01.2012'!$A$2:$A$57)*($E$3='01.2012'!$C$2:$C$57)*ROW('01.2012'!$A$2:$A$57))-1),1))</f>
        <v>#VALUE!</v>
      </c>
      <c r="E18" s="115"/>
      <c r="H18" s="149"/>
      <c r="I18" s="149"/>
      <c r="J18" s="149"/>
      <c r="K18" s="149"/>
      <c r="L18" s="149"/>
      <c r="M18" s="149"/>
      <c r="N18" s="149"/>
      <c r="O18" s="149"/>
    </row>
    <row r="19" spans="1:15" ht="15.75" customHeight="1">
      <c r="A19" s="111" t="e">
        <f>VLOOKUP(ROW()*1000,'01.2012'!$C$2:$E$57,3,0)</f>
        <v>#N/A</v>
      </c>
      <c r="B19" s="117">
        <v>9</v>
      </c>
      <c r="C19" s="112" t="e">
        <f t="array" aca="1" ref="C19" ca="1">IF($B19=$B$9,C$9,INDEX('01.2012'!$E$2:$E$57,SUMPRODUCT(($B19='01.2012'!$A$2:$A$57)*($E$3='01.2012'!$C$2:$C$57)*ROW('01.2012'!$A$2:$A$57))-1))</f>
        <v>#VALUE!</v>
      </c>
      <c r="D19" s="112" t="e">
        <f ca="1">IF($B19=$B$9,SUM(D$10:D18),ROUNDDOWN(INDEX('01.2012'!$AB$2:$AB$57,SUMPRODUCT(($B19='01.2012'!$A$2:$A$57)*($E$3='01.2012'!$C$2:$C$57)*ROW('01.2012'!$A$2:$A$57))-1),1))</f>
        <v>#VALUE!</v>
      </c>
      <c r="E19" s="115"/>
      <c r="H19" s="149"/>
      <c r="I19" s="149"/>
      <c r="J19" s="149"/>
      <c r="K19" s="149"/>
      <c r="L19" s="149"/>
      <c r="M19" s="149"/>
      <c r="N19" s="149"/>
      <c r="O19" s="149"/>
    </row>
    <row r="20" spans="1:15" ht="15.75" customHeight="1">
      <c r="A20" s="111" t="e">
        <f>VLOOKUP(ROW()*1000,'01.2012'!$C$2:$E$57,3,0)</f>
        <v>#N/A</v>
      </c>
      <c r="B20" s="117">
        <v>10</v>
      </c>
      <c r="C20" s="112" t="e">
        <f t="array" aca="1" ref="C20" ca="1">IF($B20=$B$9,C$9,INDEX('01.2012'!$E$2:$E$57,SUMPRODUCT(($B20='01.2012'!$A$2:$A$57)*($E$3='01.2012'!$C$2:$C$57)*ROW('01.2012'!$A$2:$A$57))-1))</f>
        <v>#VALUE!</v>
      </c>
      <c r="D20" s="112" t="e">
        <f ca="1">IF($B20=$B$9,SUM(D$10:D19),ROUNDDOWN(INDEX('01.2012'!$AB$2:$AB$57,SUMPRODUCT(($B20='01.2012'!$A$2:$A$57)*($E$3='01.2012'!$C$2:$C$57)*ROW('01.2012'!$A$2:$A$57))-1),1))</f>
        <v>#VALUE!</v>
      </c>
      <c r="E20" s="115"/>
      <c r="H20" s="149"/>
      <c r="I20" s="149"/>
      <c r="J20" s="149"/>
      <c r="K20" s="149"/>
      <c r="L20" s="149"/>
      <c r="M20" s="149"/>
      <c r="N20" s="149"/>
      <c r="O20" s="149"/>
    </row>
    <row r="21" spans="1:15" ht="15.75" customHeight="1">
      <c r="A21" s="111" t="e">
        <f>VLOOKUP(ROW()*1000,'01.2012'!$C$2:$E$57,3,0)</f>
        <v>#N/A</v>
      </c>
      <c r="B21" s="117">
        <v>11</v>
      </c>
      <c r="C21" s="112" t="e">
        <f t="array" aca="1" ref="C21" ca="1">IF($B21=$B$9,C$9,INDEX('01.2012'!$E$2:$E$57,SUMPRODUCT(($B21='01.2012'!$A$2:$A$57)*($E$3='01.2012'!$C$2:$C$57)*ROW('01.2012'!$A$2:$A$57))-1))</f>
        <v>#VALUE!</v>
      </c>
      <c r="D21" s="112" t="e">
        <f ca="1">IF($B21=$B$9,SUM(D$10:D20),ROUNDDOWN(INDEX('01.2012'!$AB$2:$AB$57,SUMPRODUCT(($B21='01.2012'!$A$2:$A$57)*($E$3='01.2012'!$C$2:$C$57)*ROW('01.2012'!$A$2:$A$57))-1),1))</f>
        <v>#VALUE!</v>
      </c>
      <c r="E21" s="115"/>
      <c r="H21" s="149"/>
      <c r="I21" s="149"/>
      <c r="J21" s="149"/>
      <c r="K21" s="149"/>
      <c r="L21" s="149"/>
      <c r="M21" s="149"/>
      <c r="N21" s="149"/>
      <c r="O21" s="149"/>
    </row>
    <row r="22" spans="1:15" ht="15.75" customHeight="1">
      <c r="A22" s="111" t="e">
        <f>VLOOKUP(ROW()*1000,'01.2012'!$C$2:$E$57,3,0)</f>
        <v>#N/A</v>
      </c>
      <c r="B22" s="117">
        <v>12</v>
      </c>
      <c r="C22" s="112" t="e">
        <f t="array" aca="1" ref="C22" ca="1">IF($B22=$B$9,C$9,INDEX('01.2012'!$E$2:$E$57,SUMPRODUCT(($B22='01.2012'!$A$2:$A$57)*($E$3='01.2012'!$C$2:$C$57)*ROW('01.2012'!$A$2:$A$57))-1))</f>
        <v>#VALUE!</v>
      </c>
      <c r="D22" s="112" t="e">
        <f ca="1">IF($B22=$B$9,SUM(D$10:D21),ROUNDDOWN(INDEX('01.2012'!$AB$2:$AB$57,SUMPRODUCT(($B22='01.2012'!$A$2:$A$57)*($E$3='01.2012'!$C$2:$C$57)*ROW('01.2012'!$A$2:$A$57))-1),1))</f>
        <v>#VALUE!</v>
      </c>
      <c r="E22" s="115"/>
      <c r="H22" s="149"/>
      <c r="I22" s="149"/>
      <c r="J22" s="149"/>
      <c r="K22" s="149"/>
      <c r="L22" s="149"/>
      <c r="M22" s="149"/>
      <c r="N22" s="149"/>
      <c r="O22" s="149"/>
    </row>
    <row r="23" spans="1:15" ht="15.75" customHeight="1">
      <c r="A23" s="111" t="e">
        <f>VLOOKUP(ROW()*1000,'01.2012'!$C$2:$E$57,3,0)</f>
        <v>#N/A</v>
      </c>
      <c r="B23" s="117">
        <v>13</v>
      </c>
      <c r="C23" s="112" t="e">
        <f t="array" aca="1" ref="C23" ca="1">IF($B23=$B$9,C$9,INDEX('01.2012'!$E$2:$E$57,SUMPRODUCT(($B23='01.2012'!$A$2:$A$57)*($E$3='01.2012'!$C$2:$C$57)*ROW('01.2012'!$A$2:$A$57))-1))</f>
        <v>#VALUE!</v>
      </c>
      <c r="D23" s="112" t="e">
        <f ca="1">IF($B23=$B$9,SUM(D$10:D22),ROUNDDOWN(INDEX('01.2012'!$AB$2:$AB$57,SUMPRODUCT(($B23='01.2012'!$A$2:$A$57)*($E$3='01.2012'!$C$2:$C$57)*ROW('01.2012'!$A$2:$A$57))-1),1))</f>
        <v>#VALUE!</v>
      </c>
      <c r="E23" s="115"/>
      <c r="H23" s="149"/>
      <c r="I23" s="149"/>
      <c r="J23" s="149"/>
      <c r="K23" s="149"/>
      <c r="L23" s="149"/>
      <c r="M23" s="149"/>
      <c r="N23" s="149"/>
      <c r="O23" s="149"/>
    </row>
    <row r="24" spans="1:15" ht="15.75" customHeight="1">
      <c r="A24" s="111" t="e">
        <f>VLOOKUP(ROW()*1000,'01.2012'!$C$2:$E$57,3,0)</f>
        <v>#N/A</v>
      </c>
      <c r="B24" s="117">
        <v>14</v>
      </c>
      <c r="C24" s="112" t="e">
        <f t="array" aca="1" ref="C24" ca="1">IF($B24=$B$9,C$9,INDEX('01.2012'!$E$2:$E$57,SUMPRODUCT(($B24='01.2012'!$A$2:$A$57)*($E$3='01.2012'!$C$2:$C$57)*ROW('01.2012'!$A$2:$A$57))-1))</f>
        <v>#VALUE!</v>
      </c>
      <c r="D24" s="112" t="e">
        <f ca="1">IF($B24=$B$9,SUM(D$10:D23),ROUNDDOWN(INDEX('01.2012'!$AB$2:$AB$57,SUMPRODUCT(($B24='01.2012'!$A$2:$A$57)*($E$3='01.2012'!$C$2:$C$57)*ROW('01.2012'!$A$2:$A$57))-1),1))</f>
        <v>#VALUE!</v>
      </c>
      <c r="E24" s="115"/>
      <c r="H24" s="149"/>
      <c r="I24" s="149"/>
      <c r="J24" s="149"/>
      <c r="K24" s="149"/>
      <c r="L24" s="149"/>
      <c r="M24" s="149"/>
      <c r="N24" s="149"/>
      <c r="O24" s="149"/>
    </row>
    <row r="25" spans="1:15" ht="15.75" customHeight="1">
      <c r="A25" s="111" t="e">
        <f>VLOOKUP(ROW()*1000,'01.2012'!$C$2:$E$57,3,0)</f>
        <v>#N/A</v>
      </c>
      <c r="B25" s="117">
        <v>15</v>
      </c>
      <c r="C25" s="112" t="e">
        <f t="array" aca="1" ref="C25" ca="1">IF($B25=$B$9,C$9,INDEX('01.2012'!$E$2:$E$57,SUMPRODUCT(($B25='01.2012'!$A$2:$A$57)*($E$3='01.2012'!$C$2:$C$57)*ROW('01.2012'!$A$2:$A$57))-1))</f>
        <v>#VALUE!</v>
      </c>
      <c r="D25" s="112" t="e">
        <f ca="1">IF($B25=$B$9,SUM(D$10:D24),ROUNDDOWN(INDEX('01.2012'!$AB$2:$AB$57,SUMPRODUCT(($B25='01.2012'!$A$2:$A$57)*($E$3='01.2012'!$C$2:$C$57)*ROW('01.2012'!$A$2:$A$57))-1),1))</f>
        <v>#VALUE!</v>
      </c>
      <c r="E25" s="115"/>
      <c r="H25" s="149"/>
      <c r="I25" s="149"/>
      <c r="J25" s="149"/>
      <c r="K25" s="149"/>
      <c r="L25" s="149"/>
      <c r="M25" s="149"/>
      <c r="N25" s="149"/>
      <c r="O25" s="149"/>
    </row>
    <row r="26" spans="1:15" ht="15.75" customHeight="1">
      <c r="B26" s="117">
        <v>16</v>
      </c>
      <c r="C26" s="112" t="e">
        <f t="array" aca="1" ref="C26" ca="1">IF($B26=$B$9,C$9,INDEX('01.2012'!$E$2:$E$57,SUMPRODUCT(($B26='01.2012'!$A$2:$A$57)*($E$3='01.2012'!$C$2:$C$57)*ROW('01.2012'!$A$2:$A$57))-1))</f>
        <v>#VALUE!</v>
      </c>
      <c r="D26" s="112" t="e">
        <f ca="1">IF($B26=$B$9,SUM(D$10:D25),ROUNDDOWN(INDEX('01.2012'!$AB$2:$AB$57,SUMPRODUCT(($B26='01.2012'!$A$2:$A$57)*($E$3='01.2012'!$C$2:$C$57)*ROW('01.2012'!$A$2:$A$57))-1),1))</f>
        <v>#VALUE!</v>
      </c>
      <c r="E26" s="115"/>
      <c r="H26" s="149"/>
      <c r="I26" s="149"/>
      <c r="J26" s="149"/>
      <c r="K26" s="149"/>
      <c r="L26" s="149"/>
      <c r="M26" s="149"/>
      <c r="N26" s="149"/>
      <c r="O26" s="149"/>
    </row>
    <row r="27" spans="1:15" ht="15.75" customHeight="1">
      <c r="B27" s="117">
        <v>17</v>
      </c>
      <c r="C27" s="112" t="e">
        <f t="array" aca="1" ref="C27" ca="1">IF($B27=$B$9,C$9,INDEX('01.2012'!$E$2:$E$57,SUMPRODUCT(($B27='01.2012'!$A$2:$A$57)*($E$3='01.2012'!$C$2:$C$57)*ROW('01.2012'!$A$2:$A$57))-1))</f>
        <v>#VALUE!</v>
      </c>
      <c r="D27" s="112" t="e">
        <f ca="1">IF($B27=$B$9,SUM(D$10:D26),ROUNDDOWN(INDEX('01.2012'!$AB$2:$AB$57,SUMPRODUCT(($B27='01.2012'!$A$2:$A$57)*($E$3='01.2012'!$C$2:$C$57)*ROW('01.2012'!$A$2:$A$57))-1),1))</f>
        <v>#VALUE!</v>
      </c>
      <c r="E27" s="115"/>
      <c r="H27" s="149"/>
      <c r="I27" s="149"/>
      <c r="J27" s="149"/>
      <c r="K27" s="149"/>
      <c r="L27" s="149"/>
      <c r="M27" s="149"/>
      <c r="N27" s="149"/>
      <c r="O27" s="149"/>
    </row>
    <row r="28" spans="1:15" ht="15.75" customHeight="1">
      <c r="B28" s="117">
        <v>18</v>
      </c>
      <c r="C28" s="112" t="e">
        <f t="array" aca="1" ref="C28" ca="1">IF($B28=$B$9,C$9,INDEX('01.2012'!$E$2:$E$57,SUMPRODUCT(($B28='01.2012'!$A$2:$A$57)*($E$3='01.2012'!$C$2:$C$57)*ROW('01.2012'!$A$2:$A$57))-1))</f>
        <v>#VALUE!</v>
      </c>
      <c r="D28" s="112" t="e">
        <f ca="1">IF($B28=$B$9,SUM(D$10:D27),ROUNDDOWN(INDEX('01.2012'!$AB$2:$AB$57,SUMPRODUCT(($B28='01.2012'!$A$2:$A$57)*($E$3='01.2012'!$C$2:$C$57)*ROW('01.2012'!$A$2:$A$57))-1),1))</f>
        <v>#VALUE!</v>
      </c>
      <c r="E28" s="115"/>
      <c r="H28" s="149"/>
      <c r="I28" s="149"/>
      <c r="J28" s="149"/>
      <c r="K28" s="149"/>
      <c r="L28" s="149"/>
      <c r="M28" s="149"/>
      <c r="N28" s="149"/>
      <c r="O28" s="149"/>
    </row>
    <row r="29" spans="1:15" ht="15.75" customHeight="1">
      <c r="B29" s="117">
        <v>19</v>
      </c>
      <c r="C29" s="112" t="e">
        <f t="array" aca="1" ref="C29" ca="1">IF($B29=$B$9,C$9,INDEX('01.2012'!$E$2:$E$57,SUMPRODUCT(($B29='01.2012'!$A$2:$A$57)*($E$3='01.2012'!$C$2:$C$57)*ROW('01.2012'!$A$2:$A$57))-1))</f>
        <v>#VALUE!</v>
      </c>
      <c r="D29" s="112" t="e">
        <f ca="1">IF($B29=$B$9,SUM(D$10:D28),ROUNDDOWN(INDEX('01.2012'!$AB$2:$AB$57,SUMPRODUCT(($B29='01.2012'!$A$2:$A$57)*($E$3='01.2012'!$C$2:$C$57)*ROW('01.2012'!$A$2:$A$57))-1),1))</f>
        <v>#VALUE!</v>
      </c>
      <c r="E29" s="115"/>
      <c r="H29" s="149"/>
      <c r="I29" s="149"/>
      <c r="J29" s="149"/>
      <c r="K29" s="149"/>
      <c r="L29" s="149"/>
      <c r="M29" s="149"/>
      <c r="N29" s="149"/>
      <c r="O29" s="149"/>
    </row>
    <row r="30" spans="1:15" ht="15.75" customHeight="1">
      <c r="B30" s="117">
        <v>20</v>
      </c>
      <c r="C30" s="112" t="e">
        <f t="array" aca="1" ref="C30" ca="1">IF($B30=$B$9,C$9,INDEX('01.2012'!$E$2:$E$57,SUMPRODUCT(($B30='01.2012'!$A$2:$A$57)*($E$3='01.2012'!$C$2:$C$57)*ROW('01.2012'!$A$2:$A$57))-1))</f>
        <v>#VALUE!</v>
      </c>
      <c r="D30" s="112" t="e">
        <f ca="1">IF($B30=$B$9,SUM(D$10:D29),ROUNDDOWN(INDEX('01.2012'!$AB$2:$AB$57,SUMPRODUCT(($B30='01.2012'!$A$2:$A$57)*($E$3='01.2012'!$C$2:$C$57)*ROW('01.2012'!$A$2:$A$57))-1),1))</f>
        <v>#VALUE!</v>
      </c>
      <c r="E30" s="115"/>
      <c r="H30" s="149"/>
      <c r="I30" s="149"/>
      <c r="J30" s="149"/>
      <c r="K30" s="149"/>
      <c r="L30" s="149"/>
      <c r="M30" s="149"/>
      <c r="N30" s="149"/>
      <c r="O30" s="149"/>
    </row>
    <row r="31" spans="1:15" ht="15.75" customHeight="1">
      <c r="B31" s="117">
        <v>21</v>
      </c>
      <c r="C31" s="112" t="e">
        <f t="array" aca="1" ref="C31" ca="1">IF($B31=$B$9,C$9,INDEX('01.2012'!$E$2:$E$57,SUMPRODUCT(($B31='01.2012'!$A$2:$A$57)*($E$3='01.2012'!$C$2:$C$57)*ROW('01.2012'!$A$2:$A$57))-1))</f>
        <v>#VALUE!</v>
      </c>
      <c r="D31" s="112" t="e">
        <f ca="1">IF($B31=$B$9,SUM(D$10:D30),ROUNDDOWN(INDEX('01.2012'!$AB$2:$AB$57,SUMPRODUCT(($B31='01.2012'!$A$2:$A$57)*($E$3='01.2012'!$C$2:$C$57)*ROW('01.2012'!$A$2:$A$57))-1),1))</f>
        <v>#VALUE!</v>
      </c>
      <c r="E31" s="115"/>
      <c r="H31" s="149"/>
      <c r="I31" s="149"/>
      <c r="J31" s="149"/>
      <c r="K31" s="149"/>
      <c r="L31" s="149"/>
      <c r="M31" s="149"/>
      <c r="N31" s="149"/>
      <c r="O31" s="149"/>
    </row>
    <row r="32" spans="1:15" ht="15.75" customHeight="1">
      <c r="B32" s="117">
        <v>22</v>
      </c>
      <c r="C32" s="112" t="e">
        <f t="array" aca="1" ref="C32" ca="1">IF($B32=$B$9,C$9,INDEX('01.2012'!$E$2:$E$57,SUMPRODUCT(($B32='01.2012'!$A$2:$A$57)*($E$3='01.2012'!$C$2:$C$57)*ROW('01.2012'!$A$2:$A$57))-1))</f>
        <v>#VALUE!</v>
      </c>
      <c r="D32" s="112" t="e">
        <f ca="1">IF($B32=$B$9,SUM(D$10:D31),ROUNDDOWN(INDEX('01.2012'!$AB$2:$AB$57,SUMPRODUCT(($B32='01.2012'!$A$2:$A$57)*($E$3='01.2012'!$C$2:$C$57)*ROW('01.2012'!$A$2:$A$57))-1),1))</f>
        <v>#VALUE!</v>
      </c>
      <c r="E32" s="115"/>
      <c r="H32" s="149"/>
      <c r="I32" s="149"/>
      <c r="J32" s="149"/>
      <c r="K32" s="149"/>
      <c r="L32" s="149"/>
      <c r="M32" s="149"/>
      <c r="N32" s="149"/>
      <c r="O32" s="149"/>
    </row>
    <row r="33" spans="2:15" ht="15.75" customHeight="1">
      <c r="B33" s="117">
        <v>23</v>
      </c>
      <c r="C33" s="112" t="e">
        <f t="array" aca="1" ref="C33" ca="1">IF($B33=$B$9,C$9,INDEX('01.2012'!$E$2:$E$57,SUMPRODUCT(($B33='01.2012'!$A$2:$A$57)*($E$3='01.2012'!$C$2:$C$57)*ROW('01.2012'!$A$2:$A$57))-1))</f>
        <v>#VALUE!</v>
      </c>
      <c r="D33" s="112" t="e">
        <f ca="1">IF($B33=$B$9,SUM(D$10:D32),ROUNDDOWN(INDEX('01.2012'!$AB$2:$AB$57,SUMPRODUCT(($B33='01.2012'!$A$2:$A$57)*($E$3='01.2012'!$C$2:$C$57)*ROW('01.2012'!$A$2:$A$57))-1),1))</f>
        <v>#VALUE!</v>
      </c>
      <c r="E33" s="115"/>
      <c r="H33" s="149"/>
      <c r="I33" s="149"/>
      <c r="J33" s="149"/>
      <c r="K33" s="149"/>
      <c r="L33" s="149"/>
      <c r="M33" s="149"/>
      <c r="N33" s="149"/>
      <c r="O33" s="149"/>
    </row>
    <row r="34" spans="2:15" ht="15.75" customHeight="1">
      <c r="B34" s="117">
        <v>24</v>
      </c>
      <c r="C34" s="112" t="e">
        <f t="array" aca="1" ref="C34" ca="1">IF($B34=$B$9,C$9,INDEX('01.2012'!$E$2:$E$57,SUMPRODUCT(($B34='01.2012'!$A$2:$A$57)*($E$3='01.2012'!$C$2:$C$57)*ROW('01.2012'!$A$2:$A$57))-1))</f>
        <v>#VALUE!</v>
      </c>
      <c r="D34" s="112" t="e">
        <f ca="1">IF($B34=$B$9,SUM(D$10:D33),ROUNDDOWN(INDEX('01.2012'!$AB$2:$AB$57,SUMPRODUCT(($B34='01.2012'!$A$2:$A$57)*($E$3='01.2012'!$C$2:$C$57)*ROW('01.2012'!$A$2:$A$57))-1),1))</f>
        <v>#VALUE!</v>
      </c>
      <c r="E34" s="115"/>
      <c r="H34" s="149"/>
      <c r="I34" s="149"/>
      <c r="J34" s="149"/>
      <c r="K34" s="149"/>
      <c r="L34" s="149"/>
      <c r="M34" s="149"/>
      <c r="N34" s="149"/>
      <c r="O34" s="149"/>
    </row>
    <row r="35" spans="2:15" ht="15.75" customHeight="1">
      <c r="B35" s="117">
        <v>25</v>
      </c>
      <c r="C35" s="112" t="e">
        <f t="array" aca="1" ref="C35" ca="1">IF($B35=$B$9,C$9,INDEX('01.2012'!$E$2:$E$57,SUMPRODUCT(($B35='01.2012'!$A$2:$A$57)*($E$3='01.2012'!$C$2:$C$57)*ROW('01.2012'!$A$2:$A$57))-1))</f>
        <v>#VALUE!</v>
      </c>
      <c r="D35" s="112" t="e">
        <f ca="1">IF($B35=$B$9,SUM(D$10:D34),ROUNDDOWN(INDEX('01.2012'!$AB$2:$AB$57,SUMPRODUCT(($B35='01.2012'!$A$2:$A$57)*($E$3='01.2012'!$C$2:$C$57)*ROW('01.2012'!$A$2:$A$57))-1),1))</f>
        <v>#VALUE!</v>
      </c>
      <c r="E35" s="115"/>
      <c r="H35" s="149"/>
      <c r="I35" s="149"/>
      <c r="J35" s="149"/>
      <c r="K35" s="149"/>
      <c r="L35" s="149"/>
      <c r="M35" s="149"/>
      <c r="N35" s="149"/>
      <c r="O35" s="149"/>
    </row>
    <row r="36" spans="2:15" ht="15.75" customHeight="1">
      <c r="B36" s="117">
        <v>26</v>
      </c>
      <c r="C36" s="112" t="e">
        <f t="array" aca="1" ref="C36" ca="1">IF($B36=$B$9,C$9,INDEX('01.2012'!$E$2:$E$57,SUMPRODUCT(($B36='01.2012'!$A$2:$A$57)*($E$3='01.2012'!$C$2:$C$57)*ROW('01.2012'!$A$2:$A$57))-1))</f>
        <v>#VALUE!</v>
      </c>
      <c r="D36" s="112" t="e">
        <f ca="1">IF($B36=$B$9,SUM(D$10:D35),ROUNDDOWN(INDEX('01.2012'!$AB$2:$AB$57,SUMPRODUCT(($B36='01.2012'!$A$2:$A$57)*($E$3='01.2012'!$C$2:$C$57)*ROW('01.2012'!$A$2:$A$57))-1),1))</f>
        <v>#VALUE!</v>
      </c>
      <c r="E36" s="115"/>
    </row>
    <row r="37" spans="2:15" ht="15.75" customHeight="1">
      <c r="B37" s="117">
        <v>27</v>
      </c>
      <c r="C37" s="112" t="e">
        <f t="array" aca="1" ref="C37" ca="1">IF($B37=$B$9,C$9,INDEX('01.2012'!$E$2:$E$57,SUMPRODUCT(($B37='01.2012'!$A$2:$A$57)*($E$3='01.2012'!$C$2:$C$57)*ROW('01.2012'!$A$2:$A$57))-1))</f>
        <v>#VALUE!</v>
      </c>
      <c r="D37" s="112" t="e">
        <f ca="1">IF($B37=$B$9,SUM(D$10:D36),ROUNDDOWN(INDEX('01.2012'!$AB$2:$AB$57,SUMPRODUCT(($B37='01.2012'!$A$2:$A$57)*($E$3='01.2012'!$C$2:$C$57)*ROW('01.2012'!$A$2:$A$57))-1),1))</f>
        <v>#VALUE!</v>
      </c>
      <c r="E37" s="115"/>
    </row>
    <row r="38" spans="2:15" ht="15.75" customHeight="1">
      <c r="B38" s="117">
        <v>28</v>
      </c>
      <c r="C38" s="112" t="e">
        <f t="array" aca="1" ref="C38" ca="1">IF($B38=$B$9,C$9,INDEX('01.2012'!$E$2:$E$57,SUMPRODUCT(($B38='01.2012'!$A$2:$A$57)*($E$3='01.2012'!$C$2:$C$57)*ROW('01.2012'!$A$2:$A$57))-1))</f>
        <v>#VALUE!</v>
      </c>
      <c r="D38" s="112" t="e">
        <f ca="1">IF($B38=$B$9,SUM(D$10:D37),ROUNDDOWN(INDEX('01.2012'!$AB$2:$AB$57,SUMPRODUCT(($B38='01.2012'!$A$2:$A$57)*($E$3='01.2012'!$C$2:$C$57)*ROW('01.2012'!$A$2:$A$57))-1),1))</f>
        <v>#VALUE!</v>
      </c>
      <c r="E38" s="115"/>
    </row>
    <row r="39" spans="2:15" ht="15.75" customHeight="1">
      <c r="B39" s="117">
        <v>29</v>
      </c>
      <c r="C39" s="112" t="e">
        <f t="array" aca="1" ref="C39" ca="1">IF($B39=$B$9,C$9,INDEX('01.2012'!$E$2:$E$57,SUMPRODUCT(($B39='01.2012'!$A$2:$A$57)*($E$3='01.2012'!$C$2:$C$57)*ROW('01.2012'!$A$2:$A$57))-1))</f>
        <v>#VALUE!</v>
      </c>
      <c r="D39" s="112" t="e">
        <f ca="1">IF($B39=$B$9,SUM(D$10:D38),ROUNDDOWN(INDEX('01.2012'!$AB$2:$AB$57,SUMPRODUCT(($B39='01.2012'!$A$2:$A$57)*($E$3='01.2012'!$C$2:$C$57)*ROW('01.2012'!$A$2:$A$57))-1),1))</f>
        <v>#VALUE!</v>
      </c>
      <c r="E39" s="115"/>
    </row>
    <row r="40" spans="2:15" ht="15.75" customHeight="1">
      <c r="B40" s="118">
        <v>30</v>
      </c>
      <c r="C40" s="112" t="e">
        <f t="array" aca="1" ref="C40" ca="1">IF($B40=$B$9,C$9,INDEX('01.2012'!$E$2:$E$57,SUMPRODUCT(($B40='01.2012'!$A$2:$A$57)*($E$3='01.2012'!$C$2:$C$57)*ROW('01.2012'!$A$2:$A$57))-1))</f>
        <v>#VALUE!</v>
      </c>
      <c r="D40" s="112" t="e">
        <f ca="1">IF($B40=$B$9,SUM(D$10:D39),ROUNDDOWN(INDEX('01.2012'!$AB$2:$AB$57,SUMPRODUCT(($B40='01.2012'!$A$2:$A$57)*($E$3='01.2012'!$C$2:$C$57)*ROW('01.2012'!$A$2:$A$57))-1),1))</f>
        <v>#VALUE!</v>
      </c>
      <c r="E40" s="116"/>
    </row>
    <row r="41" spans="2:15">
      <c r="C41" s="6"/>
    </row>
  </sheetData>
  <mergeCells count="4">
    <mergeCell ref="B7:E7"/>
    <mergeCell ref="B8:E8"/>
    <mergeCell ref="H9:O35"/>
    <mergeCell ref="C4:E4"/>
  </mergeCells>
  <conditionalFormatting sqref="B11:E40">
    <cfRule type="expression" dxfId="13" priority="2">
      <formula>$B11=$B$9</formula>
    </cfRule>
    <cfRule type="expression" dxfId="12" priority="4">
      <formula>ISERROR($C11)</formula>
    </cfRule>
  </conditionalFormatting>
  <conditionalFormatting sqref="B11:B40">
    <cfRule type="expression" dxfId="11" priority="1">
      <formula>B11&gt;=$B$9</formula>
    </cfRule>
  </conditionalFormatting>
  <dataValidations count="1">
    <dataValidation type="list" allowBlank="1" showInputMessage="1" showErrorMessage="1" sqref="C4">
      <formula1>Отдел</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topLeftCell="B7" workbookViewId="0">
      <selection activeCell="I19" sqref="I19"/>
    </sheetView>
  </sheetViews>
  <sheetFormatPr defaultRowHeight="12.75"/>
  <cols>
    <col min="1" max="1" width="9.140625" style="119" hidden="1" customWidth="1"/>
    <col min="2" max="2" width="9.140625" style="119"/>
    <col min="3" max="3" width="26.42578125" style="119" customWidth="1"/>
    <col min="4" max="4" width="10.140625" style="119" customWidth="1"/>
    <col min="5" max="5" width="20.28515625" style="119" bestFit="1" customWidth="1"/>
    <col min="6" max="6" width="9.140625" style="119"/>
    <col min="8" max="16384" width="9.140625" style="6"/>
  </cols>
  <sheetData>
    <row r="1" spans="1:5">
      <c r="A1" s="111" t="str">
        <f>VLOOKUP(ROW()*1000,'01.2012'!$C$2:$E$57,3,0)</f>
        <v>УПРАВЛЕНИЕ</v>
      </c>
    </row>
    <row r="2" spans="1:5">
      <c r="A2" s="111" t="str">
        <f>VLOOKUP(ROW()*1000,'01.2012'!$C$2:$E$57,3,0)</f>
        <v>ОТДЕЛ КАДРОВ</v>
      </c>
      <c r="E2" s="119" t="s">
        <v>99</v>
      </c>
    </row>
    <row r="3" spans="1:5">
      <c r="A3" s="111" t="str">
        <f>VLOOKUP(ROW()*1000,'01.2012'!$C$2:$E$57,3,0)</f>
        <v>БУХГАЛТЕРИЯ И ФИНАНСЫ</v>
      </c>
    </row>
    <row r="4" spans="1:5">
      <c r="A4" s="111" t="str">
        <f>VLOOKUP(ROW()*1000,'01.2012'!$C$2:$E$57,3,0)</f>
        <v>ОТДЕЛ АНАЛИЗА И ЭКОНОМИКИ</v>
      </c>
      <c r="C4" s="151" t="s">
        <v>103</v>
      </c>
      <c r="D4" s="151"/>
      <c r="E4" s="151"/>
    </row>
    <row r="5" spans="1:5">
      <c r="A5" s="111" t="str">
        <f>VLOOKUP(ROW()*1000,'01.2012'!$C$2:$E$57,3,0)</f>
        <v>ОТДЕЛ ПО НАУКЕ</v>
      </c>
    </row>
    <row r="6" spans="1:5">
      <c r="A6" s="111" t="str">
        <f>VLOOKUP(ROW()*1000,'01.2012'!$C$2:$E$57,3,0)</f>
        <v>ОТДЕЛ 1</v>
      </c>
    </row>
    <row r="7" spans="1:5" ht="15">
      <c r="A7" s="111" t="str">
        <f>VLOOKUP(ROW()*1000,'01.2012'!$C$2:$E$57,3,0)</f>
        <v>ОТДЕЛ 2</v>
      </c>
      <c r="B7" s="148" t="s">
        <v>95</v>
      </c>
      <c r="C7" s="148"/>
      <c r="D7" s="148"/>
      <c r="E7" s="148"/>
    </row>
    <row r="8" spans="1:5" ht="15">
      <c r="A8" s="111" t="e">
        <f>VLOOKUP(ROW()*1000,'01.2012'!$C$2:$E$57,3,0)</f>
        <v>#N/A</v>
      </c>
      <c r="B8" s="148" t="s">
        <v>96</v>
      </c>
      <c r="C8" s="148"/>
      <c r="D8" s="148"/>
      <c r="E8" s="148"/>
    </row>
    <row r="9" spans="1:5" ht="12.75" customHeight="1">
      <c r="A9" s="111" t="e">
        <f>VLOOKUP(ROW()*1000,'01.2012'!$C$2:$E$57,3,0)</f>
        <v>#N/A</v>
      </c>
      <c r="B9" s="111">
        <f t="array" ref="B9">SUMPRODUCT(ISNUMBER(1/(MATCH('01.2012'!$E$2:$E$57,'01.2012'!$E$2:$E$57,0)=ROW('01.2012'!$E$2:$E$57)-1))*ISNUMBER('01.2012'!$D$2:$D$57)*(SUMIF('01.2012'!$E$2:$E$57,'01.2012'!$E$2:$E$57,'01.2012'!$AB$2:$AB$57)&gt;0))+1</f>
        <v>29</v>
      </c>
      <c r="C9" s="111" t="s">
        <v>81</v>
      </c>
    </row>
    <row r="10" spans="1:5" ht="12.75" customHeight="1">
      <c r="A10" s="111" t="e">
        <f>VLOOKUP(ROW()*1000,'01.2012'!$C$2:$E$57,3,0)</f>
        <v>#N/A</v>
      </c>
      <c r="B10" s="113" t="s">
        <v>17</v>
      </c>
      <c r="C10" s="101" t="s">
        <v>43</v>
      </c>
      <c r="D10" s="101" t="s">
        <v>97</v>
      </c>
      <c r="E10" s="114" t="s">
        <v>98</v>
      </c>
    </row>
    <row r="11" spans="1:5" ht="15.75" customHeight="1">
      <c r="A11" s="111" t="e">
        <f>VLOOKUP(ROW()*1000,'01.2012'!$C$2:$E$57,3,0)</f>
        <v>#N/A</v>
      </c>
      <c r="B11" s="117">
        <f>IF(ISTEXT(C10),SUM(B10,1),"")</f>
        <v>1</v>
      </c>
      <c r="C11" s="112" t="str">
        <f t="array" ref="C11">IF(B11=$B$9,$C$9,INDEX('01.2012'!$E$2:$E$57,SMALL(IF(ISNUMBER(1/(MATCH('01.2012'!$E$2:$E$57,'01.2012'!$E$2:$E$57,0)=ROW('01.2012'!$E$2:$E$57)-1))*ISNUMBER('01.2012'!$D$2:$D$57)*(SUMIF('01.2012'!$E$2:$E$57,'01.2012'!$E$2:$E$57,'01.2012'!$AB$2:$AB$57)&gt;0),ROW('01.2012'!$E$2:$E$57)-1,""),ROW()-ROW($C$10))))</f>
        <v>Наимов Сафар</v>
      </c>
      <c r="D11" s="120">
        <f>IF($B11=$B$9,SUM(D$10:D10),SUMIF('01.2012'!$E$2:$E$57,C11,'01.2012'!$AB$2:$AB$57))</f>
        <v>208.52</v>
      </c>
      <c r="E11" s="115"/>
    </row>
    <row r="12" spans="1:5" ht="15.75" customHeight="1">
      <c r="A12" s="111" t="e">
        <f>VLOOKUP(ROW()*1000,'01.2012'!$C$2:$E$57,3,0)</f>
        <v>#N/A</v>
      </c>
      <c r="B12" s="117">
        <f t="shared" ref="B12:B49" si="0">IF(ISTEXT(C11),SUM(B11,1),"")</f>
        <v>2</v>
      </c>
      <c r="C12" s="112" t="str">
        <f t="array" ref="C12">IF(B12=$B$9,$C$9,INDEX('01.2012'!$E$2:$E$57,SMALL(IF(ISNUMBER(1/(MATCH('01.2012'!$E$2:$E$57,'01.2012'!$E$2:$E$57,0)=ROW('01.2012'!$E$2:$E$57)-1))*ISNUMBER('01.2012'!$D$2:$D$57)*(SUMIF('01.2012'!$E$2:$E$57,'01.2012'!$E$2:$E$57,'01.2012'!$AB$2:$AB$57)&gt;0),ROW('01.2012'!$E$2:$E$57)-1,""),ROW()-ROW($C$10))))</f>
        <v>Муратов Акбар</v>
      </c>
      <c r="D12" s="120">
        <f>IF($B12=$B$9,SUM(D$10:D11),SUMIF('01.2012'!$E$2:$E$57,C12,'01.2012'!$AB$2:$AB$57))</f>
        <v>215.01</v>
      </c>
      <c r="E12" s="115"/>
    </row>
    <row r="13" spans="1:5" ht="15.75" customHeight="1">
      <c r="A13" s="111" t="e">
        <f>VLOOKUP(ROW()*1000,'01.2012'!$C$2:$E$57,3,0)</f>
        <v>#N/A</v>
      </c>
      <c r="B13" s="117">
        <f t="shared" si="0"/>
        <v>3</v>
      </c>
      <c r="C13" s="112" t="str">
        <f t="array" ref="C13">IF(B13=$B$9,$C$9,INDEX('01.2012'!$E$2:$E$57,SMALL(IF(ISNUMBER(1/(MATCH('01.2012'!$E$2:$E$57,'01.2012'!$E$2:$E$57,0)=ROW('01.2012'!$E$2:$E$57)-1))*ISNUMBER('01.2012'!$D$2:$D$57)*(SUMIF('01.2012'!$E$2:$E$57,'01.2012'!$E$2:$E$57,'01.2012'!$AB$2:$AB$57)&gt;0),ROW('01.2012'!$E$2:$E$57)-1,""),ROW()-ROW($C$10))))</f>
        <v>Сафаров Собир</v>
      </c>
      <c r="D13" s="120">
        <f>IF($B13=$B$9,SUM(D$10:D12),SUMIF('01.2012'!$E$2:$E$57,C13,'01.2012'!$AB$2:$AB$57))</f>
        <v>176.25</v>
      </c>
      <c r="E13" s="115"/>
    </row>
    <row r="14" spans="1:5" ht="15.75" customHeight="1">
      <c r="A14" s="111" t="e">
        <f>VLOOKUP(ROW()*1000,'01.2012'!$C$2:$E$57,3,0)</f>
        <v>#N/A</v>
      </c>
      <c r="B14" s="117">
        <f t="shared" si="0"/>
        <v>4</v>
      </c>
      <c r="C14" s="112" t="str">
        <f t="array" ref="C14">IF(B14=$B$9,$C$9,INDEX('01.2012'!$E$2:$E$57,SMALL(IF(ISNUMBER(1/(MATCH('01.2012'!$E$2:$E$57,'01.2012'!$E$2:$E$57,0)=ROW('01.2012'!$E$2:$E$57)-1))*ISNUMBER('01.2012'!$D$2:$D$57)*(SUMIF('01.2012'!$E$2:$E$57,'01.2012'!$E$2:$E$57,'01.2012'!$AB$2:$AB$57)&gt;0),ROW('01.2012'!$E$2:$E$57)-1,""),ROW()-ROW($C$10))))</f>
        <v>Сабуров Хотам</v>
      </c>
      <c r="D14" s="120">
        <f>IF($B14=$B$9,SUM(D$10:D13),SUMIF('01.2012'!$E$2:$E$57,C14,'01.2012'!$AB$2:$AB$57))</f>
        <v>215.01</v>
      </c>
      <c r="E14" s="115"/>
    </row>
    <row r="15" spans="1:5" ht="15.75" customHeight="1">
      <c r="A15" s="111" t="e">
        <f>VLOOKUP(ROW()*1000,'01.2012'!$C$2:$E$57,3,0)</f>
        <v>#N/A</v>
      </c>
      <c r="B15" s="117">
        <f t="shared" si="0"/>
        <v>5</v>
      </c>
      <c r="C15" s="112" t="str">
        <f t="array" ref="C15">IF(B15=$B$9,$C$9,INDEX('01.2012'!$E$2:$E$57,SMALL(IF(ISNUMBER(1/(MATCH('01.2012'!$E$2:$E$57,'01.2012'!$E$2:$E$57,0)=ROW('01.2012'!$E$2:$E$57)-1))*ISNUMBER('01.2012'!$D$2:$D$57)*(SUMIF('01.2012'!$E$2:$E$57,'01.2012'!$E$2:$E$57,'01.2012'!$AB$2:$AB$57)&gt;0),ROW('01.2012'!$E$2:$E$57)-1,""),ROW()-ROW($C$10))))</f>
        <v>Саидов Абдуманон</v>
      </c>
      <c r="D15" s="120">
        <f>IF($B15=$B$9,SUM(D$10:D14),SUMIF('01.2012'!$E$2:$E$57,C15,'01.2012'!$AB$2:$AB$57))</f>
        <v>92.08</v>
      </c>
      <c r="E15" s="115"/>
    </row>
    <row r="16" spans="1:5" ht="15.75" customHeight="1">
      <c r="A16" s="111" t="e">
        <f>VLOOKUP(ROW()*1000,'01.2012'!$C$2:$E$57,3,0)</f>
        <v>#N/A</v>
      </c>
      <c r="B16" s="117">
        <f t="shared" si="0"/>
        <v>6</v>
      </c>
      <c r="C16" s="112" t="str">
        <f t="array" ref="C16">IF(B16=$B$9,$C$9,INDEX('01.2012'!$E$2:$E$57,SMALL(IF(ISNUMBER(1/(MATCH('01.2012'!$E$2:$E$57,'01.2012'!$E$2:$E$57,0)=ROW('01.2012'!$E$2:$E$57)-1))*ISNUMBER('01.2012'!$D$2:$D$57)*(SUMIF('01.2012'!$E$2:$E$57,'01.2012'!$E$2:$E$57,'01.2012'!$AB$2:$AB$57)&gt;0),ROW('01.2012'!$E$2:$E$57)-1,""),ROW()-ROW($C$10))))</f>
        <v>Давлатов Талиб</v>
      </c>
      <c r="D16" s="120">
        <f>IF($B16=$B$9,SUM(D$10:D15),SUMIF('01.2012'!$E$2:$E$57,C16,'01.2012'!$AB$2:$AB$57))</f>
        <v>230.93</v>
      </c>
      <c r="E16" s="115"/>
    </row>
    <row r="17" spans="1:5" ht="15.75" customHeight="1">
      <c r="A17" s="111" t="e">
        <f>VLOOKUP(ROW()*1000,'01.2012'!$C$2:$E$57,3,0)</f>
        <v>#N/A</v>
      </c>
      <c r="B17" s="117">
        <f t="shared" si="0"/>
        <v>7</v>
      </c>
      <c r="C17" s="112" t="str">
        <f t="array" ref="C17">IF(B17=$B$9,$C$9,INDEX('01.2012'!$E$2:$E$57,SMALL(IF(ISNUMBER(1/(MATCH('01.2012'!$E$2:$E$57,'01.2012'!$E$2:$E$57,0)=ROW('01.2012'!$E$2:$E$57)-1))*ISNUMBER('01.2012'!$D$2:$D$57)*(SUMIF('01.2012'!$E$2:$E$57,'01.2012'!$E$2:$E$57,'01.2012'!$AB$2:$AB$57)&gt;0),ROW('01.2012'!$E$2:$E$57)-1,""),ROW()-ROW($C$10))))</f>
        <v>Матинов Холиддин</v>
      </c>
      <c r="D17" s="120">
        <f>IF($B17=$B$9,SUM(D$10:D16),SUMIF('01.2012'!$E$2:$E$57,C17,'01.2012'!$AB$2:$AB$57))</f>
        <v>74.36</v>
      </c>
      <c r="E17" s="115"/>
    </row>
    <row r="18" spans="1:5" ht="15.75" customHeight="1">
      <c r="A18" s="111" t="e">
        <f>VLOOKUP(ROW()*1000,'01.2012'!$C$2:$E$57,3,0)</f>
        <v>#N/A</v>
      </c>
      <c r="B18" s="117">
        <f t="shared" si="0"/>
        <v>8</v>
      </c>
      <c r="C18" s="112" t="str">
        <f t="array" ref="C18">IF(B18=$B$9,$C$9,INDEX('01.2012'!$E$2:$E$57,SMALL(IF(ISNUMBER(1/(MATCH('01.2012'!$E$2:$E$57,'01.2012'!$E$2:$E$57,0)=ROW('01.2012'!$E$2:$E$57)-1))*ISNUMBER('01.2012'!$D$2:$D$57)*(SUMIF('01.2012'!$E$2:$E$57,'01.2012'!$E$2:$E$57,'01.2012'!$AB$2:$AB$57)&gt;0),ROW('01.2012'!$E$2:$E$57)-1,""),ROW()-ROW($C$10))))</f>
        <v>Наботов Насим</v>
      </c>
      <c r="D18" s="120">
        <f>IF($B18=$B$9,SUM(D$10:D17),SUMIF('01.2012'!$E$2:$E$57,C18,'01.2012'!$AB$2:$AB$57))</f>
        <v>96.74</v>
      </c>
      <c r="E18" s="115"/>
    </row>
    <row r="19" spans="1:5" ht="15.75" customHeight="1">
      <c r="A19" s="111" t="e">
        <f>VLOOKUP(ROW()*1000,'01.2012'!$C$2:$E$57,3,0)</f>
        <v>#N/A</v>
      </c>
      <c r="B19" s="117">
        <f t="shared" si="0"/>
        <v>9</v>
      </c>
      <c r="C19" s="112" t="str">
        <f t="array" ref="C19">IF(B19=$B$9,$C$9,INDEX('01.2012'!$E$2:$E$57,SMALL(IF(ISNUMBER(1/(MATCH('01.2012'!$E$2:$E$57,'01.2012'!$E$2:$E$57,0)=ROW('01.2012'!$E$2:$E$57)-1))*ISNUMBER('01.2012'!$D$2:$D$57)*(SUMIF('01.2012'!$E$2:$E$57,'01.2012'!$E$2:$E$57,'01.2012'!$AB$2:$AB$57)&gt;0),ROW('01.2012'!$E$2:$E$57)-1,""),ROW()-ROW($C$10))))</f>
        <v>Нуриддинов А</v>
      </c>
      <c r="D19" s="120">
        <f>IF($B19=$B$9,SUM(D$10:D18),SUMIF('01.2012'!$E$2:$E$57,C19,'01.2012'!$AB$2:$AB$57))</f>
        <v>96.74</v>
      </c>
      <c r="E19" s="115"/>
    </row>
    <row r="20" spans="1:5" ht="15.75" customHeight="1">
      <c r="A20" s="111" t="e">
        <f>VLOOKUP(ROW()*1000,'01.2012'!$C$2:$E$57,3,0)</f>
        <v>#N/A</v>
      </c>
      <c r="B20" s="117">
        <f t="shared" si="0"/>
        <v>10</v>
      </c>
      <c r="C20" s="112" t="str">
        <f t="array" ref="C20">IF(B20=$B$9,$C$9,INDEX('01.2012'!$E$2:$E$57,SMALL(IF(ISNUMBER(1/(MATCH('01.2012'!$E$2:$E$57,'01.2012'!$E$2:$E$57,0)=ROW('01.2012'!$E$2:$E$57)-1))*ISNUMBER('01.2012'!$D$2:$D$57)*(SUMIF('01.2012'!$E$2:$E$57,'01.2012'!$E$2:$E$57,'01.2012'!$AB$2:$AB$57)&gt;0),ROW('01.2012'!$E$2:$E$57)-1,""),ROW()-ROW($C$10))))</f>
        <v>Солехов Файзулло</v>
      </c>
      <c r="D20" s="120">
        <f>IF($B20=$B$9,SUM(D$10:D19),SUMIF('01.2012'!$E$2:$E$57,C20,'01.2012'!$AB$2:$AB$57))</f>
        <v>119.81</v>
      </c>
      <c r="E20" s="115"/>
    </row>
    <row r="21" spans="1:5" ht="15.75" customHeight="1">
      <c r="A21" s="111" t="e">
        <f>VLOOKUP(ROW()*1000,'01.2012'!$C$2:$E$57,3,0)</f>
        <v>#N/A</v>
      </c>
      <c r="B21" s="117">
        <f t="shared" si="0"/>
        <v>11</v>
      </c>
      <c r="C21" s="112" t="str">
        <f t="array" ref="C21">IF(B21=$B$9,$C$9,INDEX('01.2012'!$E$2:$E$57,SMALL(IF(ISNUMBER(1/(MATCH('01.2012'!$E$2:$E$57,'01.2012'!$E$2:$E$57,0)=ROW('01.2012'!$E$2:$E$57)-1))*ISNUMBER('01.2012'!$D$2:$D$57)*(SUMIF('01.2012'!$E$2:$E$57,'01.2012'!$E$2:$E$57,'01.2012'!$AB$2:$AB$57)&gt;0),ROW('01.2012'!$E$2:$E$57)-1,""),ROW()-ROW($C$10))))</f>
        <v>Зиёев Идибек</v>
      </c>
      <c r="D21" s="120">
        <f>IF($B21=$B$9,SUM(D$10:D20),SUMIF('01.2012'!$E$2:$E$57,C21,'01.2012'!$AB$2:$AB$57))</f>
        <v>176.25</v>
      </c>
      <c r="E21" s="115"/>
    </row>
    <row r="22" spans="1:5" ht="15.75" customHeight="1">
      <c r="A22" s="111" t="e">
        <f>VLOOKUP(ROW()*1000,'01.2012'!$C$2:$E$57,3,0)</f>
        <v>#N/A</v>
      </c>
      <c r="B22" s="117">
        <f t="shared" si="0"/>
        <v>12</v>
      </c>
      <c r="C22" s="112" t="str">
        <f t="array" ref="C22">IF(B22=$B$9,$C$9,INDEX('01.2012'!$E$2:$E$57,SMALL(IF(ISNUMBER(1/(MATCH('01.2012'!$E$2:$E$57,'01.2012'!$E$2:$E$57,0)=ROW('01.2012'!$E$2:$E$57)-1))*ISNUMBER('01.2012'!$D$2:$D$57)*(SUMIF('01.2012'!$E$2:$E$57,'01.2012'!$E$2:$E$57,'01.2012'!$AB$2:$AB$57)&gt;0),ROW('01.2012'!$E$2:$E$57)-1,""),ROW()-ROW($C$10))))</f>
        <v>Бободжонова Нарзия</v>
      </c>
      <c r="D22" s="120">
        <f>IF($B22=$B$9,SUM(D$10:D21),SUMIF('01.2012'!$E$2:$E$57,C22,'01.2012'!$AB$2:$AB$57))</f>
        <v>119.76</v>
      </c>
      <c r="E22" s="115"/>
    </row>
    <row r="23" spans="1:5" ht="15.75" customHeight="1">
      <c r="A23" s="111" t="e">
        <f>VLOOKUP(ROW()*1000,'01.2012'!$C$2:$E$57,3,0)</f>
        <v>#N/A</v>
      </c>
      <c r="B23" s="117">
        <f t="shared" si="0"/>
        <v>13</v>
      </c>
      <c r="C23" s="112" t="str">
        <f t="array" ref="C23">IF(B23=$B$9,$C$9,INDEX('01.2012'!$E$2:$E$57,SMALL(IF(ISNUMBER(1/(MATCH('01.2012'!$E$2:$E$57,'01.2012'!$E$2:$E$57,0)=ROW('01.2012'!$E$2:$E$57)-1))*ISNUMBER('01.2012'!$D$2:$D$57)*(SUMIF('01.2012'!$E$2:$E$57,'01.2012'!$E$2:$E$57,'01.2012'!$AB$2:$AB$57)&gt;0),ROW('01.2012'!$E$2:$E$57)-1,""),ROW()-ROW($C$10))))</f>
        <v>Рахматова Зебо</v>
      </c>
      <c r="D23" s="120">
        <f>IF($B23=$B$9,SUM(D$10:D22),SUMIF('01.2012'!$E$2:$E$57,C23,'01.2012'!$AB$2:$AB$57))</f>
        <v>96.74</v>
      </c>
      <c r="E23" s="115"/>
    </row>
    <row r="24" spans="1:5" ht="15.75" customHeight="1">
      <c r="A24" s="111" t="e">
        <f>VLOOKUP(ROW()*1000,'01.2012'!$C$2:$E$57,3,0)</f>
        <v>#N/A</v>
      </c>
      <c r="B24" s="117">
        <f t="shared" si="0"/>
        <v>14</v>
      </c>
      <c r="C24" s="112" t="str">
        <f t="array" ref="C24">IF(B24=$B$9,$C$9,INDEX('01.2012'!$E$2:$E$57,SMALL(IF(ISNUMBER(1/(MATCH('01.2012'!$E$2:$E$57,'01.2012'!$E$2:$E$57,0)=ROW('01.2012'!$E$2:$E$57)-1))*ISNUMBER('01.2012'!$D$2:$D$57)*(SUMIF('01.2012'!$E$2:$E$57,'01.2012'!$E$2:$E$57,'01.2012'!$AB$2:$AB$57)&gt;0),ROW('01.2012'!$E$2:$E$57)-1,""),ROW()-ROW($C$10))))</f>
        <v>Салимов Юсуф</v>
      </c>
      <c r="D24" s="120">
        <f>IF($B24=$B$9,SUM(D$10:D23),SUMIF('01.2012'!$E$2:$E$57,C24,'01.2012'!$AB$2:$AB$57))</f>
        <v>176.2</v>
      </c>
      <c r="E24" s="115"/>
    </row>
    <row r="25" spans="1:5" ht="15.75" customHeight="1">
      <c r="A25" s="111" t="e">
        <f>VLOOKUP(ROW()*1000,'01.2012'!$C$2:$E$57,3,0)</f>
        <v>#N/A</v>
      </c>
      <c r="B25" s="117">
        <f t="shared" si="0"/>
        <v>15</v>
      </c>
      <c r="C25" s="112" t="str">
        <f t="array" ref="C25">IF(B25=$B$9,$C$9,INDEX('01.2012'!$E$2:$E$57,SMALL(IF(ISNUMBER(1/(MATCH('01.2012'!$E$2:$E$57,'01.2012'!$E$2:$E$57,0)=ROW('01.2012'!$E$2:$E$57)-1))*ISNUMBER('01.2012'!$D$2:$D$57)*(SUMIF('01.2012'!$E$2:$E$57,'01.2012'!$E$2:$E$57,'01.2012'!$AB$2:$AB$57)&gt;0),ROW('01.2012'!$E$2:$E$57)-1,""),ROW()-ROW($C$10))))</f>
        <v>Ахмадджонов Исмоил</v>
      </c>
      <c r="D25" s="120">
        <f>IF($B25=$B$9,SUM(D$10:D24),SUMIF('01.2012'!$E$2:$E$57,C25,'01.2012'!$AB$2:$AB$57))</f>
        <v>119.76</v>
      </c>
      <c r="E25" s="115"/>
    </row>
    <row r="26" spans="1:5" ht="15.75" customHeight="1">
      <c r="B26" s="117">
        <f t="shared" si="0"/>
        <v>16</v>
      </c>
      <c r="C26" s="112" t="str">
        <f t="array" ref="C26">IF(B26=$B$9,$C$9,INDEX('01.2012'!$E$2:$E$57,SMALL(IF(ISNUMBER(1/(MATCH('01.2012'!$E$2:$E$57,'01.2012'!$E$2:$E$57,0)=ROW('01.2012'!$E$2:$E$57)-1))*ISNUMBER('01.2012'!$D$2:$D$57)*(SUMIF('01.2012'!$E$2:$E$57,'01.2012'!$E$2:$E$57,'01.2012'!$AB$2:$AB$57)&gt;0),ROW('01.2012'!$E$2:$E$57)-1,""),ROW()-ROW($C$10))))</f>
        <v>Каххорова Озода</v>
      </c>
      <c r="D26" s="120">
        <f>IF($B26=$B$9,SUM(D$10:D25),SUMIF('01.2012'!$E$2:$E$57,C26,'01.2012'!$AB$2:$AB$57))</f>
        <v>119.76</v>
      </c>
      <c r="E26" s="115"/>
    </row>
    <row r="27" spans="1:5" ht="15.75" customHeight="1">
      <c r="B27" s="117">
        <f t="shared" si="0"/>
        <v>17</v>
      </c>
      <c r="C27" s="112" t="str">
        <f t="array" ref="C27">IF(B27=$B$9,$C$9,INDEX('01.2012'!$E$2:$E$57,SMALL(IF(ISNUMBER(1/(MATCH('01.2012'!$E$2:$E$57,'01.2012'!$E$2:$E$57,0)=ROW('01.2012'!$E$2:$E$57)-1))*ISNUMBER('01.2012'!$D$2:$D$57)*(SUMIF('01.2012'!$E$2:$E$57,'01.2012'!$E$2:$E$57,'01.2012'!$AB$2:$AB$57)&gt;0),ROW('01.2012'!$E$2:$E$57)-1,""),ROW()-ROW($C$10))))</f>
        <v>Саидов Хайрулло</v>
      </c>
      <c r="D27" s="120">
        <f>IF($B27=$B$9,SUM(D$10:D26),SUMIF('01.2012'!$E$2:$E$57,C27,'01.2012'!$AB$2:$AB$57))</f>
        <v>96.74</v>
      </c>
      <c r="E27" s="115"/>
    </row>
    <row r="28" spans="1:5" ht="15.75" customHeight="1">
      <c r="B28" s="117">
        <f t="shared" si="0"/>
        <v>18</v>
      </c>
      <c r="C28" s="112" t="str">
        <f t="array" ref="C28">IF(B28=$B$9,$C$9,INDEX('01.2012'!$E$2:$E$57,SMALL(IF(ISNUMBER(1/(MATCH('01.2012'!$E$2:$E$57,'01.2012'!$E$2:$E$57,0)=ROW('01.2012'!$E$2:$E$57)-1))*ISNUMBER('01.2012'!$D$2:$D$57)*(SUMIF('01.2012'!$E$2:$E$57,'01.2012'!$E$2:$E$57,'01.2012'!$AB$2:$AB$57)&gt;0),ROW('01.2012'!$E$2:$E$57)-1,""),ROW()-ROW($C$10))))</f>
        <v>Муратова Надежда</v>
      </c>
      <c r="D28" s="120">
        <f>IF($B28=$B$9,SUM(D$10:D27),SUMIF('01.2012'!$E$2:$E$57,C28,'01.2012'!$AB$2:$AB$57))</f>
        <v>96.74</v>
      </c>
      <c r="E28" s="115"/>
    </row>
    <row r="29" spans="1:5" ht="15.75" customHeight="1">
      <c r="B29" s="117">
        <f t="shared" si="0"/>
        <v>19</v>
      </c>
      <c r="C29" s="112" t="str">
        <f t="array" ref="C29">IF(B29=$B$9,$C$9,INDEX('01.2012'!$E$2:$E$57,SMALL(IF(ISNUMBER(1/(MATCH('01.2012'!$E$2:$E$57,'01.2012'!$E$2:$E$57,0)=ROW('01.2012'!$E$2:$E$57)-1))*ISNUMBER('01.2012'!$D$2:$D$57)*(SUMIF('01.2012'!$E$2:$E$57,'01.2012'!$E$2:$E$57,'01.2012'!$AB$2:$AB$57)&gt;0),ROW('01.2012'!$E$2:$E$57)-1,""),ROW()-ROW($C$10))))</f>
        <v>Ходжаев С</v>
      </c>
      <c r="D29" s="120">
        <f>IF($B29=$B$9,SUM(D$10:D28),SUMIF('01.2012'!$E$2:$E$57,C29,'01.2012'!$AB$2:$AB$57))</f>
        <v>96.74</v>
      </c>
      <c r="E29" s="115"/>
    </row>
    <row r="30" spans="1:5" ht="15.75" customHeight="1">
      <c r="B30" s="117">
        <f t="shared" si="0"/>
        <v>20</v>
      </c>
      <c r="C30" s="112" t="str">
        <f t="array" ref="C30">IF(B30=$B$9,$C$9,INDEX('01.2012'!$E$2:$E$57,SMALL(IF(ISNUMBER(1/(MATCH('01.2012'!$E$2:$E$57,'01.2012'!$E$2:$E$57,0)=ROW('01.2012'!$E$2:$E$57)-1))*ISNUMBER('01.2012'!$D$2:$D$57)*(SUMIF('01.2012'!$E$2:$E$57,'01.2012'!$E$2:$E$57,'01.2012'!$AB$2:$AB$57)&gt;0),ROW('01.2012'!$E$2:$E$57)-1,""),ROW()-ROW($C$10))))</f>
        <v>Тољиддинов Абдукар</v>
      </c>
      <c r="D30" s="120">
        <f>IF($B30=$B$9,SUM(D$10:D29),SUMIF('01.2012'!$E$2:$E$57,C30,'01.2012'!$AB$2:$AB$57))</f>
        <v>109.42</v>
      </c>
      <c r="E30" s="115"/>
    </row>
    <row r="31" spans="1:5" ht="15.75" customHeight="1">
      <c r="B31" s="117">
        <f t="shared" si="0"/>
        <v>21</v>
      </c>
      <c r="C31" s="112" t="str">
        <f t="array" ref="C31">IF(B31=$B$9,$C$9,INDEX('01.2012'!$E$2:$E$57,SMALL(IF(ISNUMBER(1/(MATCH('01.2012'!$E$2:$E$57,'01.2012'!$E$2:$E$57,0)=ROW('01.2012'!$E$2:$E$57)-1))*ISNUMBER('01.2012'!$D$2:$D$57)*(SUMIF('01.2012'!$E$2:$E$57,'01.2012'!$E$2:$E$57,'01.2012'!$AB$2:$AB$57)&gt;0),ROW('01.2012'!$E$2:$E$57)-1,""),ROW()-ROW($C$10))))</f>
        <v>Зокиров Закариё</v>
      </c>
      <c r="D31" s="120">
        <f>IF($B31=$B$9,SUM(D$10:D30),SUMIF('01.2012'!$E$2:$E$57,C31,'01.2012'!$AB$2:$AB$57))</f>
        <v>141</v>
      </c>
      <c r="E31" s="115"/>
    </row>
    <row r="32" spans="1:5" ht="15.75" customHeight="1">
      <c r="B32" s="117">
        <f t="shared" si="0"/>
        <v>22</v>
      </c>
      <c r="C32" s="112" t="str">
        <f t="array" ref="C32">IF(B32=$B$9,$C$9,INDEX('01.2012'!$E$2:$E$57,SMALL(IF(ISNUMBER(1/(MATCH('01.2012'!$E$2:$E$57,'01.2012'!$E$2:$E$57,0)=ROW('01.2012'!$E$2:$E$57)-1))*ISNUMBER('01.2012'!$D$2:$D$57)*(SUMIF('01.2012'!$E$2:$E$57,'01.2012'!$E$2:$E$57,'01.2012'!$AB$2:$AB$57)&gt;0),ROW('01.2012'!$E$2:$E$57)-1,""),ROW()-ROW($C$10))))</f>
        <v>Аминов Муњаммад</v>
      </c>
      <c r="D32" s="120">
        <f>IF($B32=$B$9,SUM(D$10:D31),SUMIF('01.2012'!$E$2:$E$57,C32,'01.2012'!$AB$2:$AB$57))</f>
        <v>109.42</v>
      </c>
      <c r="E32" s="115"/>
    </row>
    <row r="33" spans="2:5" ht="15.75" customHeight="1">
      <c r="B33" s="117">
        <f t="shared" si="0"/>
        <v>23</v>
      </c>
      <c r="C33" s="112" t="str">
        <f t="array" ref="C33">IF(B33=$B$9,$C$9,INDEX('01.2012'!$E$2:$E$57,SMALL(IF(ISNUMBER(1/(MATCH('01.2012'!$E$2:$E$57,'01.2012'!$E$2:$E$57,0)=ROW('01.2012'!$E$2:$E$57)-1))*ISNUMBER('01.2012'!$D$2:$D$57)*(SUMIF('01.2012'!$E$2:$E$57,'01.2012'!$E$2:$E$57,'01.2012'!$AB$2:$AB$57)&gt;0),ROW('01.2012'!$E$2:$E$57)-1,""),ROW()-ROW($C$10))))</f>
        <v>ывацукцукцукцукцу</v>
      </c>
      <c r="D33" s="120">
        <f>IF($B33=$B$9,SUM(D$10:D32),SUMIF('01.2012'!$E$2:$E$57,C33,'01.2012'!$AB$2:$AB$57))</f>
        <v>96.74</v>
      </c>
      <c r="E33" s="115"/>
    </row>
    <row r="34" spans="2:5" ht="15.75" customHeight="1">
      <c r="B34" s="117">
        <f t="shared" si="0"/>
        <v>24</v>
      </c>
      <c r="C34" s="112" t="str">
        <f t="array" ref="C34">IF(B34=$B$9,$C$9,INDEX('01.2012'!$E$2:$E$57,SMALL(IF(ISNUMBER(1/(MATCH('01.2012'!$E$2:$E$57,'01.2012'!$E$2:$E$57,0)=ROW('01.2012'!$E$2:$E$57)-1))*ISNUMBER('01.2012'!$D$2:$D$57)*(SUMIF('01.2012'!$E$2:$E$57,'01.2012'!$E$2:$E$57,'01.2012'!$AB$2:$AB$57)&gt;0),ROW('01.2012'!$E$2:$E$57)-1,""),ROW()-ROW($C$10))))</f>
        <v>Давлатов Сулаймон</v>
      </c>
      <c r="D34" s="120">
        <f>IF($B34=$B$9,SUM(D$10:D33),SUMIF('01.2012'!$E$2:$E$57,C34,'01.2012'!$AB$2:$AB$57))</f>
        <v>119.76</v>
      </c>
      <c r="E34" s="115"/>
    </row>
    <row r="35" spans="2:5" ht="15.75" customHeight="1">
      <c r="B35" s="117">
        <f t="shared" si="0"/>
        <v>25</v>
      </c>
      <c r="C35" s="112" t="str">
        <f t="array" ref="C35">IF(B35=$B$9,$C$9,INDEX('01.2012'!$E$2:$E$57,SMALL(IF(ISNUMBER(1/(MATCH('01.2012'!$E$2:$E$57,'01.2012'!$E$2:$E$57,0)=ROW('01.2012'!$E$2:$E$57)-1))*ISNUMBER('01.2012'!$D$2:$D$57)*(SUMIF('01.2012'!$E$2:$E$57,'01.2012'!$E$2:$E$57,'01.2012'!$AB$2:$AB$57)&gt;0),ROW('01.2012'!$E$2:$E$57)-1,""),ROW()-ROW($C$10))))</f>
        <v>Љалилов Кобилљон</v>
      </c>
      <c r="D35" s="120">
        <f>IF($B35=$B$9,SUM(D$10:D34),SUMIF('01.2012'!$E$2:$E$57,C35,'01.2012'!$AB$2:$AB$57))</f>
        <v>96.74</v>
      </c>
      <c r="E35" s="115"/>
    </row>
    <row r="36" spans="2:5" ht="15.75" customHeight="1">
      <c r="B36" s="117">
        <f t="shared" si="0"/>
        <v>26</v>
      </c>
      <c r="C36" s="112" t="str">
        <f t="array" ref="C36">IF(B36=$B$9,$C$9,INDEX('01.2012'!$E$2:$E$57,SMALL(IF(ISNUMBER(1/(MATCH('01.2012'!$E$2:$E$57,'01.2012'!$E$2:$E$57,0)=ROW('01.2012'!$E$2:$E$57)-1))*ISNUMBER('01.2012'!$D$2:$D$57)*(SUMIF('01.2012'!$E$2:$E$57,'01.2012'!$E$2:$E$57,'01.2012'!$AB$2:$AB$57)&gt;0),ROW('01.2012'!$E$2:$E$57)-1,""),ROW()-ROW($C$10))))</f>
        <v>Рахимов Шавкат</v>
      </c>
      <c r="D36" s="120">
        <f>IF($B36=$B$9,SUM(D$10:D35),SUMIF('01.2012'!$E$2:$E$57,C36,'01.2012'!$AB$2:$AB$57))</f>
        <v>119.76</v>
      </c>
      <c r="E36" s="115"/>
    </row>
    <row r="37" spans="2:5" ht="15.75" customHeight="1">
      <c r="B37" s="117">
        <f t="shared" si="0"/>
        <v>27</v>
      </c>
      <c r="C37" s="112" t="str">
        <f t="array" ref="C37">IF(B37=$B$9,$C$9,INDEX('01.2012'!$E$2:$E$57,SMALL(IF(ISNUMBER(1/(MATCH('01.2012'!$E$2:$E$57,'01.2012'!$E$2:$E$57,0)=ROW('01.2012'!$E$2:$E$57)-1))*ISNUMBER('01.2012'!$D$2:$D$57)*(SUMIF('01.2012'!$E$2:$E$57,'01.2012'!$E$2:$E$57,'01.2012'!$AB$2:$AB$57)&gt;0),ROW('01.2012'!$E$2:$E$57)-1,""),ROW()-ROW($C$10))))</f>
        <v>Давлатов Абдурахмон</v>
      </c>
      <c r="D37" s="120">
        <f>IF($B37=$B$9,SUM(D$10:D36),SUMIF('01.2012'!$E$2:$E$57,C37,'01.2012'!$AB$2:$AB$57))</f>
        <v>96.74</v>
      </c>
      <c r="E37" s="115"/>
    </row>
    <row r="38" spans="2:5" ht="15.75" customHeight="1">
      <c r="B38" s="117">
        <f t="shared" si="0"/>
        <v>28</v>
      </c>
      <c r="C38" s="112" t="str">
        <f t="array" ref="C38">IF(B38=$B$9,$C$9,INDEX('01.2012'!$E$2:$E$57,SMALL(IF(ISNUMBER(1/(MATCH('01.2012'!$E$2:$E$57,'01.2012'!$E$2:$E$57,0)=ROW('01.2012'!$E$2:$E$57)-1))*ISNUMBER('01.2012'!$D$2:$D$57)*(SUMIF('01.2012'!$E$2:$E$57,'01.2012'!$E$2:$E$57,'01.2012'!$AB$2:$AB$57)&gt;0),ROW('01.2012'!$E$2:$E$57)-1,""),ROW()-ROW($C$10))))</f>
        <v>Тоиров Љурали</v>
      </c>
      <c r="D38" s="120">
        <f>IF($B38=$B$9,SUM(D$10:D37),SUMIF('01.2012'!$E$2:$E$57,C38,'01.2012'!$AB$2:$AB$57))</f>
        <v>96.74</v>
      </c>
      <c r="E38" s="115"/>
    </row>
    <row r="39" spans="2:5" ht="15.75" customHeight="1">
      <c r="B39" s="117">
        <f t="shared" si="0"/>
        <v>29</v>
      </c>
      <c r="C39" s="112" t="str">
        <f t="array" ref="C39">IF(B39=$B$9,$C$9,INDEX('01.2012'!$E$2:$E$57,SMALL(IF(ISNUMBER(1/(MATCH('01.2012'!$E$2:$E$57,'01.2012'!$E$2:$E$57,0)=ROW('01.2012'!$E$2:$E$57)-1))*ISNUMBER('01.2012'!$D$2:$D$57)*(SUMIF('01.2012'!$E$2:$E$57,'01.2012'!$E$2:$E$57,'01.2012'!$AB$2:$AB$57)&gt;0),ROW('01.2012'!$E$2:$E$57)-1,""),ROW()-ROW($C$10))))</f>
        <v>Итого:</v>
      </c>
      <c r="D39" s="120">
        <f>IF($B39=$B$9,SUM(D$10:D38),SUMIF('01.2012'!$E$2:$E$57,C39,'01.2012'!$AB$2:$AB$57))</f>
        <v>3610.4599999999991</v>
      </c>
      <c r="E39" s="115"/>
    </row>
    <row r="40" spans="2:5" ht="15.75" customHeight="1">
      <c r="B40" s="117">
        <f t="shared" ref="B40:B50" si="1">IF(ISTEXT(C39),SUM(B39,1),"")</f>
        <v>30</v>
      </c>
      <c r="C40" s="112" t="e">
        <f t="array" ref="C40">IF(B40=$B$9,$C$9,INDEX('01.2012'!$E$2:$E$57,SMALL(IF(ISNUMBER(1/(MATCH('01.2012'!$E$2:$E$57,'01.2012'!$E$2:$E$57,0)=ROW('01.2012'!$E$2:$E$57)-1))*ISNUMBER('01.2012'!$D$2:$D$57)*(SUMIF('01.2012'!$E$2:$E$57,'01.2012'!$E$2:$E$57,'01.2012'!$AB$2:$AB$57)&gt;0),ROW('01.2012'!$E$2:$E$57)-1,""),ROW()-ROW($C$10))))</f>
        <v>#NUM!</v>
      </c>
      <c r="D40" s="120">
        <f>IF($B40=$B$9,SUM(D$10:D39),SUMIF('01.2012'!$E$2:$E$57,C40,'01.2012'!$AB$2:$AB$57))</f>
        <v>0</v>
      </c>
      <c r="E40" s="115"/>
    </row>
    <row r="41" spans="2:5">
      <c r="B41" s="117" t="str">
        <f t="shared" si="1"/>
        <v/>
      </c>
      <c r="C41" s="112" t="e">
        <f t="array" ref="C41">IF(B41=$B$9,$C$9,INDEX('01.2012'!$E$2:$E$57,SMALL(IF(ISNUMBER(1/(MATCH('01.2012'!$E$2:$E$57,'01.2012'!$E$2:$E$57,0)=ROW('01.2012'!$E$2:$E$57)-1))*ISNUMBER('01.2012'!$D$2:$D$57)*(SUMIF('01.2012'!$E$2:$E$57,'01.2012'!$E$2:$E$57,'01.2012'!$AB$2:$AB$57)&gt;0),ROW('01.2012'!$E$2:$E$57)-1,""),ROW()-ROW($C$10))))</f>
        <v>#NUM!</v>
      </c>
      <c r="D41" s="120">
        <f>IF($B41=$B$9,SUM(D$10:D40),SUMIF('01.2012'!$E$2:$E$57,C41,'01.2012'!$AB$2:$AB$57))</f>
        <v>0</v>
      </c>
      <c r="E41" s="115"/>
    </row>
    <row r="42" spans="2:5">
      <c r="B42" s="117" t="str">
        <f t="shared" si="1"/>
        <v/>
      </c>
      <c r="C42" s="112" t="e">
        <f t="array" ref="C42">IF(B42=$B$9,$C$9,INDEX('01.2012'!$E$2:$E$57,SMALL(IF(ISNUMBER(1/(MATCH('01.2012'!$E$2:$E$57,'01.2012'!$E$2:$E$57,0)=ROW('01.2012'!$E$2:$E$57)-1))*ISNUMBER('01.2012'!$D$2:$D$57)*(SUMIF('01.2012'!$E$2:$E$57,'01.2012'!$E$2:$E$57,'01.2012'!$AB$2:$AB$57)&gt;0),ROW('01.2012'!$E$2:$E$57)-1,""),ROW()-ROW($C$10))))</f>
        <v>#NUM!</v>
      </c>
      <c r="D42" s="120">
        <f>IF($B42=$B$9,SUM(D$10:D41),SUMIF('01.2012'!$E$2:$E$57,C42,'01.2012'!$AB$2:$AB$57))</f>
        <v>0</v>
      </c>
      <c r="E42" s="115"/>
    </row>
    <row r="43" spans="2:5">
      <c r="B43" s="117" t="str">
        <f t="shared" si="1"/>
        <v/>
      </c>
      <c r="C43" s="112" t="e">
        <f t="array" ref="C43">IF(B43=$B$9,$C$9,INDEX('01.2012'!$E$2:$E$57,SMALL(IF(ISNUMBER(1/(MATCH('01.2012'!$E$2:$E$57,'01.2012'!$E$2:$E$57,0)=ROW('01.2012'!$E$2:$E$57)-1))*ISNUMBER('01.2012'!$D$2:$D$57)*(SUMIF('01.2012'!$E$2:$E$57,'01.2012'!$E$2:$E$57,'01.2012'!$AB$2:$AB$57)&gt;0),ROW('01.2012'!$E$2:$E$57)-1,""),ROW()-ROW($C$10))))</f>
        <v>#NUM!</v>
      </c>
      <c r="D43" s="120">
        <f>IF($B43=$B$9,SUM(D$10:D42),SUMIF('01.2012'!$E$2:$E$57,C43,'01.2012'!$AB$2:$AB$57))</f>
        <v>0</v>
      </c>
      <c r="E43" s="115"/>
    </row>
    <row r="44" spans="2:5">
      <c r="B44" s="117" t="str">
        <f t="shared" si="1"/>
        <v/>
      </c>
      <c r="C44" s="112" t="e">
        <f t="array" ref="C44">IF(B44=$B$9,$C$9,INDEX('01.2012'!$E$2:$E$57,SMALL(IF(ISNUMBER(1/(MATCH('01.2012'!$E$2:$E$57,'01.2012'!$E$2:$E$57,0)=ROW('01.2012'!$E$2:$E$57)-1))*ISNUMBER('01.2012'!$D$2:$D$57)*(SUMIF('01.2012'!$E$2:$E$57,'01.2012'!$E$2:$E$57,'01.2012'!$AB$2:$AB$57)&gt;0),ROW('01.2012'!$E$2:$E$57)-1,""),ROW()-ROW($C$10))))</f>
        <v>#NUM!</v>
      </c>
      <c r="D44" s="120">
        <f>IF($B44=$B$9,SUM(D$10:D43),SUMIF('01.2012'!$E$2:$E$57,C44,'01.2012'!$AB$2:$AB$57))</f>
        <v>0</v>
      </c>
      <c r="E44" s="115"/>
    </row>
    <row r="45" spans="2:5">
      <c r="B45" s="117" t="str">
        <f t="shared" si="1"/>
        <v/>
      </c>
      <c r="C45" s="112" t="e">
        <f t="array" ref="C45">IF(B45=$B$9,$C$9,INDEX('01.2012'!$E$2:$E$57,SMALL(IF(ISNUMBER(1/(MATCH('01.2012'!$E$2:$E$57,'01.2012'!$E$2:$E$57,0)=ROW('01.2012'!$E$2:$E$57)-1))*ISNUMBER('01.2012'!$D$2:$D$57)*(SUMIF('01.2012'!$E$2:$E$57,'01.2012'!$E$2:$E$57,'01.2012'!$AB$2:$AB$57)&gt;0),ROW('01.2012'!$E$2:$E$57)-1,""),ROW()-ROW($C$10))))</f>
        <v>#NUM!</v>
      </c>
      <c r="D45" s="120">
        <f>IF($B45=$B$9,SUM(D$10:D44),SUMIF('01.2012'!$E$2:$E$57,C45,'01.2012'!$AB$2:$AB$57))</f>
        <v>0</v>
      </c>
      <c r="E45" s="115"/>
    </row>
    <row r="46" spans="2:5">
      <c r="B46" s="117" t="str">
        <f t="shared" si="1"/>
        <v/>
      </c>
      <c r="C46" s="112" t="e">
        <f t="array" ref="C46">IF(B46=$B$9,$C$9,INDEX('01.2012'!$E$2:$E$57,SMALL(IF(ISNUMBER(1/(MATCH('01.2012'!$E$2:$E$57,'01.2012'!$E$2:$E$57,0)=ROW('01.2012'!$E$2:$E$57)-1))*ISNUMBER('01.2012'!$D$2:$D$57)*(SUMIF('01.2012'!$E$2:$E$57,'01.2012'!$E$2:$E$57,'01.2012'!$AB$2:$AB$57)&gt;0),ROW('01.2012'!$E$2:$E$57)-1,""),ROW()-ROW($C$10))))</f>
        <v>#NUM!</v>
      </c>
      <c r="D46" s="120">
        <f>IF($B46=$B$9,SUM(D$10:D45),SUMIF('01.2012'!$E$2:$E$57,C46,'01.2012'!$AB$2:$AB$57))</f>
        <v>0</v>
      </c>
      <c r="E46" s="115"/>
    </row>
    <row r="47" spans="2:5">
      <c r="B47" s="117" t="str">
        <f t="shared" si="1"/>
        <v/>
      </c>
      <c r="C47" s="112" t="e">
        <f t="array" ref="C47">IF(B47=$B$9,$C$9,INDEX('01.2012'!$E$2:$E$57,SMALL(IF(ISNUMBER(1/(MATCH('01.2012'!$E$2:$E$57,'01.2012'!$E$2:$E$57,0)=ROW('01.2012'!$E$2:$E$57)-1))*ISNUMBER('01.2012'!$D$2:$D$57)*(SUMIF('01.2012'!$E$2:$E$57,'01.2012'!$E$2:$E$57,'01.2012'!$AB$2:$AB$57)&gt;0),ROW('01.2012'!$E$2:$E$57)-1,""),ROW()-ROW($C$10))))</f>
        <v>#NUM!</v>
      </c>
      <c r="D47" s="120">
        <f>IF($B47=$B$9,SUM(D$10:D46),SUMIF('01.2012'!$E$2:$E$57,C47,'01.2012'!$AB$2:$AB$57))</f>
        <v>0</v>
      </c>
      <c r="E47" s="115"/>
    </row>
    <row r="48" spans="2:5">
      <c r="B48" s="117" t="str">
        <f t="shared" si="1"/>
        <v/>
      </c>
      <c r="C48" s="112" t="e">
        <f t="array" ref="C48">IF(B48=$B$9,$C$9,INDEX('01.2012'!$E$2:$E$57,SMALL(IF(ISNUMBER(1/(MATCH('01.2012'!$E$2:$E$57,'01.2012'!$E$2:$E$57,0)=ROW('01.2012'!$E$2:$E$57)-1))*ISNUMBER('01.2012'!$D$2:$D$57)*(SUMIF('01.2012'!$E$2:$E$57,'01.2012'!$E$2:$E$57,'01.2012'!$AB$2:$AB$57)&gt;0),ROW('01.2012'!$E$2:$E$57)-1,""),ROW()-ROW($C$10))))</f>
        <v>#NUM!</v>
      </c>
      <c r="D48" s="120">
        <f>IF($B48=$B$9,SUM(D$10:D47),SUMIF('01.2012'!$E$2:$E$57,C48,'01.2012'!$AB$2:$AB$57))</f>
        <v>0</v>
      </c>
      <c r="E48" s="115"/>
    </row>
    <row r="49" spans="2:6">
      <c r="B49" s="117" t="str">
        <f t="shared" si="1"/>
        <v/>
      </c>
      <c r="C49" s="112" t="e">
        <f t="array" ref="C49">IF(B49=$B$9,$C$9,INDEX('01.2012'!$E$2:$E$57,SMALL(IF(ISNUMBER(1/(MATCH('01.2012'!$E$2:$E$57,'01.2012'!$E$2:$E$57,0)=ROW('01.2012'!$E$2:$E$57)-1))*ISNUMBER('01.2012'!$D$2:$D$57)*(SUMIF('01.2012'!$E$2:$E$57,'01.2012'!$E$2:$E$57,'01.2012'!$AB$2:$AB$57)&gt;0),ROW('01.2012'!$E$2:$E$57)-1,""),ROW()-ROW($C$10))))</f>
        <v>#NUM!</v>
      </c>
      <c r="D49" s="120">
        <f>IF($B49=$B$9,SUM(D$10:D48),SUMIF('01.2012'!$E$2:$E$57,C49,'01.2012'!$AB$2:$AB$57))</f>
        <v>0</v>
      </c>
      <c r="E49" s="115"/>
    </row>
    <row r="50" spans="2:6">
      <c r="B50" s="117" t="str">
        <f t="shared" si="1"/>
        <v/>
      </c>
      <c r="C50" s="112" t="e">
        <f t="array" ref="C50">IF(B50=$B$9,$C$9,INDEX('01.2012'!$E$2:$E$57,SMALL(IF(ISNUMBER(1/(MATCH('01.2012'!$E$2:$E$57,'01.2012'!$E$2:$E$57,0)=ROW('01.2012'!$E$2:$E$57)-1))*ISNUMBER('01.2012'!$D$2:$D$57)*(SUMIF('01.2012'!$E$2:$E$57,'01.2012'!$E$2:$E$57,'01.2012'!$AB$2:$AB$57)&gt;0),ROW('01.2012'!$E$2:$E$57)-1,""),ROW()-ROW($C$10))))</f>
        <v>#NUM!</v>
      </c>
      <c r="D50" s="120">
        <f>IF($B50=$B$9,SUM(D$10:D49),SUMIF('01.2012'!$E$2:$E$57,C50,'01.2012'!$AB$2:$AB$57))</f>
        <v>0</v>
      </c>
      <c r="E50" s="115"/>
      <c r="F50" s="141"/>
    </row>
  </sheetData>
  <mergeCells count="3">
    <mergeCell ref="C4:E4"/>
    <mergeCell ref="B7:E7"/>
    <mergeCell ref="B8:E8"/>
  </mergeCells>
  <conditionalFormatting sqref="B11:E50">
    <cfRule type="expression" dxfId="10" priority="4">
      <formula>$B11=$B$9</formula>
    </cfRule>
    <cfRule type="expression" dxfId="9" priority="5">
      <formula>ISERROR($C11)</formula>
    </cfRule>
  </conditionalFormatting>
  <conditionalFormatting sqref="B11:B50">
    <cfRule type="expression" dxfId="8" priority="3">
      <formula>B11&gt;=$B$9</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Тарифы</vt:lpstr>
      <vt:lpstr>01.2012</vt:lpstr>
      <vt:lpstr>Карточки</vt:lpstr>
      <vt:lpstr>Ведомость оплаты</vt:lpstr>
      <vt:lpstr>Ведомость оплаты (2)</vt:lpstr>
      <vt:lpstr>'01.2012'!Заголовки_для_печати</vt:lpstr>
      <vt:lpstr>'01.2012'!Область_печати</vt:lpstr>
      <vt:lpstr>'Ведомость оплаты'!Область_печати</vt:lpstr>
      <vt:lpstr>'Ведомость оплаты (2)'!Область_печати</vt:lpstr>
      <vt:lpstr>Карточки!Область_печати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Надя</dc:creator>
  <cp:lastModifiedBy>Гусев Александр Валентинович</cp:lastModifiedBy>
  <cp:lastPrinted>2012-01-26T05:56:31Z</cp:lastPrinted>
  <dcterms:created xsi:type="dcterms:W3CDTF">2002-12-28T12:45:47Z</dcterms:created>
  <dcterms:modified xsi:type="dcterms:W3CDTF">2012-02-03T07:41:50Z</dcterms:modified>
</cp:coreProperties>
</file>