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-15" yWindow="-15" windowWidth="9600" windowHeight="12120" tabRatio="445" firstSheet="1" activeTab="1"/>
  </bookViews>
  <sheets>
    <sheet name="Тарифы" sheetId="13" state="hidden" r:id="rId1"/>
    <sheet name="Ведомость оплаты" sheetId="27" r:id="rId2"/>
    <sheet name="01.2012 г" sheetId="29" r:id="rId3"/>
    <sheet name="Карточки1" sheetId="28" r:id="rId4"/>
  </sheets>
  <definedNames>
    <definedName name="_xlnm._FilterDatabase" localSheetId="2" hidden="1">'01.2012 г'!$A$2:$Z$32</definedName>
    <definedName name="Z_B7749F0D_A6E5_4550_B277_2D5630BDBD61_.wvu.Cols" localSheetId="2" hidden="1">'01.2012 г'!$D:$D,'01.2012 г'!$L:$L,'01.2012 г'!$N:$N,'01.2012 г'!$P:$P,'01.2012 г'!$O:$T,'01.2012 г'!#REF!,'01.2012 г'!#REF!</definedName>
    <definedName name="Z_B7749F0D_A6E5_4550_B277_2D5630BDBD61_.wvu.FilterData" localSheetId="2" hidden="1">'01.2012 г'!$A$2:$Z$32</definedName>
    <definedName name="Z_B7749F0D_A6E5_4550_B277_2D5630BDBD61_.wvu.PrintArea" localSheetId="2" hidden="1">'01.2012 г'!$A$2:$Z$32</definedName>
    <definedName name="Z_B7749F0D_A6E5_4550_B277_2D5630BDBD61_.wvu.PrintTitles" localSheetId="2" hidden="1">'01.2012 г'!#REF!</definedName>
    <definedName name="Z_B7749F0D_A6E5_4550_B277_2D5630BDBD61_.wvu.Rows" localSheetId="2" hidden="1">'01.2012 г'!#REF!</definedName>
    <definedName name="_xlnm.Print_Titles" localSheetId="2">'01.2012 г'!$1:$1</definedName>
    <definedName name="_xlnm.Print_Area" localSheetId="2">'01.2012 г'!$A$1:$Z$32</definedName>
    <definedName name="сп1" localSheetId="2">'01.2012 г'!$C$2:$C$12</definedName>
    <definedName name="сп1">#REF!</definedName>
    <definedName name="сп10" localSheetId="2">'01.2012 г'!#REF!</definedName>
    <definedName name="сп10">#REF!</definedName>
    <definedName name="сп11" localSheetId="2">'01.2012 г'!#REF!</definedName>
    <definedName name="сп11">#REF!</definedName>
    <definedName name="сп12" localSheetId="2">'01.2012 г'!#REF!</definedName>
    <definedName name="сп12">#REF!</definedName>
    <definedName name="сп13" localSheetId="2">'01.2012 г'!#REF!</definedName>
    <definedName name="сп13">#REF!</definedName>
    <definedName name="сп14" localSheetId="2">'01.2012 г'!#REF!</definedName>
    <definedName name="сп14">#REF!</definedName>
    <definedName name="сп15" localSheetId="2">'01.2012 г'!#REF!</definedName>
    <definedName name="сп15">#REF!</definedName>
    <definedName name="сп16" localSheetId="2">'01.2012 г'!#REF!</definedName>
    <definedName name="сп16">#REF!</definedName>
    <definedName name="сп17" localSheetId="2">'01.2012 г'!#REF!</definedName>
    <definedName name="сп17">#REF!</definedName>
    <definedName name="сп18" localSheetId="2">'01.2012 г'!#REF!</definedName>
    <definedName name="сп18">#REF!</definedName>
    <definedName name="сп19" localSheetId="2">'01.2012 г'!#REF!</definedName>
    <definedName name="сп19">#REF!</definedName>
    <definedName name="сп2" localSheetId="2">'01.2012 г'!$C$13:$C$15</definedName>
    <definedName name="сп2">#REF!</definedName>
    <definedName name="сп20" localSheetId="2">'01.2012 г'!#REF!</definedName>
    <definedName name="сп20">#REF!</definedName>
    <definedName name="сп3" localSheetId="2">'01.2012 г'!$C$16:$C$20</definedName>
    <definedName name="сп3">#REF!</definedName>
    <definedName name="сп4" localSheetId="2">'01.2012 г'!$C$21:$C$26</definedName>
    <definedName name="сп4">#REF!</definedName>
    <definedName name="сп5" localSheetId="2">'01.2012 г'!$C$27:$C$32</definedName>
    <definedName name="сп5">#REF!</definedName>
    <definedName name="сп6" localSheetId="2">'01.2012 г'!#REF!</definedName>
    <definedName name="сп6">#REF!</definedName>
    <definedName name="сп7" localSheetId="2">'01.2012 г'!#REF!</definedName>
    <definedName name="сп7">#REF!</definedName>
    <definedName name="сп8" localSheetId="2">'01.2012 г'!#REF!</definedName>
    <definedName name="сп8">#REF!</definedName>
    <definedName name="сп9" localSheetId="2">'01.2012 г'!#REF!</definedName>
    <definedName name="сп9">#REF!</definedName>
  </definedNames>
  <calcPr calcId="114210" fullCalcOnLoad="1" iterate="1" iterateCount="1"/>
  <customWorkbookViews>
    <customWorkbookView name="Купон" guid="{B7749F0D-A6E5-4550-B277-2D5630BDBD61}" maximized="1" windowWidth="1148" windowHeight="746" tabRatio="599" activeSheetId="1"/>
  </customWorkbookViews>
</workbook>
</file>

<file path=xl/calcChain.xml><?xml version="1.0" encoding="utf-8"?>
<calcChain xmlns="http://schemas.openxmlformats.org/spreadsheetml/2006/main">
  <c r="D39" i="27" l="1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M6" i="28"/>
  <c r="M20" i="28"/>
  <c r="D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11" i="27"/>
  <c r="C39" i="27"/>
  <c r="H31" i="29"/>
  <c r="M31" i="29"/>
  <c r="U31" i="29"/>
  <c r="V31" i="29"/>
  <c r="W31" i="29"/>
  <c r="X31" i="29"/>
  <c r="Y31" i="29"/>
  <c r="Z31" i="29"/>
  <c r="H27" i="29"/>
  <c r="M27" i="29"/>
  <c r="U27" i="29"/>
  <c r="V27" i="29"/>
  <c r="W27" i="29"/>
  <c r="X27" i="29"/>
  <c r="Y27" i="29"/>
  <c r="Z27" i="29"/>
  <c r="H25" i="29"/>
  <c r="M25" i="29"/>
  <c r="U25" i="29"/>
  <c r="V25" i="29"/>
  <c r="W25" i="29"/>
  <c r="X25" i="29"/>
  <c r="Y25" i="29"/>
  <c r="Z25" i="29"/>
  <c r="H22" i="29"/>
  <c r="M22" i="29"/>
  <c r="U22" i="29"/>
  <c r="V22" i="29"/>
  <c r="W22" i="29"/>
  <c r="X22" i="29"/>
  <c r="Y22" i="29"/>
  <c r="Z22" i="29"/>
  <c r="H23" i="29"/>
  <c r="M23" i="29"/>
  <c r="U23" i="29"/>
  <c r="V23" i="29"/>
  <c r="W23" i="29"/>
  <c r="X23" i="29"/>
  <c r="Y23" i="29"/>
  <c r="Z23" i="29"/>
  <c r="H20" i="29"/>
  <c r="M20" i="29"/>
  <c r="U20" i="29"/>
  <c r="V20" i="29"/>
  <c r="W20" i="29"/>
  <c r="X20" i="29"/>
  <c r="Y20" i="29"/>
  <c r="Z20" i="29"/>
  <c r="H21" i="29"/>
  <c r="M21" i="29"/>
  <c r="U21" i="29"/>
  <c r="V21" i="29"/>
  <c r="W21" i="29"/>
  <c r="X21" i="29"/>
  <c r="Y21" i="29"/>
  <c r="Z21" i="29"/>
  <c r="H24" i="29"/>
  <c r="M24" i="29"/>
  <c r="U24" i="29"/>
  <c r="V24" i="29"/>
  <c r="W24" i="29"/>
  <c r="X24" i="29"/>
  <c r="Y24" i="29"/>
  <c r="Z24" i="29"/>
  <c r="H26" i="29"/>
  <c r="M26" i="29"/>
  <c r="U26" i="29"/>
  <c r="V26" i="29"/>
  <c r="W26" i="29"/>
  <c r="X26" i="29"/>
  <c r="Y26" i="29"/>
  <c r="Z26" i="29"/>
  <c r="H28" i="29"/>
  <c r="M28" i="29"/>
  <c r="U28" i="29"/>
  <c r="V28" i="29"/>
  <c r="W28" i="29"/>
  <c r="X28" i="29"/>
  <c r="Y28" i="29"/>
  <c r="Z28" i="29"/>
  <c r="H29" i="29"/>
  <c r="M29" i="29"/>
  <c r="U29" i="29"/>
  <c r="V29" i="29"/>
  <c r="W29" i="29"/>
  <c r="X29" i="29"/>
  <c r="Y29" i="29"/>
  <c r="Z29" i="29"/>
  <c r="H30" i="29"/>
  <c r="M30" i="29"/>
  <c r="U30" i="29"/>
  <c r="V30" i="29"/>
  <c r="W30" i="29"/>
  <c r="X30" i="29"/>
  <c r="Y30" i="29"/>
  <c r="Z30" i="29"/>
  <c r="H32" i="29"/>
  <c r="M32" i="29"/>
  <c r="U32" i="29"/>
  <c r="V32" i="29"/>
  <c r="W32" i="29"/>
  <c r="X32" i="29"/>
  <c r="Y32" i="29"/>
  <c r="Z32" i="29"/>
  <c r="J20" i="28"/>
  <c r="U5" i="29"/>
  <c r="X5" i="29"/>
  <c r="Z5" i="29"/>
  <c r="K24" i="28"/>
  <c r="J24" i="28"/>
  <c r="I24" i="28"/>
  <c r="H24" i="28"/>
  <c r="C20" i="28"/>
  <c r="U4" i="29"/>
  <c r="X4" i="29"/>
  <c r="Z4" i="29"/>
  <c r="D24" i="28"/>
  <c r="C24" i="28"/>
  <c r="B24" i="28"/>
  <c r="A24" i="28"/>
  <c r="I21" i="28"/>
  <c r="B21" i="28"/>
  <c r="H19" i="28"/>
  <c r="A19" i="28"/>
  <c r="C6" i="28"/>
  <c r="M2" i="29"/>
  <c r="U2" i="29"/>
  <c r="V2" i="29"/>
  <c r="W2" i="29"/>
  <c r="X2" i="29"/>
  <c r="Y2" i="29"/>
  <c r="Z2" i="29"/>
  <c r="H3" i="29"/>
  <c r="M3" i="29"/>
  <c r="U3" i="29"/>
  <c r="V3" i="29"/>
  <c r="W3" i="29"/>
  <c r="X3" i="29"/>
  <c r="Y3" i="29"/>
  <c r="Z3" i="29"/>
  <c r="H4" i="29"/>
  <c r="M4" i="29"/>
  <c r="V4" i="29"/>
  <c r="W4" i="29"/>
  <c r="Y4" i="29"/>
  <c r="H5" i="29"/>
  <c r="M5" i="29"/>
  <c r="V5" i="29"/>
  <c r="W5" i="29"/>
  <c r="Y5" i="29"/>
  <c r="H6" i="29"/>
  <c r="M6" i="29"/>
  <c r="U6" i="29"/>
  <c r="V6" i="29"/>
  <c r="W6" i="29"/>
  <c r="X6" i="29"/>
  <c r="Y6" i="29"/>
  <c r="Z6" i="29"/>
  <c r="H7" i="29"/>
  <c r="M7" i="29"/>
  <c r="U7" i="29"/>
  <c r="V7" i="29"/>
  <c r="W7" i="29"/>
  <c r="X7" i="29"/>
  <c r="Y7" i="29"/>
  <c r="Z7" i="29"/>
  <c r="H8" i="29"/>
  <c r="M8" i="29"/>
  <c r="U8" i="29"/>
  <c r="V8" i="29"/>
  <c r="W8" i="29"/>
  <c r="X8" i="29"/>
  <c r="Y8" i="29"/>
  <c r="Z8" i="29"/>
  <c r="H9" i="29"/>
  <c r="M9" i="29"/>
  <c r="U9" i="29"/>
  <c r="V9" i="29"/>
  <c r="W9" i="29"/>
  <c r="X9" i="29"/>
  <c r="Y9" i="29"/>
  <c r="Z9" i="29"/>
  <c r="H10" i="29"/>
  <c r="M10" i="29"/>
  <c r="U10" i="29"/>
  <c r="V10" i="29"/>
  <c r="W10" i="29"/>
  <c r="X10" i="29"/>
  <c r="Y10" i="29"/>
  <c r="Z10" i="29"/>
  <c r="H11" i="29"/>
  <c r="M11" i="29"/>
  <c r="U11" i="29"/>
  <c r="V11" i="29"/>
  <c r="W11" i="29"/>
  <c r="X11" i="29"/>
  <c r="Y11" i="29"/>
  <c r="Z11" i="29"/>
  <c r="H12" i="29"/>
  <c r="M12" i="29"/>
  <c r="U12" i="29"/>
  <c r="V12" i="29"/>
  <c r="W12" i="29"/>
  <c r="X12" i="29"/>
  <c r="Y12" i="29"/>
  <c r="Z12" i="29"/>
  <c r="H13" i="29"/>
  <c r="M13" i="29"/>
  <c r="U13" i="29"/>
  <c r="V13" i="29"/>
  <c r="W13" i="29"/>
  <c r="X13" i="29"/>
  <c r="Y13" i="29"/>
  <c r="Z13" i="29"/>
  <c r="H14" i="29"/>
  <c r="M14" i="29"/>
  <c r="U14" i="29"/>
  <c r="V14" i="29"/>
  <c r="W14" i="29"/>
  <c r="X14" i="29"/>
  <c r="Y14" i="29"/>
  <c r="Z14" i="29"/>
  <c r="H15" i="29"/>
  <c r="M15" i="29"/>
  <c r="U15" i="29"/>
  <c r="V15" i="29"/>
  <c r="W15" i="29"/>
  <c r="X15" i="29"/>
  <c r="Y15" i="29"/>
  <c r="Z15" i="29"/>
  <c r="H16" i="29"/>
  <c r="M16" i="29"/>
  <c r="U16" i="29"/>
  <c r="V16" i="29"/>
  <c r="W16" i="29"/>
  <c r="X16" i="29"/>
  <c r="Y16" i="29"/>
  <c r="Z16" i="29"/>
  <c r="H17" i="29"/>
  <c r="M17" i="29"/>
  <c r="U17" i="29"/>
  <c r="V17" i="29"/>
  <c r="W17" i="29"/>
  <c r="X17" i="29"/>
  <c r="Y17" i="29"/>
  <c r="Z17" i="29"/>
  <c r="H18" i="29"/>
  <c r="M18" i="29"/>
  <c r="U18" i="29"/>
  <c r="V18" i="29"/>
  <c r="W18" i="29"/>
  <c r="X18" i="29"/>
  <c r="Y18" i="29"/>
  <c r="Z18" i="29"/>
  <c r="H19" i="29"/>
  <c r="M19" i="29"/>
  <c r="U19" i="29"/>
  <c r="V19" i="29"/>
  <c r="W19" i="29"/>
  <c r="X19" i="29"/>
  <c r="Y19" i="29"/>
  <c r="Z19" i="29"/>
  <c r="D41" i="27"/>
  <c r="A5" i="28"/>
  <c r="B7" i="28"/>
  <c r="A10" i="28"/>
  <c r="B10" i="28"/>
  <c r="C10" i="28"/>
  <c r="D10" i="28"/>
  <c r="J6" i="28"/>
  <c r="H5" i="28"/>
  <c r="I7" i="28"/>
  <c r="H10" i="28"/>
  <c r="I10" i="28"/>
  <c r="J10" i="28"/>
  <c r="K10" i="28"/>
</calcChain>
</file>

<file path=xl/comments1.xml><?xml version="1.0" encoding="utf-8"?>
<comments xmlns="http://schemas.openxmlformats.org/spreadsheetml/2006/main">
  <authors>
    <author>User</author>
  </authors>
  <commentList>
    <comment ref="M1" authorId="0">
      <text>
        <r>
          <rPr>
            <b/>
            <sz val="8"/>
            <color indexed="81"/>
            <rFont val="Tahoma"/>
            <charset val="204"/>
          </rPr>
          <t>Колонку копировать обязательно! В ней промежуточные значения!</t>
        </r>
      </text>
    </comment>
  </commentList>
</comments>
</file>

<file path=xl/sharedStrings.xml><?xml version="1.0" encoding="utf-8"?>
<sst xmlns="http://schemas.openxmlformats.org/spreadsheetml/2006/main" count="164" uniqueCount="94">
  <si>
    <t>- минимальная з/плата</t>
  </si>
  <si>
    <t>Подоходный налог:</t>
  </si>
  <si>
    <t>- для договорных</t>
  </si>
  <si>
    <t>ректор</t>
  </si>
  <si>
    <t>Матинов Холиддин</t>
  </si>
  <si>
    <t>Наботов Насим</t>
  </si>
  <si>
    <t>Нуриддинов А</t>
  </si>
  <si>
    <t>Зиёев Идибек</t>
  </si>
  <si>
    <t>Асоев Далер</t>
  </si>
  <si>
    <t>Рахматова Зебо</t>
  </si>
  <si>
    <t>Назаров Хабибулло</t>
  </si>
  <si>
    <t>Исмоилов Мирзо</t>
  </si>
  <si>
    <t>Салимов Юсуф</t>
  </si>
  <si>
    <t>Саидов Хайрулло</t>
  </si>
  <si>
    <t>Сангов Самад</t>
  </si>
  <si>
    <t>Тољиддинов Абдукар</t>
  </si>
  <si>
    <t>Зокиров Закариё</t>
  </si>
  <si>
    <t>№</t>
  </si>
  <si>
    <r>
      <t>Д</t>
    </r>
    <r>
      <rPr>
        <b/>
        <vertAlign val="superscript"/>
        <sz val="8"/>
        <color indexed="9"/>
        <rFont val="Arial TAJ"/>
        <family val="2"/>
        <charset val="204"/>
      </rPr>
      <t>т</t>
    </r>
  </si>
  <si>
    <r>
      <t>К</t>
    </r>
    <r>
      <rPr>
        <b/>
        <vertAlign val="superscript"/>
        <sz val="8"/>
        <color indexed="9"/>
        <rFont val="Arial TAJ"/>
        <family val="2"/>
        <charset val="204"/>
      </rPr>
      <t>т</t>
    </r>
  </si>
  <si>
    <t>∑ +</t>
  </si>
  <si>
    <t>∑ -</t>
  </si>
  <si>
    <t>Солехов Файзулло</t>
  </si>
  <si>
    <t>Саидов Абдуманон</t>
  </si>
  <si>
    <t>Каххорова Озода</t>
  </si>
  <si>
    <t>Аминов Муњаммад</t>
  </si>
  <si>
    <t>Наимов Сафар</t>
  </si>
  <si>
    <t>Муратов Акбар</t>
  </si>
  <si>
    <t>Сафаров Собир</t>
  </si>
  <si>
    <t>Сабуров Хотам</t>
  </si>
  <si>
    <t>Давлатов Талиб</t>
  </si>
  <si>
    <t>зам.рек.по НЧ</t>
  </si>
  <si>
    <t>зам.рек по восп.</t>
  </si>
  <si>
    <t>зам.рек.по экон.</t>
  </si>
  <si>
    <t>советник</t>
  </si>
  <si>
    <t>нач.штаба</t>
  </si>
  <si>
    <t>пред.молод.</t>
  </si>
  <si>
    <t>секретарь</t>
  </si>
  <si>
    <t>помощник</t>
  </si>
  <si>
    <t>Фамилия, Имя, Отчество</t>
  </si>
  <si>
    <t>Должность</t>
  </si>
  <si>
    <t>Р.д.</t>
  </si>
  <si>
    <t>Час</t>
  </si>
  <si>
    <t>З/плата</t>
  </si>
  <si>
    <t>Допол.</t>
  </si>
  <si>
    <t>Налог</t>
  </si>
  <si>
    <t>Пенс.</t>
  </si>
  <si>
    <t>Проф.</t>
  </si>
  <si>
    <t>Бободжонова Нарзия</t>
  </si>
  <si>
    <t>бухгалтер</t>
  </si>
  <si>
    <t>экономист</t>
  </si>
  <si>
    <t>кассир</t>
  </si>
  <si>
    <t>Ахмадджонов Исмоил</t>
  </si>
  <si>
    <t>гл.бух</t>
  </si>
  <si>
    <t>Хайдарова М</t>
  </si>
  <si>
    <t>Мирзоев Бахриддин</t>
  </si>
  <si>
    <t>Аълоева М</t>
  </si>
  <si>
    <t>Муратова Надежда</t>
  </si>
  <si>
    <t>начальник</t>
  </si>
  <si>
    <t>вед.спец.</t>
  </si>
  <si>
    <t>программист</t>
  </si>
  <si>
    <t>ываываыва</t>
  </si>
  <si>
    <t>ывацукцукцукцукцу</t>
  </si>
  <si>
    <t>паап</t>
  </si>
  <si>
    <t>иап</t>
  </si>
  <si>
    <t>ваываыва</t>
  </si>
  <si>
    <t>фывфыв</t>
  </si>
  <si>
    <t>кееееке</t>
  </si>
  <si>
    <t>мимими</t>
  </si>
  <si>
    <t>Ходжаев С</t>
  </si>
  <si>
    <t>Итого:</t>
  </si>
  <si>
    <t>Институт ТАК СЕБЕ</t>
  </si>
  <si>
    <t>Ф.И.О. работника</t>
  </si>
  <si>
    <t>Остаток
на нач.</t>
  </si>
  <si>
    <t>Начислено</t>
  </si>
  <si>
    <t>Удержано</t>
  </si>
  <si>
    <t>Расчетный бухгалтер</t>
  </si>
  <si>
    <t>Гл.бухгалтер</t>
  </si>
  <si>
    <t>Отп.</t>
  </si>
  <si>
    <t>Болнич.</t>
  </si>
  <si>
    <t>Карточка расшифровки зарплаты для 01.2012</t>
  </si>
  <si>
    <t>ВЕДОМОСТЬ ОПЛАТЫ</t>
  </si>
  <si>
    <t>заработной платы за 01.2012</t>
  </si>
  <si>
    <t>Сумма</t>
  </si>
  <si>
    <t>Подпись</t>
  </si>
  <si>
    <t>Институт ____________</t>
  </si>
  <si>
    <r>
      <t xml:space="preserve">Начальство требует ведомость в двух вариантах: первый - чтобы общий лист по всему институту, второй - по каждому отделу.
Первое, с грехом пополам, думаю мне по силам, а второе для моего умышка больно крепка.. Я пробовала в ячейке </t>
    </r>
    <r>
      <rPr>
        <b/>
        <i/>
        <sz val="18"/>
        <color indexed="10"/>
        <rFont val="Arial Cyr"/>
        <charset val="204"/>
      </rPr>
      <t>E4</t>
    </r>
    <r>
      <rPr>
        <b/>
        <i/>
        <sz val="18"/>
        <color indexed="56"/>
        <rFont val="Arial Cyr"/>
        <charset val="204"/>
      </rPr>
      <t xml:space="preserve"> использовать выпадающий список, где по алфавиту можно было бы выбрать отдел и ниже выдала бы ведомость соответствующего отдела. Да запарилась со своим скудным знанием, если сможет кто нибудь, буду очень признательна</t>
    </r>
  </si>
  <si>
    <t>инженер ОК</t>
  </si>
  <si>
    <t>Управление</t>
  </si>
  <si>
    <t>Отдел кадров</t>
  </si>
  <si>
    <t>Бухгалтерия и финансы</t>
  </si>
  <si>
    <t>Отдел анализа и экономики</t>
  </si>
  <si>
    <t>Отдел по науке</t>
  </si>
  <si>
    <t xml:space="preserve">
на руки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</si>
</sst>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u/>
      <sz val="10"/>
      <name val="Arial Cyr"/>
      <charset val="204"/>
    </font>
    <font>
      <u/>
      <sz val="12"/>
      <name val="Times New Roman"/>
      <family val="1"/>
      <charset val="204"/>
    </font>
    <font>
      <sz val="7"/>
      <name val="Arial TAJ"/>
      <family val="2"/>
      <charset val="204"/>
    </font>
    <font>
      <sz val="10"/>
      <name val="Arial TAJ"/>
      <family val="2"/>
      <charset val="204"/>
    </font>
    <font>
      <b/>
      <sz val="11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b/>
      <sz val="8"/>
      <color indexed="9"/>
      <name val="Arial TAJ"/>
      <family val="2"/>
      <charset val="204"/>
    </font>
    <font>
      <b/>
      <vertAlign val="superscript"/>
      <sz val="8"/>
      <color indexed="9"/>
      <name val="Arial TAJ"/>
      <family val="2"/>
      <charset val="204"/>
    </font>
    <font>
      <sz val="11"/>
      <name val="Palatino Linotype"/>
      <family val="1"/>
      <charset val="204"/>
    </font>
    <font>
      <b/>
      <sz val="9"/>
      <name val="Palatino Linotype"/>
      <family val="1"/>
      <charset val="204"/>
    </font>
    <font>
      <b/>
      <sz val="8"/>
      <name val="Palatino Linotype"/>
      <family val="1"/>
      <charset val="204"/>
    </font>
    <font>
      <sz val="9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Palatino Linotype"/>
      <family val="1"/>
      <charset val="204"/>
    </font>
    <font>
      <b/>
      <i/>
      <sz val="18"/>
      <color indexed="10"/>
      <name val="Arial Cyr"/>
      <charset val="204"/>
    </font>
    <font>
      <b/>
      <i/>
      <sz val="18"/>
      <color indexed="56"/>
      <name val="Arial Cyr"/>
      <charset val="204"/>
    </font>
    <font>
      <sz val="10"/>
      <name val="Arial Cyr"/>
      <charset val="204"/>
    </font>
    <font>
      <b/>
      <sz val="8"/>
      <color indexed="81"/>
      <name val="Tahoma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DotDot">
        <color indexed="23"/>
      </left>
      <right/>
      <top/>
      <bottom/>
      <diagonal/>
    </border>
    <border>
      <left/>
      <right/>
      <top style="dashDotDot">
        <color indexed="23"/>
      </top>
      <bottom/>
      <diagonal/>
    </border>
    <border>
      <left style="dashDotDot">
        <color indexed="23"/>
      </left>
      <right/>
      <top style="dashDotDot">
        <color indexed="23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DotDot">
        <color indexed="23"/>
      </bottom>
      <diagonal/>
    </border>
    <border>
      <left style="dashDotDot">
        <color indexed="23"/>
      </left>
      <right/>
      <top/>
      <bottom style="dashDotDot">
        <color indexed="23"/>
      </bottom>
      <diagonal/>
    </border>
    <border>
      <left/>
      <right style="dashDotDot">
        <color indexed="23"/>
      </right>
      <top style="dashDotDot">
        <color indexed="23"/>
      </top>
      <bottom/>
      <diagonal/>
    </border>
    <border>
      <left/>
      <right style="dashDotDot">
        <color indexed="23"/>
      </right>
      <top/>
      <bottom/>
      <diagonal/>
    </border>
    <border>
      <left/>
      <right style="dashDotDot">
        <color indexed="23"/>
      </right>
      <top/>
      <bottom style="dashDotDot">
        <color indexed="2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9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/>
    <xf numFmtId="0" fontId="9" fillId="0" borderId="0" xfId="0" applyNumberFormat="1" applyFont="1" applyBorder="1" applyAlignment="1"/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9" fillId="0" borderId="0" xfId="0" applyNumberFormat="1" applyFont="1" applyBorder="1" applyAlignment="1"/>
    <xf numFmtId="0" fontId="9" fillId="0" borderId="0" xfId="0" applyNumberFormat="1" applyFont="1" applyBorder="1" applyAlignment="1">
      <alignment horizontal="center"/>
    </xf>
    <xf numFmtId="49" fontId="0" fillId="0" borderId="0" xfId="0" applyNumberFormat="1"/>
    <xf numFmtId="2" fontId="4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49" fontId="0" fillId="2" borderId="0" xfId="0" applyNumberFormat="1" applyFill="1"/>
    <xf numFmtId="49" fontId="4" fillId="2" borderId="0" xfId="0" applyNumberFormat="1" applyFont="1" applyFill="1"/>
    <xf numFmtId="9" fontId="4" fillId="2" borderId="0" xfId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right"/>
    </xf>
    <xf numFmtId="2" fontId="13" fillId="0" borderId="1" xfId="0" applyNumberFormat="1" applyFont="1" applyBorder="1" applyAlignment="1"/>
    <xf numFmtId="2" fontId="13" fillId="0" borderId="1" xfId="0" applyNumberFormat="1" applyFont="1" applyBorder="1"/>
    <xf numFmtId="2" fontId="13" fillId="0" borderId="1" xfId="0" applyNumberFormat="1" applyFont="1" applyFill="1" applyBorder="1" applyAlignment="1"/>
    <xf numFmtId="0" fontId="13" fillId="0" borderId="0" xfId="0" applyFont="1" applyBorder="1" applyAlignment="1"/>
    <xf numFmtId="0" fontId="11" fillId="0" borderId="1" xfId="0" applyNumberFormat="1" applyFont="1" applyBorder="1" applyAlignment="1"/>
    <xf numFmtId="0" fontId="9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top"/>
    </xf>
    <xf numFmtId="0" fontId="9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2" fontId="0" fillId="0" borderId="0" xfId="0" applyNumberFormat="1"/>
    <xf numFmtId="0" fontId="20" fillId="0" borderId="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top" wrapText="1"/>
    </xf>
    <xf numFmtId="0" fontId="19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22" fillId="0" borderId="4" xfId="0" applyFont="1" applyBorder="1" applyAlignment="1">
      <alignment vertical="center"/>
    </xf>
    <xf numFmtId="0" fontId="0" fillId="0" borderId="4" xfId="0" applyBorder="1"/>
    <xf numFmtId="0" fontId="20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2" fontId="10" fillId="0" borderId="7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3" xfId="0" applyBorder="1"/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49" fontId="16" fillId="4" borderId="20" xfId="0" applyNumberFormat="1" applyFont="1" applyFill="1" applyBorder="1" applyAlignment="1">
      <alignment horizontal="center" vertical="center"/>
    </xf>
    <xf numFmtId="49" fontId="16" fillId="4" borderId="20" xfId="0" applyNumberFormat="1" applyFont="1" applyFill="1" applyBorder="1" applyAlignment="1">
      <alignment horizontal="left" vertical="center"/>
    </xf>
    <xf numFmtId="0" fontId="16" fillId="4" borderId="20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0" fillId="0" borderId="23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5" xfId="0" applyBorder="1"/>
    <xf numFmtId="0" fontId="1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2" fillId="0" borderId="0" xfId="0" applyFont="1" applyBorder="1" applyAlignment="1">
      <alignment vertical="center"/>
    </xf>
    <xf numFmtId="0" fontId="0" fillId="0" borderId="0" xfId="0" applyBorder="1"/>
    <xf numFmtId="0" fontId="20" fillId="0" borderId="0" xfId="0" applyFont="1" applyBorder="1" applyAlignment="1">
      <alignment horizontal="center" vertical="center"/>
    </xf>
    <xf numFmtId="0" fontId="1" fillId="0" borderId="5" xfId="0" applyFont="1" applyBorder="1"/>
    <xf numFmtId="0" fontId="26" fillId="0" borderId="0" xfId="0" applyFont="1" applyAlignment="1">
      <alignment vertical="center"/>
    </xf>
    <xf numFmtId="0" fontId="26" fillId="0" borderId="0" xfId="0" applyFont="1"/>
    <xf numFmtId="0" fontId="26" fillId="0" borderId="23" xfId="0" applyFont="1" applyBorder="1"/>
    <xf numFmtId="0" fontId="1" fillId="0" borderId="25" xfId="0" applyFont="1" applyBorder="1"/>
    <xf numFmtId="0" fontId="19" fillId="0" borderId="26" xfId="0" applyFont="1" applyBorder="1" applyAlignment="1">
      <alignment vertical="center"/>
    </xf>
    <xf numFmtId="0" fontId="26" fillId="0" borderId="26" xfId="0" applyFont="1" applyBorder="1" applyAlignment="1">
      <alignment vertical="center"/>
    </xf>
    <xf numFmtId="0" fontId="22" fillId="0" borderId="26" xfId="0" applyFont="1" applyBorder="1" applyAlignment="1">
      <alignment vertical="center"/>
    </xf>
    <xf numFmtId="0" fontId="26" fillId="0" borderId="26" xfId="0" applyFont="1" applyBorder="1"/>
    <xf numFmtId="0" fontId="20" fillId="0" borderId="26" xfId="0" applyFont="1" applyBorder="1" applyAlignment="1">
      <alignment horizontal="center" vertical="center"/>
    </xf>
    <xf numFmtId="0" fontId="26" fillId="0" borderId="27" xfId="0" applyFont="1" applyBorder="1"/>
    <xf numFmtId="0" fontId="10" fillId="0" borderId="0" xfId="0" applyFont="1" applyAlignment="1">
      <alignment horizontal="center"/>
    </xf>
    <xf numFmtId="0" fontId="25" fillId="3" borderId="0" xfId="0" applyFont="1" applyFill="1" applyAlignment="1">
      <alignment horizontal="left" vertical="center" wrapText="1" indent="1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top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textRotation="45"/>
    </xf>
    <xf numFmtId="0" fontId="18" fillId="0" borderId="21" xfId="0" applyFont="1" applyBorder="1" applyAlignment="1">
      <alignment horizontal="center" vertical="center" textRotation="45"/>
    </xf>
    <xf numFmtId="0" fontId="18" fillId="0" borderId="22" xfId="0" applyFont="1" applyBorder="1" applyAlignment="1">
      <alignment horizontal="center" vertical="center" textRotation="45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tabColor theme="8" tint="-0.499984740745262"/>
  </sheetPr>
  <dimension ref="B1:T4"/>
  <sheetViews>
    <sheetView showGridLines="0" showZeros="0" showOutlineSymbols="0" workbookViewId="0">
      <selection activeCell="B4" sqref="B4"/>
    </sheetView>
  </sheetViews>
  <sheetFormatPr defaultRowHeight="12.75"/>
  <cols>
    <col min="1" max="1" width="4.7109375" bestFit="1" customWidth="1"/>
    <col min="2" max="2" width="34" customWidth="1"/>
    <col min="3" max="8" width="9.5703125" style="1" bestFit="1" customWidth="1"/>
    <col min="9" max="9" width="2.85546875" style="4" bestFit="1" customWidth="1"/>
    <col min="10" max="10" width="3.5703125" customWidth="1"/>
    <col min="11" max="11" width="5.28515625" style="3" bestFit="1" customWidth="1"/>
    <col min="12" max="12" width="4.42578125" style="4" bestFit="1" customWidth="1"/>
    <col min="13" max="13" width="2.140625" bestFit="1" customWidth="1"/>
    <col min="14" max="14" width="2.85546875" style="21" bestFit="1" customWidth="1"/>
    <col min="15" max="15" width="2.140625" style="20" bestFit="1" customWidth="1"/>
    <col min="16" max="16" width="5.28515625" style="20" bestFit="1" customWidth="1"/>
    <col min="17" max="17" width="9.140625" style="20"/>
    <col min="18" max="18" width="4.42578125" style="20" bestFit="1" customWidth="1"/>
    <col min="19" max="19" width="2.140625" style="20" bestFit="1" customWidth="1"/>
    <col min="20" max="20" width="5.28515625" style="20" bestFit="1" customWidth="1"/>
  </cols>
  <sheetData>
    <row r="1" spans="2:13" ht="15.75">
      <c r="B1" s="13"/>
      <c r="C1" s="14"/>
      <c r="I1" s="5"/>
      <c r="J1" s="2"/>
      <c r="L1" s="5"/>
      <c r="M1" s="2"/>
    </row>
    <row r="2" spans="2:13" ht="15.75">
      <c r="B2" s="18" t="s">
        <v>1</v>
      </c>
      <c r="C2" s="15"/>
      <c r="I2" s="5"/>
      <c r="J2" s="2"/>
      <c r="L2" s="5"/>
      <c r="M2" s="2"/>
    </row>
    <row r="3" spans="2:13" ht="15.75">
      <c r="B3" s="17" t="s">
        <v>0</v>
      </c>
      <c r="C3" s="16">
        <v>40</v>
      </c>
      <c r="I3" s="5"/>
      <c r="J3" s="2"/>
      <c r="L3" s="5"/>
      <c r="M3" s="2"/>
    </row>
    <row r="4" spans="2:13" ht="15.75">
      <c r="B4" s="17" t="s">
        <v>2</v>
      </c>
      <c r="C4" s="19">
        <v>0.13</v>
      </c>
      <c r="I4" s="5"/>
      <c r="J4" s="2"/>
      <c r="L4" s="5"/>
      <c r="M4" s="2"/>
    </row>
  </sheetData>
  <customSheetViews>
    <customSheetView guid="{B7749F0D-A6E5-4550-B277-2D5630BDBD61}" showGridLines="0" outlineSymbols="0" zeroValues="0" state="hidden" showRuler="0" topLeftCell="A5">
      <pane ySplit="2" topLeftCell="A7" activePane="bottomLeft" state="frozen"/>
      <selection pane="bottomLeft" activeCell="B30" sqref="B30"/>
      <pageMargins left="0.75" right="0.36" top="0.7" bottom="1" header="0.5" footer="0.5"/>
      <pageSetup paperSize="9" scale="95" orientation="landscape" horizontalDpi="180" verticalDpi="180" r:id="rId1"/>
      <headerFooter alignWithMargins="0"/>
    </customSheetView>
  </customSheetViews>
  <phoneticPr fontId="2" type="noConversion"/>
  <pageMargins left="0.75" right="0.36" top="0.7" bottom="1" header="0.5" footer="0.5"/>
  <pageSetup paperSize="9" scale="95" orientation="landscape" horizontalDpi="180" verticalDpi="18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1"/>
  <sheetViews>
    <sheetView tabSelected="1" topLeftCell="A7" workbookViewId="0">
      <selection activeCell="E4" sqref="E4"/>
    </sheetView>
  </sheetViews>
  <sheetFormatPr defaultRowHeight="12.75"/>
  <cols>
    <col min="3" max="3" width="26.42578125" customWidth="1"/>
    <col min="4" max="4" width="10.140625" customWidth="1"/>
    <col min="5" max="5" width="20.28515625" bestFit="1" customWidth="1"/>
  </cols>
  <sheetData>
    <row r="2" spans="2:15">
      <c r="E2" t="s">
        <v>85</v>
      </c>
    </row>
    <row r="4" spans="2:15">
      <c r="E4" t="s">
        <v>88</v>
      </c>
    </row>
    <row r="7" spans="2:15" ht="15">
      <c r="B7" s="82" t="s">
        <v>81</v>
      </c>
      <c r="C7" s="82"/>
      <c r="D7" s="82"/>
      <c r="E7" s="82"/>
    </row>
    <row r="8" spans="2:15" ht="15">
      <c r="B8" s="82" t="s">
        <v>82</v>
      </c>
      <c r="C8" s="82"/>
      <c r="D8" s="82"/>
      <c r="E8" s="82"/>
    </row>
    <row r="9" spans="2:15">
      <c r="H9" s="83" t="s">
        <v>86</v>
      </c>
      <c r="I9" s="83"/>
      <c r="J9" s="83"/>
      <c r="K9" s="83"/>
      <c r="L9" s="83"/>
      <c r="M9" s="83"/>
      <c r="N9" s="83"/>
      <c r="O9" s="83"/>
    </row>
    <row r="10" spans="2:15">
      <c r="B10" s="53" t="s">
        <v>17</v>
      </c>
      <c r="C10" s="54" t="s">
        <v>39</v>
      </c>
      <c r="D10" s="54" t="s">
        <v>83</v>
      </c>
      <c r="E10" s="55" t="s">
        <v>84</v>
      </c>
      <c r="H10" s="83"/>
      <c r="I10" s="83"/>
      <c r="J10" s="83"/>
      <c r="K10" s="83"/>
      <c r="L10" s="83"/>
      <c r="M10" s="83"/>
      <c r="N10" s="83"/>
      <c r="O10" s="83"/>
    </row>
    <row r="11" spans="2:15" ht="15.75" customHeight="1">
      <c r="B11" s="49">
        <v>1</v>
      </c>
      <c r="C11" s="50" t="str">
        <f>INDEX('01.2012 г'!$C2:$C999,MATCH('Ведомость оплаты'!$E$4,'01.2012 г'!$B2:$B999,0))</f>
        <v>Наимов Сафар</v>
      </c>
      <c r="D11" s="50">
        <f>INDEX('01.2012 г'!$I2:$I999,MATCH('Ведомость оплаты'!$E$4,'01.2012 г'!$B2:$B999,0))</f>
        <v>235.3</v>
      </c>
      <c r="E11" s="50"/>
      <c r="H11" s="83"/>
      <c r="I11" s="83"/>
      <c r="J11" s="83"/>
      <c r="K11" s="83"/>
      <c r="L11" s="83"/>
      <c r="M11" s="83"/>
      <c r="N11" s="83"/>
      <c r="O11" s="83"/>
    </row>
    <row r="12" spans="2:15" ht="15.75" customHeight="1">
      <c r="B12" s="49">
        <v>2</v>
      </c>
      <c r="C12" s="50" t="str">
        <f>INDEX('01.2012 г'!$C3:$C1000,MATCH('Ведомость оплаты'!$E$4,'01.2012 г'!$B3:$B1000,0))</f>
        <v>Муратов Акбар</v>
      </c>
      <c r="D12" s="50">
        <f>INDEX('01.2012 г'!$I3:$I1000,MATCH('Ведомость оплаты'!$E$4,'01.2012 г'!$B3:$B1000,0))</f>
        <v>197.34</v>
      </c>
      <c r="E12" s="50"/>
      <c r="H12" s="83"/>
      <c r="I12" s="83"/>
      <c r="J12" s="83"/>
      <c r="K12" s="83"/>
      <c r="L12" s="83"/>
      <c r="M12" s="83"/>
      <c r="N12" s="83"/>
      <c r="O12" s="83"/>
    </row>
    <row r="13" spans="2:15" ht="15.75" customHeight="1">
      <c r="B13" s="49">
        <v>3</v>
      </c>
      <c r="C13" s="50" t="str">
        <f>INDEX('01.2012 г'!$C4:$C1001,MATCH('Ведомость оплаты'!$E$4,'01.2012 г'!$B4:$B1001,0))</f>
        <v>Сафаров Собир</v>
      </c>
      <c r="D13" s="50">
        <f>INDEX('01.2012 г'!$I4:$I1001,MATCH('Ведомость оплаты'!$E$4,'01.2012 г'!$B4:$B1001,0))</f>
        <v>197.4</v>
      </c>
      <c r="E13" s="50"/>
      <c r="H13" s="83"/>
      <c r="I13" s="83"/>
      <c r="J13" s="83"/>
      <c r="K13" s="83"/>
      <c r="L13" s="83"/>
      <c r="M13" s="83"/>
      <c r="N13" s="83"/>
      <c r="O13" s="83"/>
    </row>
    <row r="14" spans="2:15" ht="15.75" customHeight="1">
      <c r="B14" s="49">
        <v>4</v>
      </c>
      <c r="C14" s="50" t="str">
        <f>INDEX('01.2012 г'!$C5:$C1002,MATCH('Ведомость оплаты'!$E$4,'01.2012 г'!$B5:$B1002,0))</f>
        <v>Сабуров Хотам</v>
      </c>
      <c r="D14" s="50">
        <f>INDEX('01.2012 г'!$I5:$I1002,MATCH('Ведомость оплаты'!$E$4,'01.2012 г'!$B5:$B1002,0))</f>
        <v>197.34</v>
      </c>
      <c r="E14" s="50"/>
      <c r="H14" s="83"/>
      <c r="I14" s="83"/>
      <c r="J14" s="83"/>
      <c r="K14" s="83"/>
      <c r="L14" s="83"/>
      <c r="M14" s="83"/>
      <c r="N14" s="83"/>
      <c r="O14" s="83"/>
    </row>
    <row r="15" spans="2:15" ht="15.75" customHeight="1">
      <c r="B15" s="49">
        <v>5</v>
      </c>
      <c r="C15" s="50" t="str">
        <f>INDEX('01.2012 г'!$C6:$C1003,MATCH('Ведомость оплаты'!$E$4,'01.2012 г'!$B6:$B1003,0))</f>
        <v>Саидов Абдуманон</v>
      </c>
      <c r="D15" s="50">
        <f>INDEX('01.2012 г'!$I6:$I1003,MATCH('Ведомость оплаты'!$E$4,'01.2012 г'!$B6:$B1003,0))</f>
        <v>98.67</v>
      </c>
      <c r="E15" s="50"/>
      <c r="H15" s="83"/>
      <c r="I15" s="83"/>
      <c r="J15" s="83"/>
      <c r="K15" s="83"/>
      <c r="L15" s="83"/>
      <c r="M15" s="83"/>
      <c r="N15" s="83"/>
      <c r="O15" s="83"/>
    </row>
    <row r="16" spans="2:15" ht="15.75" customHeight="1">
      <c r="B16" s="49">
        <v>6</v>
      </c>
      <c r="C16" s="50" t="str">
        <f>INDEX('01.2012 г'!$C7:$C1004,MATCH('Ведомость оплаты'!$E$4,'01.2012 г'!$B7:$B1004,0))</f>
        <v>Давлатов Талиб</v>
      </c>
      <c r="D16" s="50">
        <f>INDEX('01.2012 г'!$I7:$I1004,MATCH('Ведомость оплаты'!$E$4,'01.2012 г'!$B7:$B1004,0))</f>
        <v>104</v>
      </c>
      <c r="E16" s="50"/>
      <c r="H16" s="83"/>
      <c r="I16" s="83"/>
      <c r="J16" s="83"/>
      <c r="K16" s="83"/>
      <c r="L16" s="83"/>
      <c r="M16" s="83"/>
      <c r="N16" s="83"/>
      <c r="O16" s="83"/>
    </row>
    <row r="17" spans="2:15" ht="15.75" customHeight="1">
      <c r="B17" s="49">
        <v>7</v>
      </c>
      <c r="C17" s="50" t="str">
        <f>INDEX('01.2012 г'!$C8:$C1005,MATCH('Ведомость оплаты'!$E$4,'01.2012 г'!$B8:$B1005,0))</f>
        <v>Матинов Холиддин</v>
      </c>
      <c r="D17" s="50">
        <f>INDEX('01.2012 г'!$I8:$I1005,MATCH('Ведомость оплаты'!$E$4,'01.2012 г'!$B8:$B1005,0))</f>
        <v>79</v>
      </c>
      <c r="E17" s="50"/>
      <c r="H17" s="83"/>
      <c r="I17" s="83"/>
      <c r="J17" s="83"/>
      <c r="K17" s="83"/>
      <c r="L17" s="83"/>
      <c r="M17" s="83"/>
      <c r="N17" s="83"/>
      <c r="O17" s="83"/>
    </row>
    <row r="18" spans="2:15" ht="15.75" customHeight="1">
      <c r="B18" s="49">
        <v>8</v>
      </c>
      <c r="C18" s="50" t="str">
        <f>INDEX('01.2012 г'!$C9:$C1006,MATCH('Ведомость оплаты'!$E$4,'01.2012 г'!$B9:$B1006,0))</f>
        <v>Наботов Насим</v>
      </c>
      <c r="D18" s="50">
        <f>INDEX('01.2012 г'!$I9:$I1006,MATCH('Ведомость оплаты'!$E$4,'01.2012 г'!$B9:$B1006,0))</f>
        <v>104</v>
      </c>
      <c r="E18" s="50"/>
      <c r="H18" s="83"/>
      <c r="I18" s="83"/>
      <c r="J18" s="83"/>
      <c r="K18" s="83"/>
      <c r="L18" s="83"/>
      <c r="M18" s="83"/>
      <c r="N18" s="83"/>
      <c r="O18" s="83"/>
    </row>
    <row r="19" spans="2:15" ht="15.75" customHeight="1">
      <c r="B19" s="49">
        <v>9</v>
      </c>
      <c r="C19" s="50" t="str">
        <f>INDEX('01.2012 г'!$C10:$C1007,MATCH('Ведомость оплаты'!$E$4,'01.2012 г'!$B10:$B1007,0))</f>
        <v>Нуриддинов А</v>
      </c>
      <c r="D19" s="50">
        <f>INDEX('01.2012 г'!$I10:$I1007,MATCH('Ведомость оплаты'!$E$4,'01.2012 г'!$B10:$B1007,0))</f>
        <v>104</v>
      </c>
      <c r="E19" s="50"/>
      <c r="H19" s="83"/>
      <c r="I19" s="83"/>
      <c r="J19" s="83"/>
      <c r="K19" s="83"/>
      <c r="L19" s="83"/>
      <c r="M19" s="83"/>
      <c r="N19" s="83"/>
      <c r="O19" s="83"/>
    </row>
    <row r="20" spans="2:15" ht="15.75" customHeight="1">
      <c r="B20" s="49">
        <v>10</v>
      </c>
      <c r="C20" s="50" t="str">
        <f>INDEX('01.2012 г'!$C11:$C1008,MATCH('Ведомость оплаты'!$E$4,'01.2012 г'!$B11:$B1008,0))</f>
        <v>Солехов Файзулло</v>
      </c>
      <c r="D20" s="50">
        <f>INDEX('01.2012 г'!$I11:$I1008,MATCH('Ведомость оплаты'!$E$4,'01.2012 г'!$B11:$B1008,0))</f>
        <v>131.1</v>
      </c>
      <c r="E20" s="50"/>
      <c r="H20" s="83"/>
      <c r="I20" s="83"/>
      <c r="J20" s="83"/>
      <c r="K20" s="83"/>
      <c r="L20" s="83"/>
      <c r="M20" s="83"/>
      <c r="N20" s="83"/>
      <c r="O20" s="83"/>
    </row>
    <row r="21" spans="2:15" ht="15.75" customHeight="1">
      <c r="B21" s="49">
        <v>11</v>
      </c>
      <c r="C21" s="50" t="str">
        <f>INDEX('01.2012 г'!$C12:$C1009,MATCH('Ведомость оплаты'!$E$4,'01.2012 г'!$B12:$B1009,0))</f>
        <v>Зиёев Идибек</v>
      </c>
      <c r="D21" s="50">
        <f>INDEX('01.2012 г'!$I12:$I1009,MATCH('Ведомость оплаты'!$E$4,'01.2012 г'!$B12:$B1009,0))</f>
        <v>197.4</v>
      </c>
      <c r="E21" s="50"/>
      <c r="H21" s="83"/>
      <c r="I21" s="83"/>
      <c r="J21" s="83"/>
      <c r="K21" s="83"/>
      <c r="L21" s="83"/>
      <c r="M21" s="83"/>
      <c r="N21" s="83"/>
      <c r="O21" s="83"/>
    </row>
    <row r="22" spans="2:15" ht="15.75" customHeight="1">
      <c r="B22" s="49">
        <v>12</v>
      </c>
      <c r="C22" s="50" t="e">
        <f>INDEX('01.2012 г'!$C13:$C1010,MATCH('Ведомость оплаты'!$E$4,'01.2012 г'!$B13:$B1010,0))</f>
        <v>#N/A</v>
      </c>
      <c r="D22" s="50" t="e">
        <f>INDEX('01.2012 г'!$I13:$I1010,MATCH('Ведомость оплаты'!$E$4,'01.2012 г'!$B13:$B1010,0))</f>
        <v>#N/A</v>
      </c>
      <c r="E22" s="50"/>
      <c r="H22" s="83"/>
      <c r="I22" s="83"/>
      <c r="J22" s="83"/>
      <c r="K22" s="83"/>
      <c r="L22" s="83"/>
      <c r="M22" s="83"/>
      <c r="N22" s="83"/>
      <c r="O22" s="83"/>
    </row>
    <row r="23" spans="2:15" ht="15.75" customHeight="1">
      <c r="B23" s="49">
        <v>13</v>
      </c>
      <c r="C23" s="50" t="e">
        <f>INDEX('01.2012 г'!$C14:$C1011,MATCH('Ведомость оплаты'!$E$4,'01.2012 г'!$B14:$B1011,0))</f>
        <v>#N/A</v>
      </c>
      <c r="D23" s="50" t="e">
        <f>INDEX('01.2012 г'!$I14:$I1011,MATCH('Ведомость оплаты'!$E$4,'01.2012 г'!$B14:$B1011,0))</f>
        <v>#N/A</v>
      </c>
      <c r="E23" s="50"/>
      <c r="H23" s="83"/>
      <c r="I23" s="83"/>
      <c r="J23" s="83"/>
      <c r="K23" s="83"/>
      <c r="L23" s="83"/>
      <c r="M23" s="83"/>
      <c r="N23" s="83"/>
      <c r="O23" s="83"/>
    </row>
    <row r="24" spans="2:15" ht="15.75" customHeight="1">
      <c r="B24" s="49">
        <v>14</v>
      </c>
      <c r="C24" s="50" t="e">
        <f>INDEX('01.2012 г'!$C15:$C1012,MATCH('Ведомость оплаты'!$E$4,'01.2012 г'!$B15:$B1012,0))</f>
        <v>#N/A</v>
      </c>
      <c r="D24" s="50" t="e">
        <f>INDEX('01.2012 г'!$I15:$I1012,MATCH('Ведомость оплаты'!$E$4,'01.2012 г'!$B15:$B1012,0))</f>
        <v>#N/A</v>
      </c>
      <c r="E24" s="50"/>
      <c r="H24" s="83"/>
      <c r="I24" s="83"/>
      <c r="J24" s="83"/>
      <c r="K24" s="83"/>
      <c r="L24" s="83"/>
      <c r="M24" s="83"/>
      <c r="N24" s="83"/>
      <c r="O24" s="83"/>
    </row>
    <row r="25" spans="2:15" ht="15.75" customHeight="1">
      <c r="B25" s="49">
        <v>15</v>
      </c>
      <c r="C25" s="50" t="e">
        <f>INDEX('01.2012 г'!$C16:$C1013,MATCH('Ведомость оплаты'!$E$4,'01.2012 г'!$B16:$B1013,0))</f>
        <v>#N/A</v>
      </c>
      <c r="D25" s="50" t="e">
        <f>INDEX('01.2012 г'!$I16:$I1013,MATCH('Ведомость оплаты'!$E$4,'01.2012 г'!$B16:$B1013,0))</f>
        <v>#N/A</v>
      </c>
      <c r="E25" s="50"/>
      <c r="H25" s="83"/>
      <c r="I25" s="83"/>
      <c r="J25" s="83"/>
      <c r="K25" s="83"/>
      <c r="L25" s="83"/>
      <c r="M25" s="83"/>
      <c r="N25" s="83"/>
      <c r="O25" s="83"/>
    </row>
    <row r="26" spans="2:15" ht="15.75" customHeight="1">
      <c r="B26" s="49">
        <v>16</v>
      </c>
      <c r="C26" s="50" t="e">
        <f>INDEX('01.2012 г'!$C17:$C1014,MATCH('Ведомость оплаты'!$E$4,'01.2012 г'!$B17:$B1014,0))</f>
        <v>#N/A</v>
      </c>
      <c r="D26" s="50" t="e">
        <f>INDEX('01.2012 г'!$I17:$I1014,MATCH('Ведомость оплаты'!$E$4,'01.2012 г'!$B17:$B1014,0))</f>
        <v>#N/A</v>
      </c>
      <c r="E26" s="50"/>
      <c r="H26" s="83"/>
      <c r="I26" s="83"/>
      <c r="J26" s="83"/>
      <c r="K26" s="83"/>
      <c r="L26" s="83"/>
      <c r="M26" s="83"/>
      <c r="N26" s="83"/>
      <c r="O26" s="83"/>
    </row>
    <row r="27" spans="2:15" ht="15.75" customHeight="1">
      <c r="B27" s="49">
        <v>17</v>
      </c>
      <c r="C27" s="50" t="e">
        <f>INDEX('01.2012 г'!$C18:$C1015,MATCH('Ведомость оплаты'!$E$4,'01.2012 г'!$B18:$B1015,0))</f>
        <v>#N/A</v>
      </c>
      <c r="D27" s="50" t="e">
        <f>INDEX('01.2012 г'!$I18:$I1015,MATCH('Ведомость оплаты'!$E$4,'01.2012 г'!$B18:$B1015,0))</f>
        <v>#N/A</v>
      </c>
      <c r="E27" s="50"/>
      <c r="H27" s="83"/>
      <c r="I27" s="83"/>
      <c r="J27" s="83"/>
      <c r="K27" s="83"/>
      <c r="L27" s="83"/>
      <c r="M27" s="83"/>
      <c r="N27" s="83"/>
      <c r="O27" s="83"/>
    </row>
    <row r="28" spans="2:15" ht="15.75" customHeight="1">
      <c r="B28" s="49">
        <v>18</v>
      </c>
      <c r="C28" s="50" t="e">
        <f>INDEX('01.2012 г'!$C19:$C1016,MATCH('Ведомость оплаты'!$E$4,'01.2012 г'!$B19:$B1016,0))</f>
        <v>#N/A</v>
      </c>
      <c r="D28" s="50" t="e">
        <f>INDEX('01.2012 г'!$I19:$I1016,MATCH('Ведомость оплаты'!$E$4,'01.2012 г'!$B19:$B1016,0))</f>
        <v>#N/A</v>
      </c>
      <c r="E28" s="50"/>
      <c r="H28" s="83"/>
      <c r="I28" s="83"/>
      <c r="J28" s="83"/>
      <c r="K28" s="83"/>
      <c r="L28" s="83"/>
      <c r="M28" s="83"/>
      <c r="N28" s="83"/>
      <c r="O28" s="83"/>
    </row>
    <row r="29" spans="2:15" ht="15.75" customHeight="1">
      <c r="B29" s="49">
        <v>19</v>
      </c>
      <c r="C29" s="50" t="e">
        <f>INDEX('01.2012 г'!$C20:$C1017,MATCH('Ведомость оплаты'!$E$4,'01.2012 г'!$B20:$B1017,0))</f>
        <v>#N/A</v>
      </c>
      <c r="D29" s="50" t="e">
        <f>INDEX('01.2012 г'!$I20:$I1017,MATCH('Ведомость оплаты'!$E$4,'01.2012 г'!$B20:$B1017,0))</f>
        <v>#N/A</v>
      </c>
      <c r="E29" s="50"/>
      <c r="H29" s="83"/>
      <c r="I29" s="83"/>
      <c r="J29" s="83"/>
      <c r="K29" s="83"/>
      <c r="L29" s="83"/>
      <c r="M29" s="83"/>
      <c r="N29" s="83"/>
      <c r="O29" s="83"/>
    </row>
    <row r="30" spans="2:15" ht="15.75" customHeight="1">
      <c r="B30" s="49">
        <v>20</v>
      </c>
      <c r="C30" s="50" t="e">
        <f>INDEX('01.2012 г'!$C21:$C1018,MATCH('Ведомость оплаты'!$E$4,'01.2012 г'!$B21:$B1018,0))</f>
        <v>#N/A</v>
      </c>
      <c r="D30" s="50" t="e">
        <f>INDEX('01.2012 г'!$I21:$I1018,MATCH('Ведомость оплаты'!$E$4,'01.2012 г'!$B21:$B1018,0))</f>
        <v>#N/A</v>
      </c>
      <c r="E30" s="50"/>
      <c r="H30" s="83"/>
      <c r="I30" s="83"/>
      <c r="J30" s="83"/>
      <c r="K30" s="83"/>
      <c r="L30" s="83"/>
      <c r="M30" s="83"/>
      <c r="N30" s="83"/>
      <c r="O30" s="83"/>
    </row>
    <row r="31" spans="2:15" ht="15.75" customHeight="1">
      <c r="B31" s="49">
        <v>21</v>
      </c>
      <c r="C31" s="50" t="e">
        <f>INDEX('01.2012 г'!$C22:$C1019,MATCH('Ведомость оплаты'!$E$4,'01.2012 г'!$B22:$B1019,0))</f>
        <v>#N/A</v>
      </c>
      <c r="D31" s="50" t="e">
        <f>INDEX('01.2012 г'!$I22:$I1019,MATCH('Ведомость оплаты'!$E$4,'01.2012 г'!$B22:$B1019,0))</f>
        <v>#N/A</v>
      </c>
      <c r="E31" s="50"/>
      <c r="H31" s="83"/>
      <c r="I31" s="83"/>
      <c r="J31" s="83"/>
      <c r="K31" s="83"/>
      <c r="L31" s="83"/>
      <c r="M31" s="83"/>
      <c r="N31" s="83"/>
      <c r="O31" s="83"/>
    </row>
    <row r="32" spans="2:15" ht="15.75" customHeight="1">
      <c r="B32" s="49">
        <v>22</v>
      </c>
      <c r="C32" s="50" t="e">
        <f>INDEX('01.2012 г'!$C23:$C1020,MATCH('Ведомость оплаты'!$E$4,'01.2012 г'!$B23:$B1020,0))</f>
        <v>#N/A</v>
      </c>
      <c r="D32" s="50" t="e">
        <f>INDEX('01.2012 г'!$I23:$I1020,MATCH('Ведомость оплаты'!$E$4,'01.2012 г'!$B23:$B1020,0))</f>
        <v>#N/A</v>
      </c>
      <c r="E32" s="50"/>
      <c r="H32" s="83"/>
      <c r="I32" s="83"/>
      <c r="J32" s="83"/>
      <c r="K32" s="83"/>
      <c r="L32" s="83"/>
      <c r="M32" s="83"/>
      <c r="N32" s="83"/>
      <c r="O32" s="83"/>
    </row>
    <row r="33" spans="2:15" ht="15.75" customHeight="1">
      <c r="B33" s="49">
        <v>23</v>
      </c>
      <c r="C33" s="50" t="e">
        <f>INDEX('01.2012 г'!$C24:$C1021,MATCH('Ведомость оплаты'!$E$4,'01.2012 г'!$B24:$B1021,0))</f>
        <v>#N/A</v>
      </c>
      <c r="D33" s="50" t="e">
        <f>INDEX('01.2012 г'!$I24:$I1021,MATCH('Ведомость оплаты'!$E$4,'01.2012 г'!$B24:$B1021,0))</f>
        <v>#N/A</v>
      </c>
      <c r="E33" s="50"/>
      <c r="H33" s="83"/>
      <c r="I33" s="83"/>
      <c r="J33" s="83"/>
      <c r="K33" s="83"/>
      <c r="L33" s="83"/>
      <c r="M33" s="83"/>
      <c r="N33" s="83"/>
      <c r="O33" s="83"/>
    </row>
    <row r="34" spans="2:15" ht="15.75" customHeight="1">
      <c r="B34" s="49">
        <v>24</v>
      </c>
      <c r="C34" s="50" t="e">
        <f>INDEX('01.2012 г'!$C25:$C1022,MATCH('Ведомость оплаты'!$E$4,'01.2012 г'!$B25:$B1022,0))</f>
        <v>#N/A</v>
      </c>
      <c r="D34" s="50" t="e">
        <f>INDEX('01.2012 г'!$I25:$I1022,MATCH('Ведомость оплаты'!$E$4,'01.2012 г'!$B25:$B1022,0))</f>
        <v>#N/A</v>
      </c>
      <c r="E34" s="50"/>
      <c r="H34" s="83"/>
      <c r="I34" s="83"/>
      <c r="J34" s="83"/>
      <c r="K34" s="83"/>
      <c r="L34" s="83"/>
      <c r="M34" s="83"/>
      <c r="N34" s="83"/>
      <c r="O34" s="83"/>
    </row>
    <row r="35" spans="2:15" ht="15.75" customHeight="1">
      <c r="B35" s="49">
        <v>25</v>
      </c>
      <c r="C35" s="50" t="e">
        <f>INDEX('01.2012 г'!$C26:$C1023,MATCH('Ведомость оплаты'!$E$4,'01.2012 г'!$B26:$B1023,0))</f>
        <v>#N/A</v>
      </c>
      <c r="D35" s="50" t="e">
        <f>INDEX('01.2012 г'!$I26:$I1023,MATCH('Ведомость оплаты'!$E$4,'01.2012 г'!$B26:$B1023,0))</f>
        <v>#N/A</v>
      </c>
      <c r="E35" s="50"/>
      <c r="H35" s="83"/>
      <c r="I35" s="83"/>
      <c r="J35" s="83"/>
      <c r="K35" s="83"/>
      <c r="L35" s="83"/>
      <c r="M35" s="83"/>
      <c r="N35" s="83"/>
      <c r="O35" s="83"/>
    </row>
    <row r="36" spans="2:15" ht="15.75" customHeight="1">
      <c r="B36" s="49">
        <v>26</v>
      </c>
      <c r="C36" s="50" t="e">
        <f>INDEX('01.2012 г'!$C27:$C1024,MATCH('Ведомость оплаты'!$E$4,'01.2012 г'!$B27:$B1024,0))</f>
        <v>#N/A</v>
      </c>
      <c r="D36" s="50" t="e">
        <f>INDEX('01.2012 г'!$I27:$I1024,MATCH('Ведомость оплаты'!$E$4,'01.2012 г'!$B27:$B1024,0))</f>
        <v>#N/A</v>
      </c>
      <c r="E36" s="50"/>
    </row>
    <row r="37" spans="2:15" ht="15.75" customHeight="1">
      <c r="B37" s="49">
        <v>27</v>
      </c>
      <c r="C37" s="50" t="e">
        <f>INDEX('01.2012 г'!$C28:$C1025,MATCH('Ведомость оплаты'!$E$4,'01.2012 г'!$B28:$B1025,0))</f>
        <v>#N/A</v>
      </c>
      <c r="D37" s="50" t="e">
        <f>INDEX('01.2012 г'!$I28:$I1025,MATCH('Ведомость оплаты'!$E$4,'01.2012 г'!$B28:$B1025,0))</f>
        <v>#N/A</v>
      </c>
      <c r="E37" s="50"/>
    </row>
    <row r="38" spans="2:15" ht="15.75" customHeight="1">
      <c r="B38" s="49">
        <v>28</v>
      </c>
      <c r="C38" s="50" t="e">
        <f>INDEX('01.2012 г'!$C29:$C1026,MATCH('Ведомость оплаты'!$E$4,'01.2012 г'!$B29:$B1026,0))</f>
        <v>#N/A</v>
      </c>
      <c r="D38" s="50" t="e">
        <f>INDEX('01.2012 г'!$I29:$I1026,MATCH('Ведомость оплаты'!$E$4,'01.2012 г'!$B29:$B1026,0))</f>
        <v>#N/A</v>
      </c>
      <c r="E38" s="50"/>
    </row>
    <row r="39" spans="2:15" ht="15.75" customHeight="1">
      <c r="B39" s="49">
        <v>29</v>
      </c>
      <c r="C39" s="50" t="e">
        <f>INDEX('01.2012 г'!$C29:$C1027,MATCH('Ведомость оплаты'!$E$4,'01.2012 г'!$B29:$B1027,0))</f>
        <v>#N/A</v>
      </c>
      <c r="D39" s="50" t="e">
        <f>INDEX('01.2012 г'!$I30:$I1027,MATCH('Ведомость оплаты'!$E$4,'01.2012 г'!$B30:$B1027,0))</f>
        <v>#N/A</v>
      </c>
      <c r="E39" s="50"/>
    </row>
    <row r="40" spans="2:15" ht="15.75" customHeight="1">
      <c r="B40" s="51">
        <v>30</v>
      </c>
      <c r="C40" s="52"/>
      <c r="D40" s="52"/>
      <c r="E40" s="50"/>
    </row>
    <row r="41" spans="2:15">
      <c r="C41" t="s">
        <v>70</v>
      </c>
      <c r="D41" t="e">
        <f>SUM(D11:D40)</f>
        <v>#N/A</v>
      </c>
    </row>
  </sheetData>
  <mergeCells count="3">
    <mergeCell ref="B7:E7"/>
    <mergeCell ref="B8:E8"/>
    <mergeCell ref="H9:O35"/>
  </mergeCells>
  <phoneticPr fontId="2" type="noConversion"/>
  <dataValidations count="1">
    <dataValidation type="list" allowBlank="1" showInputMessage="1" showErrorMessage="1" sqref="E4">
      <formula1>"Управление, Отдел кадров, Бухгалтерия и финансы, Отдел анализа и экономики, Отдел по науке"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Z32"/>
  <sheetViews>
    <sheetView showGridLines="0" showZeros="0" showOutlineSymbols="0" zoomScale="85" zoomScaleNormal="85" zoomScaleSheetLayoutView="85" workbookViewId="0">
      <pane xSplit="6" ySplit="1" topLeftCell="G2" activePane="bottomRight" state="frozenSplit"/>
      <selection activeCell="C15" sqref="C15"/>
      <selection pane="topRight" activeCell="C15" sqref="C15"/>
      <selection pane="bottomLeft" activeCell="C15" sqref="C15"/>
      <selection pane="bottomRight" activeCell="B2" sqref="B2"/>
    </sheetView>
  </sheetViews>
  <sheetFormatPr defaultRowHeight="12.75"/>
  <cols>
    <col min="1" max="1" width="3.85546875" style="29" bestFit="1" customWidth="1"/>
    <col min="2" max="2" width="24.85546875" style="56" bestFit="1" customWidth="1"/>
    <col min="3" max="3" width="31.42578125" style="31" customWidth="1"/>
    <col min="4" max="4" width="14.42578125" style="9" bestFit="1" customWidth="1"/>
    <col min="5" max="5" width="3" style="10" bestFit="1" customWidth="1"/>
    <col min="6" max="6" width="2.5703125" style="12" bestFit="1" customWidth="1"/>
    <col min="7" max="7" width="3.5703125" style="11" bestFit="1" customWidth="1"/>
    <col min="8" max="8" width="5.140625" style="11" bestFit="1" customWidth="1"/>
    <col min="9" max="9" width="10" style="11" bestFit="1" customWidth="1"/>
    <col min="10" max="10" width="6.5703125" style="8" customWidth="1"/>
    <col min="11" max="11" width="6.85546875" style="8" customWidth="1"/>
    <col min="12" max="12" width="7" style="7" bestFit="1" customWidth="1"/>
    <col min="13" max="13" width="10" style="8" bestFit="1" customWidth="1"/>
    <col min="14" max="14" width="3.140625" style="11" bestFit="1" customWidth="1"/>
    <col min="15" max="20" width="3.140625" style="8" bestFit="1" customWidth="1"/>
    <col min="21" max="21" width="8.85546875" style="8" bestFit="1" customWidth="1"/>
    <col min="22" max="23" width="7.7109375" style="8" bestFit="1" customWidth="1"/>
    <col min="24" max="24" width="8.85546875" style="8" bestFit="1" customWidth="1"/>
    <col min="25" max="25" width="3" style="8" bestFit="1" customWidth="1"/>
    <col min="26" max="26" width="10" style="8" bestFit="1" customWidth="1"/>
    <col min="27" max="16384" width="9.140625" style="7"/>
  </cols>
  <sheetData>
    <row r="1" spans="1:26" s="6" customFormat="1" ht="21.75" customHeight="1">
      <c r="A1" s="57" t="s">
        <v>17</v>
      </c>
      <c r="B1" s="58"/>
      <c r="C1" s="58" t="s">
        <v>39</v>
      </c>
      <c r="D1" s="57" t="s">
        <v>40</v>
      </c>
      <c r="E1" s="59" t="s">
        <v>18</v>
      </c>
      <c r="F1" s="59" t="s">
        <v>19</v>
      </c>
      <c r="G1" s="57" t="s">
        <v>41</v>
      </c>
      <c r="H1" s="57" t="s">
        <v>42</v>
      </c>
      <c r="I1" s="59" t="s">
        <v>43</v>
      </c>
      <c r="J1" s="59" t="s">
        <v>78</v>
      </c>
      <c r="K1" s="59" t="s">
        <v>79</v>
      </c>
      <c r="L1" s="57" t="s">
        <v>44</v>
      </c>
      <c r="M1" s="59" t="s">
        <v>20</v>
      </c>
      <c r="N1" s="59">
        <v>10</v>
      </c>
      <c r="O1" s="59">
        <v>41</v>
      </c>
      <c r="P1" s="59">
        <v>46</v>
      </c>
      <c r="Q1" s="59">
        <v>50</v>
      </c>
      <c r="R1" s="59">
        <v>50</v>
      </c>
      <c r="S1" s="59">
        <v>50</v>
      </c>
      <c r="T1" s="59">
        <v>71</v>
      </c>
      <c r="U1" s="59" t="s">
        <v>45</v>
      </c>
      <c r="V1" s="59" t="s">
        <v>46</v>
      </c>
      <c r="W1" s="59" t="s">
        <v>47</v>
      </c>
      <c r="X1" s="59" t="s">
        <v>21</v>
      </c>
      <c r="Y1" s="59" t="s">
        <v>18</v>
      </c>
      <c r="Z1" s="59" t="s">
        <v>19</v>
      </c>
    </row>
    <row r="2" spans="1:26" s="27" customFormat="1" ht="12">
      <c r="A2" s="60">
        <v>1</v>
      </c>
      <c r="B2" s="61" t="s">
        <v>88</v>
      </c>
      <c r="C2" s="30" t="s">
        <v>26</v>
      </c>
      <c r="D2" s="22" t="s">
        <v>3</v>
      </c>
      <c r="E2" s="23"/>
      <c r="F2" s="23"/>
      <c r="G2" s="28">
        <v>25</v>
      </c>
      <c r="H2" s="28">
        <v>50</v>
      </c>
      <c r="I2" s="24">
        <v>235.3</v>
      </c>
      <c r="J2" s="24"/>
      <c r="K2" s="24"/>
      <c r="L2" s="24"/>
      <c r="M2" s="24">
        <f t="shared" ref="M2:M12" si="0">SUM(I2:L2)</f>
        <v>235.3</v>
      </c>
      <c r="N2" s="24"/>
      <c r="O2" s="24"/>
      <c r="P2" s="25"/>
      <c r="Q2" s="24"/>
      <c r="R2" s="24"/>
      <c r="S2" s="24"/>
      <c r="T2" s="24"/>
      <c r="U2" s="26">
        <f>ROUND(IF(M2-K2&gt;Тарифы!$C$3,IF(M2-K2&gt;100,(M2-K2-((M2-K2)/100)-100)*0.13+4.8,((M2-K2-((M2-K2)/100)-Тарифы!$C$3)*0.08)),),2)</f>
        <v>22.08</v>
      </c>
      <c r="V2" s="24">
        <f t="shared" ref="V2:V12" si="1">ROUND((M2-K2)/100,2)</f>
        <v>2.35</v>
      </c>
      <c r="W2" s="24">
        <f t="shared" ref="W2:W12" si="2">ROUND((M2-K2)/100,2)</f>
        <v>2.35</v>
      </c>
      <c r="X2" s="24">
        <f t="shared" ref="X2:X12" si="3">SUM(N2:W2)</f>
        <v>26.78</v>
      </c>
      <c r="Y2" s="24">
        <f t="shared" ref="Y2:Y12" si="4">ROUND(ABS(IF((M2-X2+F2-E2)&lt;0,M2-X2+F2-E2,0)),2)</f>
        <v>0</v>
      </c>
      <c r="Z2" s="24">
        <f t="shared" ref="Z2:Z12" si="5">ROUND(IF((M2-X2+F2-E2)&gt;0,M2-X2+F2-E2,0),2)</f>
        <v>208.52</v>
      </c>
    </row>
    <row r="3" spans="1:26" s="27" customFormat="1" ht="12">
      <c r="A3" s="60">
        <v>2</v>
      </c>
      <c r="B3" s="61" t="s">
        <v>88</v>
      </c>
      <c r="C3" s="30" t="s">
        <v>27</v>
      </c>
      <c r="D3" s="22" t="s">
        <v>31</v>
      </c>
      <c r="E3" s="23"/>
      <c r="F3" s="23"/>
      <c r="G3" s="28">
        <v>25</v>
      </c>
      <c r="H3" s="28">
        <f t="shared" ref="H3:H12" si="6">SUM(G3*8)</f>
        <v>200</v>
      </c>
      <c r="I3" s="24">
        <v>197.34</v>
      </c>
      <c r="J3" s="24"/>
      <c r="K3" s="24"/>
      <c r="L3" s="24">
        <v>45.6</v>
      </c>
      <c r="M3" s="24">
        <f t="shared" si="0"/>
        <v>242.94</v>
      </c>
      <c r="N3" s="24"/>
      <c r="O3" s="24"/>
      <c r="P3" s="24"/>
      <c r="Q3" s="24"/>
      <c r="R3" s="24"/>
      <c r="S3" s="24"/>
      <c r="T3" s="26"/>
      <c r="U3" s="26">
        <f>ROUND(IF(M3-K3&gt;Тарифы!$C$3,IF(M3-K3&gt;100,(M3-K3-((M3-K3)/100)-100)*0.13+4.8,((M3-K3-((M3-K3)/100)-Тарифы!$C$3)*0.08)),),2)</f>
        <v>23.07</v>
      </c>
      <c r="V3" s="24">
        <f t="shared" si="1"/>
        <v>2.4300000000000002</v>
      </c>
      <c r="W3" s="24">
        <f t="shared" si="2"/>
        <v>2.4300000000000002</v>
      </c>
      <c r="X3" s="24">
        <f t="shared" si="3"/>
        <v>27.93</v>
      </c>
      <c r="Y3" s="24">
        <f t="shared" si="4"/>
        <v>0</v>
      </c>
      <c r="Z3" s="24">
        <f t="shared" si="5"/>
        <v>215.01</v>
      </c>
    </row>
    <row r="4" spans="1:26" s="27" customFormat="1" ht="12">
      <c r="A4" s="60">
        <v>3</v>
      </c>
      <c r="B4" s="61" t="s">
        <v>88</v>
      </c>
      <c r="C4" s="30" t="s">
        <v>28</v>
      </c>
      <c r="D4" s="22" t="s">
        <v>32</v>
      </c>
      <c r="E4" s="23"/>
      <c r="F4" s="23"/>
      <c r="G4" s="28">
        <v>25</v>
      </c>
      <c r="H4" s="28">
        <f t="shared" si="6"/>
        <v>200</v>
      </c>
      <c r="I4" s="24">
        <v>197.4</v>
      </c>
      <c r="J4" s="24"/>
      <c r="K4" s="24"/>
      <c r="L4" s="24"/>
      <c r="M4" s="24">
        <f t="shared" si="0"/>
        <v>197.4</v>
      </c>
      <c r="N4" s="24"/>
      <c r="O4" s="24"/>
      <c r="P4" s="24"/>
      <c r="Q4" s="24"/>
      <c r="R4" s="24"/>
      <c r="S4" s="24"/>
      <c r="T4" s="24"/>
      <c r="U4" s="26">
        <f>ROUND(IF(M4-K4&gt;Тарифы!$C$3,IF(M4-K4&gt;100,(M4-K4-((M4-K4)/100)-100)*0.13+4.8,((M4-K4-((M4-K4)/100)-Тарифы!$C$3)*0.08)),),2)</f>
        <v>17.21</v>
      </c>
      <c r="V4" s="24">
        <f t="shared" si="1"/>
        <v>1.97</v>
      </c>
      <c r="W4" s="24">
        <f t="shared" si="2"/>
        <v>1.97</v>
      </c>
      <c r="X4" s="24">
        <f t="shared" si="3"/>
        <v>21.15</v>
      </c>
      <c r="Y4" s="24">
        <f t="shared" si="4"/>
        <v>0</v>
      </c>
      <c r="Z4" s="24">
        <f t="shared" si="5"/>
        <v>176.25</v>
      </c>
    </row>
    <row r="5" spans="1:26" s="27" customFormat="1" ht="12">
      <c r="A5" s="60">
        <v>4</v>
      </c>
      <c r="B5" s="61" t="s">
        <v>88</v>
      </c>
      <c r="C5" s="30" t="s">
        <v>29</v>
      </c>
      <c r="D5" s="22" t="s">
        <v>33</v>
      </c>
      <c r="E5" s="23"/>
      <c r="F5" s="23"/>
      <c r="G5" s="28">
        <v>25</v>
      </c>
      <c r="H5" s="28">
        <f t="shared" si="6"/>
        <v>200</v>
      </c>
      <c r="I5" s="24">
        <v>197.34</v>
      </c>
      <c r="J5" s="24"/>
      <c r="K5" s="24"/>
      <c r="L5" s="24">
        <v>45.6</v>
      </c>
      <c r="M5" s="24">
        <f t="shared" si="0"/>
        <v>242.94</v>
      </c>
      <c r="N5" s="24"/>
      <c r="O5" s="24"/>
      <c r="P5" s="24"/>
      <c r="Q5" s="24"/>
      <c r="R5" s="24"/>
      <c r="S5" s="24"/>
      <c r="T5" s="24"/>
      <c r="U5" s="26">
        <f>ROUND(IF(M5-K5&gt;Тарифы!$C$3,IF(M5-K5&gt;100,(M5-K5-((M5-K5)/100)-100)*0.13+4.8,((M5-K5-((M5-K5)/100)-Тарифы!$C$3)*0.08)),),2)</f>
        <v>23.07</v>
      </c>
      <c r="V5" s="24">
        <f t="shared" si="1"/>
        <v>2.4300000000000002</v>
      </c>
      <c r="W5" s="24">
        <f t="shared" si="2"/>
        <v>2.4300000000000002</v>
      </c>
      <c r="X5" s="24">
        <f t="shared" si="3"/>
        <v>27.93</v>
      </c>
      <c r="Y5" s="24">
        <f t="shared" si="4"/>
        <v>0</v>
      </c>
      <c r="Z5" s="24">
        <f t="shared" si="5"/>
        <v>215.01</v>
      </c>
    </row>
    <row r="6" spans="1:26" s="27" customFormat="1" ht="12">
      <c r="A6" s="60">
        <v>5</v>
      </c>
      <c r="B6" s="61" t="s">
        <v>88</v>
      </c>
      <c r="C6" s="30" t="s">
        <v>23</v>
      </c>
      <c r="D6" s="22" t="s">
        <v>34</v>
      </c>
      <c r="E6" s="23"/>
      <c r="F6" s="23"/>
      <c r="G6" s="28">
        <v>25</v>
      </c>
      <c r="H6" s="28">
        <f t="shared" si="6"/>
        <v>200</v>
      </c>
      <c r="I6" s="26">
        <v>98.67</v>
      </c>
      <c r="J6" s="24"/>
      <c r="K6" s="24"/>
      <c r="L6" s="24"/>
      <c r="M6" s="24">
        <f t="shared" si="0"/>
        <v>98.67</v>
      </c>
      <c r="N6" s="24"/>
      <c r="O6" s="24"/>
      <c r="P6" s="24"/>
      <c r="Q6" s="24"/>
      <c r="R6" s="24"/>
      <c r="S6" s="24"/>
      <c r="T6" s="24"/>
      <c r="U6" s="26">
        <f>ROUND(IF(M6-K6&gt;Тарифы!$C$3,IF(M6-K6&gt;100,(M6-K6-((M6-K6)/100)-100)*0.13+4.8,((M6-K6-((M6-K6)/100)-Тарифы!$C$3)*0.08)),),2)</f>
        <v>4.6100000000000003</v>
      </c>
      <c r="V6" s="24">
        <f t="shared" si="1"/>
        <v>0.99</v>
      </c>
      <c r="W6" s="24">
        <f t="shared" si="2"/>
        <v>0.99</v>
      </c>
      <c r="X6" s="24">
        <f t="shared" si="3"/>
        <v>6.5900000000000007</v>
      </c>
      <c r="Y6" s="24">
        <f t="shared" si="4"/>
        <v>0</v>
      </c>
      <c r="Z6" s="24">
        <f t="shared" si="5"/>
        <v>92.08</v>
      </c>
    </row>
    <row r="7" spans="1:26" s="27" customFormat="1" ht="12">
      <c r="A7" s="60">
        <v>6</v>
      </c>
      <c r="B7" s="61" t="s">
        <v>88</v>
      </c>
      <c r="C7" s="30" t="s">
        <v>30</v>
      </c>
      <c r="D7" s="22" t="s">
        <v>35</v>
      </c>
      <c r="E7" s="23"/>
      <c r="F7" s="23"/>
      <c r="G7" s="28">
        <v>25</v>
      </c>
      <c r="H7" s="28">
        <f t="shared" si="6"/>
        <v>200</v>
      </c>
      <c r="I7" s="24">
        <v>104</v>
      </c>
      <c r="J7" s="24"/>
      <c r="K7" s="24"/>
      <c r="L7" s="24"/>
      <c r="M7" s="24">
        <f t="shared" si="0"/>
        <v>104</v>
      </c>
      <c r="N7" s="24"/>
      <c r="O7" s="24"/>
      <c r="P7" s="24"/>
      <c r="Q7" s="24"/>
      <c r="R7" s="24"/>
      <c r="S7" s="24"/>
      <c r="T7" s="24"/>
      <c r="U7" s="26">
        <f>ROUND(IF(M7-K7&gt;Тарифы!$C$3,IF(M7-K7&gt;100,(M7-K7-((M7-K7)/100)-100)*0.13+4.8,((M7-K7-((M7-K7)/100)-Тарифы!$C$3)*0.08)),),2)</f>
        <v>5.18</v>
      </c>
      <c r="V7" s="24">
        <f t="shared" si="1"/>
        <v>1.04</v>
      </c>
      <c r="W7" s="24">
        <f t="shared" si="2"/>
        <v>1.04</v>
      </c>
      <c r="X7" s="24">
        <f t="shared" si="3"/>
        <v>7.26</v>
      </c>
      <c r="Y7" s="24">
        <f t="shared" si="4"/>
        <v>0</v>
      </c>
      <c r="Z7" s="24">
        <f t="shared" si="5"/>
        <v>96.74</v>
      </c>
    </row>
    <row r="8" spans="1:26" s="27" customFormat="1" ht="12">
      <c r="A8" s="60">
        <v>7</v>
      </c>
      <c r="B8" s="61" t="s">
        <v>88</v>
      </c>
      <c r="C8" s="30" t="s">
        <v>4</v>
      </c>
      <c r="D8" s="22" t="s">
        <v>36</v>
      </c>
      <c r="E8" s="23"/>
      <c r="F8" s="23"/>
      <c r="G8" s="28">
        <v>19</v>
      </c>
      <c r="H8" s="28">
        <f t="shared" si="6"/>
        <v>152</v>
      </c>
      <c r="I8" s="24">
        <v>79</v>
      </c>
      <c r="J8" s="24"/>
      <c r="K8" s="24"/>
      <c r="L8" s="24"/>
      <c r="M8" s="24">
        <f t="shared" si="0"/>
        <v>79</v>
      </c>
      <c r="N8" s="24"/>
      <c r="O8" s="24"/>
      <c r="P8" s="24"/>
      <c r="Q8" s="24"/>
      <c r="R8" s="24"/>
      <c r="S8" s="24"/>
      <c r="T8" s="24"/>
      <c r="U8" s="26">
        <f>ROUND(IF(M8-K8&gt;Тарифы!$C$3,IF(M8-K8&gt;100,(M8-K8-((M8-K8)/100)-100)*0.13+4.8,((M8-K8-((M8-K8)/100)-Тарифы!$C$3)*0.08)),),2)</f>
        <v>3.06</v>
      </c>
      <c r="V8" s="24">
        <f t="shared" si="1"/>
        <v>0.79</v>
      </c>
      <c r="W8" s="24">
        <f t="shared" si="2"/>
        <v>0.79</v>
      </c>
      <c r="X8" s="24">
        <f t="shared" si="3"/>
        <v>4.6400000000000006</v>
      </c>
      <c r="Y8" s="24">
        <f t="shared" si="4"/>
        <v>0</v>
      </c>
      <c r="Z8" s="24">
        <f t="shared" si="5"/>
        <v>74.36</v>
      </c>
    </row>
    <row r="9" spans="1:26" s="27" customFormat="1" ht="12">
      <c r="A9" s="60">
        <v>8</v>
      </c>
      <c r="B9" s="61" t="s">
        <v>88</v>
      </c>
      <c r="C9" s="30" t="s">
        <v>5</v>
      </c>
      <c r="D9" s="22" t="s">
        <v>37</v>
      </c>
      <c r="E9" s="23"/>
      <c r="F9" s="23"/>
      <c r="G9" s="28">
        <v>25</v>
      </c>
      <c r="H9" s="28">
        <f t="shared" si="6"/>
        <v>200</v>
      </c>
      <c r="I9" s="24">
        <v>104</v>
      </c>
      <c r="J9" s="24"/>
      <c r="K9" s="24"/>
      <c r="L9" s="24"/>
      <c r="M9" s="24">
        <f t="shared" si="0"/>
        <v>104</v>
      </c>
      <c r="N9" s="24"/>
      <c r="O9" s="24"/>
      <c r="P9" s="24"/>
      <c r="Q9" s="24"/>
      <c r="R9" s="24"/>
      <c r="S9" s="24"/>
      <c r="T9" s="24"/>
      <c r="U9" s="26">
        <f>ROUND(IF(M9-K9&gt;Тарифы!$C$3,IF(M9-K9&gt;100,(M9-K9-((M9-K9)/100)-100)*0.13+4.8,((M9-K9-((M9-K9)/100)-Тарифы!$C$3)*0.08)),),2)</f>
        <v>5.18</v>
      </c>
      <c r="V9" s="24">
        <f t="shared" si="1"/>
        <v>1.04</v>
      </c>
      <c r="W9" s="24">
        <f t="shared" si="2"/>
        <v>1.04</v>
      </c>
      <c r="X9" s="24">
        <f t="shared" si="3"/>
        <v>7.26</v>
      </c>
      <c r="Y9" s="24">
        <f t="shared" si="4"/>
        <v>0</v>
      </c>
      <c r="Z9" s="24">
        <f t="shared" si="5"/>
        <v>96.74</v>
      </c>
    </row>
    <row r="10" spans="1:26" s="27" customFormat="1" ht="12">
      <c r="A10" s="60">
        <v>9</v>
      </c>
      <c r="B10" s="61" t="s">
        <v>88</v>
      </c>
      <c r="C10" s="30" t="s">
        <v>6</v>
      </c>
      <c r="D10" s="22" t="s">
        <v>37</v>
      </c>
      <c r="E10" s="23"/>
      <c r="F10" s="23"/>
      <c r="G10" s="28">
        <v>25</v>
      </c>
      <c r="H10" s="28">
        <f t="shared" si="6"/>
        <v>200</v>
      </c>
      <c r="I10" s="24">
        <v>104</v>
      </c>
      <c r="J10" s="24"/>
      <c r="K10" s="24"/>
      <c r="L10" s="24"/>
      <c r="M10" s="24">
        <f t="shared" si="0"/>
        <v>104</v>
      </c>
      <c r="N10" s="24"/>
      <c r="O10" s="24"/>
      <c r="P10" s="24"/>
      <c r="Q10" s="24"/>
      <c r="R10" s="24"/>
      <c r="S10" s="24"/>
      <c r="T10" s="24"/>
      <c r="U10" s="26">
        <f>ROUND(IF(M10-K10&gt;Тарифы!$C$3,IF(M10-K10&gt;100,(M10-K10-((M10-K10)/100)-100)*0.13+4.8,((M10-K10-((M10-K10)/100)-Тарифы!$C$3)*0.08)),),2)</f>
        <v>5.18</v>
      </c>
      <c r="V10" s="24">
        <f t="shared" si="1"/>
        <v>1.04</v>
      </c>
      <c r="W10" s="24">
        <f t="shared" si="2"/>
        <v>1.04</v>
      </c>
      <c r="X10" s="24">
        <f t="shared" si="3"/>
        <v>7.26</v>
      </c>
      <c r="Y10" s="24">
        <f t="shared" si="4"/>
        <v>0</v>
      </c>
      <c r="Z10" s="24">
        <f t="shared" si="5"/>
        <v>96.74</v>
      </c>
    </row>
    <row r="11" spans="1:26" s="27" customFormat="1" ht="12">
      <c r="A11" s="60">
        <v>10</v>
      </c>
      <c r="B11" s="61" t="s">
        <v>88</v>
      </c>
      <c r="C11" s="30" t="s">
        <v>22</v>
      </c>
      <c r="D11" s="22" t="s">
        <v>38</v>
      </c>
      <c r="E11" s="23"/>
      <c r="F11" s="23"/>
      <c r="G11" s="28">
        <v>25</v>
      </c>
      <c r="H11" s="28">
        <f t="shared" si="6"/>
        <v>200</v>
      </c>
      <c r="I11" s="24">
        <v>131.1</v>
      </c>
      <c r="J11" s="24"/>
      <c r="K11" s="24"/>
      <c r="L11" s="24"/>
      <c r="M11" s="24">
        <f t="shared" si="0"/>
        <v>131.1</v>
      </c>
      <c r="N11" s="24"/>
      <c r="O11" s="24"/>
      <c r="P11" s="24"/>
      <c r="Q11" s="24"/>
      <c r="R11" s="24"/>
      <c r="S11" s="24"/>
      <c r="T11" s="24"/>
      <c r="U11" s="26">
        <f>ROUND(IF(M11-K11&gt;Тарифы!$C$3,IF(M11-K11&gt;100,(M11-K11-((M11-K11)/100)-100)*0.13+4.8,((M11-K11-((M11-K11)/100)-Тарифы!$C$3)*0.08)),),2)</f>
        <v>8.67</v>
      </c>
      <c r="V11" s="24">
        <f t="shared" si="1"/>
        <v>1.31</v>
      </c>
      <c r="W11" s="24">
        <f t="shared" si="2"/>
        <v>1.31</v>
      </c>
      <c r="X11" s="24">
        <f t="shared" si="3"/>
        <v>11.290000000000001</v>
      </c>
      <c r="Y11" s="24">
        <f t="shared" si="4"/>
        <v>0</v>
      </c>
      <c r="Z11" s="24">
        <f t="shared" si="5"/>
        <v>119.81</v>
      </c>
    </row>
    <row r="12" spans="1:26" s="27" customFormat="1" ht="12">
      <c r="A12" s="60">
        <v>11</v>
      </c>
      <c r="B12" s="61" t="s">
        <v>88</v>
      </c>
      <c r="C12" s="30" t="s">
        <v>7</v>
      </c>
      <c r="D12" s="22" t="s">
        <v>38</v>
      </c>
      <c r="E12" s="23"/>
      <c r="F12" s="23"/>
      <c r="G12" s="28">
        <v>25</v>
      </c>
      <c r="H12" s="28">
        <f t="shared" si="6"/>
        <v>200</v>
      </c>
      <c r="I12" s="24">
        <v>197.4</v>
      </c>
      <c r="J12" s="24"/>
      <c r="K12" s="24"/>
      <c r="L12" s="24"/>
      <c r="M12" s="24">
        <f t="shared" si="0"/>
        <v>197.4</v>
      </c>
      <c r="N12" s="24"/>
      <c r="O12" s="24"/>
      <c r="P12" s="24"/>
      <c r="Q12" s="24"/>
      <c r="R12" s="24"/>
      <c r="S12" s="24"/>
      <c r="T12" s="24"/>
      <c r="U12" s="26">
        <f>ROUND(IF(M12-K12&gt;Тарифы!$C$3,IF(M12-K12&gt;100,(M12-K12-((M12-K12)/100)-100)*0.13+4.8,((M12-K12-((M12-K12)/100)-Тарифы!$C$3)*0.08)),),2)</f>
        <v>17.21</v>
      </c>
      <c r="V12" s="24">
        <f t="shared" si="1"/>
        <v>1.97</v>
      </c>
      <c r="W12" s="24">
        <f t="shared" si="2"/>
        <v>1.97</v>
      </c>
      <c r="X12" s="24">
        <f t="shared" si="3"/>
        <v>21.15</v>
      </c>
      <c r="Y12" s="24">
        <f t="shared" si="4"/>
        <v>0</v>
      </c>
      <c r="Z12" s="24">
        <f t="shared" si="5"/>
        <v>176.25</v>
      </c>
    </row>
    <row r="13" spans="1:26" s="27" customFormat="1" ht="12">
      <c r="A13" s="60">
        <v>1</v>
      </c>
      <c r="B13" s="61" t="s">
        <v>89</v>
      </c>
      <c r="C13" s="30" t="s">
        <v>48</v>
      </c>
      <c r="D13" s="22" t="s">
        <v>58</v>
      </c>
      <c r="E13" s="23"/>
      <c r="F13" s="23"/>
      <c r="G13" s="28">
        <v>25</v>
      </c>
      <c r="H13" s="28">
        <f t="shared" ref="H13:H20" si="7">SUM(G13*8)</f>
        <v>200</v>
      </c>
      <c r="I13" s="24">
        <v>131.05000000000001</v>
      </c>
      <c r="J13" s="24"/>
      <c r="K13" s="24"/>
      <c r="L13" s="24"/>
      <c r="M13" s="24">
        <f t="shared" ref="M13:M20" si="8">SUM(I13:L13)</f>
        <v>131.05000000000001</v>
      </c>
      <c r="N13" s="24"/>
      <c r="O13" s="24"/>
      <c r="P13" s="25"/>
      <c r="Q13" s="24"/>
      <c r="R13" s="24"/>
      <c r="S13" s="24"/>
      <c r="T13" s="24"/>
      <c r="U13" s="26">
        <f>ROUND(IF(M13-K13&gt;Тарифы!$C$3,IF(M13-K13&gt;100,(M13-K13-((M13-K13)/100)-100)*0.13+4.8,((M13-K13-((M13-K13)/100)-Тарифы!$C$3)*0.08)),),2)</f>
        <v>8.67</v>
      </c>
      <c r="V13" s="24">
        <f t="shared" ref="V13:V20" si="9">ROUND((M13-K13)/100,2)</f>
        <v>1.31</v>
      </c>
      <c r="W13" s="24">
        <f t="shared" ref="W13:W20" si="10">ROUND((M13-K13)/100,2)</f>
        <v>1.31</v>
      </c>
      <c r="X13" s="24">
        <f t="shared" ref="X13:X20" si="11">SUM(N13:W13)</f>
        <v>11.290000000000001</v>
      </c>
      <c r="Y13" s="24">
        <f t="shared" ref="Y13:Y20" si="12">ROUND(ABS(IF((M13-X13+F13-E13)&lt;0,M13-X13+F13-E13,0)),2)</f>
        <v>0</v>
      </c>
      <c r="Z13" s="24">
        <f t="shared" ref="Z13:Z20" si="13">ROUND(IF((M13-X13+F13-E13)&gt;0,M13-X13+F13-E13,0),2)</f>
        <v>119.76</v>
      </c>
    </row>
    <row r="14" spans="1:26" s="27" customFormat="1" ht="12">
      <c r="A14" s="60">
        <v>2</v>
      </c>
      <c r="B14" s="61" t="s">
        <v>89</v>
      </c>
      <c r="C14" s="30" t="s">
        <v>8</v>
      </c>
      <c r="D14" s="22" t="s">
        <v>87</v>
      </c>
      <c r="E14" s="23"/>
      <c r="F14" s="23"/>
      <c r="G14" s="28">
        <v>25</v>
      </c>
      <c r="H14" s="28">
        <f t="shared" si="7"/>
        <v>200</v>
      </c>
      <c r="I14" s="24">
        <v>148</v>
      </c>
      <c r="J14" s="24"/>
      <c r="K14" s="24"/>
      <c r="L14" s="24"/>
      <c r="M14" s="24">
        <f t="shared" si="8"/>
        <v>148</v>
      </c>
      <c r="N14" s="24"/>
      <c r="O14" s="24"/>
      <c r="P14" s="25"/>
      <c r="Q14" s="24"/>
      <c r="R14" s="24"/>
      <c r="S14" s="24"/>
      <c r="T14" s="24"/>
      <c r="U14" s="26">
        <f>ROUND(IF(M14-K14&gt;Тарифы!$C$3,IF(M14-K14&gt;100,(M14-K14-((M14-K14)/100)-100)*0.13+4.8,((M14-K14-((M14-K14)/100)-Тарифы!$C$3)*0.08)),),2)</f>
        <v>10.85</v>
      </c>
      <c r="V14" s="24">
        <f t="shared" si="9"/>
        <v>1.48</v>
      </c>
      <c r="W14" s="24">
        <f t="shared" si="10"/>
        <v>1.48</v>
      </c>
      <c r="X14" s="24">
        <f t="shared" si="11"/>
        <v>13.81</v>
      </c>
      <c r="Y14" s="24">
        <f t="shared" si="12"/>
        <v>0</v>
      </c>
      <c r="Z14" s="24">
        <f t="shared" si="13"/>
        <v>134.19</v>
      </c>
    </row>
    <row r="15" spans="1:26" s="27" customFormat="1" ht="12">
      <c r="A15" s="60">
        <v>3</v>
      </c>
      <c r="B15" s="61" t="s">
        <v>89</v>
      </c>
      <c r="C15" s="30" t="s">
        <v>9</v>
      </c>
      <c r="D15" s="22" t="s">
        <v>87</v>
      </c>
      <c r="E15" s="23"/>
      <c r="F15" s="23"/>
      <c r="G15" s="28">
        <v>25</v>
      </c>
      <c r="H15" s="28">
        <f t="shared" si="7"/>
        <v>200</v>
      </c>
      <c r="I15" s="24">
        <v>104</v>
      </c>
      <c r="J15" s="24"/>
      <c r="K15" s="24"/>
      <c r="L15" s="24"/>
      <c r="M15" s="24">
        <f t="shared" si="8"/>
        <v>104</v>
      </c>
      <c r="N15" s="24"/>
      <c r="O15" s="24"/>
      <c r="P15" s="25"/>
      <c r="Q15" s="24"/>
      <c r="R15" s="24"/>
      <c r="S15" s="24"/>
      <c r="T15" s="24"/>
      <c r="U15" s="26">
        <f>ROUND(IF(M15-K15&gt;Тарифы!$C$3,IF(M15-K15&gt;100,(M15-K15-((M15-K15)/100)-100)*0.13+4.8,((M15-K15-((M15-K15)/100)-Тарифы!$C$3)*0.08)),),2)</f>
        <v>5.18</v>
      </c>
      <c r="V15" s="24">
        <f t="shared" si="9"/>
        <v>1.04</v>
      </c>
      <c r="W15" s="24">
        <f t="shared" si="10"/>
        <v>1.04</v>
      </c>
      <c r="X15" s="24">
        <f t="shared" si="11"/>
        <v>7.26</v>
      </c>
      <c r="Y15" s="24">
        <f t="shared" si="12"/>
        <v>0</v>
      </c>
      <c r="Z15" s="24">
        <f t="shared" si="13"/>
        <v>96.74</v>
      </c>
    </row>
    <row r="16" spans="1:26" s="27" customFormat="1" ht="12">
      <c r="A16" s="60">
        <v>1</v>
      </c>
      <c r="B16" s="61" t="s">
        <v>90</v>
      </c>
      <c r="C16" s="30" t="s">
        <v>12</v>
      </c>
      <c r="D16" s="22" t="s">
        <v>53</v>
      </c>
      <c r="E16" s="23"/>
      <c r="F16" s="23"/>
      <c r="G16" s="28">
        <v>25</v>
      </c>
      <c r="H16" s="28">
        <f t="shared" si="7"/>
        <v>200</v>
      </c>
      <c r="I16" s="24">
        <v>197.34</v>
      </c>
      <c r="J16" s="24"/>
      <c r="K16" s="24"/>
      <c r="L16" s="24"/>
      <c r="M16" s="24">
        <f t="shared" si="8"/>
        <v>197.34</v>
      </c>
      <c r="N16" s="24"/>
      <c r="O16" s="24"/>
      <c r="P16" s="25"/>
      <c r="Q16" s="24"/>
      <c r="R16" s="24"/>
      <c r="S16" s="24"/>
      <c r="T16" s="24"/>
      <c r="U16" s="26">
        <f>ROUND(IF(M16-K16&gt;Тарифы!$C$3,IF(M16-K16&gt;100,(M16-K16-((M16-K16)/100)-100)*0.13+4.8,((M16-K16-((M16-K16)/100)-Тарифы!$C$3)*0.08)),),2)</f>
        <v>17.2</v>
      </c>
      <c r="V16" s="24">
        <f t="shared" si="9"/>
        <v>1.97</v>
      </c>
      <c r="W16" s="24">
        <f t="shared" si="10"/>
        <v>1.97</v>
      </c>
      <c r="X16" s="24">
        <f t="shared" si="11"/>
        <v>21.139999999999997</v>
      </c>
      <c r="Y16" s="24">
        <f t="shared" si="12"/>
        <v>0</v>
      </c>
      <c r="Z16" s="24">
        <f t="shared" si="13"/>
        <v>176.2</v>
      </c>
    </row>
    <row r="17" spans="1:26" s="27" customFormat="1" ht="12">
      <c r="A17" s="60">
        <v>2</v>
      </c>
      <c r="B17" s="61" t="s">
        <v>90</v>
      </c>
      <c r="C17" s="30" t="s">
        <v>52</v>
      </c>
      <c r="D17" s="22" t="s">
        <v>49</v>
      </c>
      <c r="E17" s="23"/>
      <c r="F17" s="23"/>
      <c r="G17" s="28">
        <v>25</v>
      </c>
      <c r="H17" s="28">
        <f t="shared" si="7"/>
        <v>200</v>
      </c>
      <c r="I17" s="24">
        <v>131.05000000000001</v>
      </c>
      <c r="J17" s="24"/>
      <c r="K17" s="24"/>
      <c r="L17" s="24"/>
      <c r="M17" s="24">
        <f t="shared" si="8"/>
        <v>131.05000000000001</v>
      </c>
      <c r="N17" s="24"/>
      <c r="O17" s="24"/>
      <c r="P17" s="25"/>
      <c r="Q17" s="24"/>
      <c r="R17" s="24"/>
      <c r="S17" s="24"/>
      <c r="T17" s="24"/>
      <c r="U17" s="26">
        <f>ROUND(IF(M17-K17&gt;Тарифы!$C$3,IF(M17-K17&gt;100,(M17-K17-((M17-K17)/100)-100)*0.13+4.8,((M17-K17-((M17-K17)/100)-Тарифы!$C$3)*0.08)),),2)</f>
        <v>8.67</v>
      </c>
      <c r="V17" s="24">
        <f t="shared" si="9"/>
        <v>1.31</v>
      </c>
      <c r="W17" s="24">
        <f t="shared" si="10"/>
        <v>1.31</v>
      </c>
      <c r="X17" s="24">
        <f t="shared" si="11"/>
        <v>11.290000000000001</v>
      </c>
      <c r="Y17" s="24">
        <f t="shared" si="12"/>
        <v>0</v>
      </c>
      <c r="Z17" s="24">
        <f t="shared" si="13"/>
        <v>119.76</v>
      </c>
    </row>
    <row r="18" spans="1:26" s="27" customFormat="1" ht="12">
      <c r="A18" s="60">
        <v>3</v>
      </c>
      <c r="B18" s="61" t="s">
        <v>90</v>
      </c>
      <c r="C18" s="30" t="s">
        <v>24</v>
      </c>
      <c r="D18" s="22" t="s">
        <v>50</v>
      </c>
      <c r="E18" s="23"/>
      <c r="F18" s="23"/>
      <c r="G18" s="28">
        <v>25</v>
      </c>
      <c r="H18" s="28">
        <f t="shared" si="7"/>
        <v>200</v>
      </c>
      <c r="I18" s="24">
        <v>131.05000000000001</v>
      </c>
      <c r="J18" s="24"/>
      <c r="K18" s="24"/>
      <c r="L18" s="24"/>
      <c r="M18" s="24">
        <f t="shared" si="8"/>
        <v>131.05000000000001</v>
      </c>
      <c r="N18" s="24"/>
      <c r="O18" s="24"/>
      <c r="P18" s="25"/>
      <c r="Q18" s="24"/>
      <c r="R18" s="24"/>
      <c r="S18" s="24"/>
      <c r="T18" s="24"/>
      <c r="U18" s="26">
        <f>ROUND(IF(M18-K18&gt;Тарифы!$C$3,IF(M18-K18&gt;100,(M18-K18-((M18-K18)/100)-100)*0.13+4.8,((M18-K18-((M18-K18)/100)-Тарифы!$C$3)*0.08)),),2)</f>
        <v>8.67</v>
      </c>
      <c r="V18" s="24">
        <f t="shared" si="9"/>
        <v>1.31</v>
      </c>
      <c r="W18" s="24">
        <f t="shared" si="10"/>
        <v>1.31</v>
      </c>
      <c r="X18" s="24">
        <f t="shared" si="11"/>
        <v>11.290000000000001</v>
      </c>
      <c r="Y18" s="24">
        <f t="shared" si="12"/>
        <v>0</v>
      </c>
      <c r="Z18" s="24">
        <f t="shared" si="13"/>
        <v>119.76</v>
      </c>
    </row>
    <row r="19" spans="1:26" s="27" customFormat="1" ht="12">
      <c r="A19" s="60">
        <v>4</v>
      </c>
      <c r="B19" s="61" t="s">
        <v>90</v>
      </c>
      <c r="C19" s="30" t="s">
        <v>10</v>
      </c>
      <c r="D19" s="22" t="s">
        <v>51</v>
      </c>
      <c r="E19" s="23"/>
      <c r="F19" s="23"/>
      <c r="G19" s="28">
        <v>25</v>
      </c>
      <c r="H19" s="28">
        <f t="shared" si="7"/>
        <v>200</v>
      </c>
      <c r="I19" s="24">
        <v>104</v>
      </c>
      <c r="J19" s="24"/>
      <c r="K19" s="24"/>
      <c r="L19" s="24"/>
      <c r="M19" s="24">
        <f t="shared" si="8"/>
        <v>104</v>
      </c>
      <c r="N19" s="24"/>
      <c r="O19" s="24"/>
      <c r="P19" s="25"/>
      <c r="Q19" s="24"/>
      <c r="R19" s="24"/>
      <c r="S19" s="24"/>
      <c r="T19" s="24"/>
      <c r="U19" s="26">
        <f>ROUND(IF(M19-K19&gt;Тарифы!$C$3,IF(M19-K19&gt;100,(M19-K19-((M19-K19)/100)-100)*0.13+4.8,((M19-K19-((M19-K19)/100)-Тарифы!$C$3)*0.08)),),2)</f>
        <v>5.18</v>
      </c>
      <c r="V19" s="24">
        <f t="shared" si="9"/>
        <v>1.04</v>
      </c>
      <c r="W19" s="24">
        <f t="shared" si="10"/>
        <v>1.04</v>
      </c>
      <c r="X19" s="24">
        <f t="shared" si="11"/>
        <v>7.26</v>
      </c>
      <c r="Y19" s="24">
        <f t="shared" si="12"/>
        <v>0</v>
      </c>
      <c r="Z19" s="24">
        <f t="shared" si="13"/>
        <v>96.74</v>
      </c>
    </row>
    <row r="20" spans="1:26" s="27" customFormat="1" ht="12">
      <c r="A20" s="60">
        <v>5</v>
      </c>
      <c r="B20" s="61" t="s">
        <v>90</v>
      </c>
      <c r="C20" s="30" t="s">
        <v>11</v>
      </c>
      <c r="D20" s="22" t="s">
        <v>49</v>
      </c>
      <c r="E20" s="23"/>
      <c r="F20" s="23"/>
      <c r="G20" s="28">
        <v>26</v>
      </c>
      <c r="H20" s="28">
        <f t="shared" si="7"/>
        <v>208</v>
      </c>
      <c r="I20" s="24">
        <v>105</v>
      </c>
      <c r="J20" s="24"/>
      <c r="K20" s="24"/>
      <c r="L20" s="24"/>
      <c r="M20" s="24">
        <f t="shared" si="8"/>
        <v>105</v>
      </c>
      <c r="N20" s="24"/>
      <c r="O20" s="24"/>
      <c r="P20" s="25"/>
      <c r="Q20" s="24"/>
      <c r="R20" s="24"/>
      <c r="S20" s="24"/>
      <c r="T20" s="24"/>
      <c r="U20" s="26">
        <f>ROUND(IF(M20-K20&gt;Тарифы!$C$3,IF(M20-K20&gt;100,(M20-K20-((M20-K20)/100)-100)*0.13+4.8,((M20-K20-((M20-K20)/100)-Тарифы!$C$3)*0.08)),),2)</f>
        <v>5.31</v>
      </c>
      <c r="V20" s="24">
        <f t="shared" si="9"/>
        <v>1.05</v>
      </c>
      <c r="W20" s="24">
        <f t="shared" si="10"/>
        <v>1.05</v>
      </c>
      <c r="X20" s="24">
        <f t="shared" si="11"/>
        <v>7.4099999999999993</v>
      </c>
      <c r="Y20" s="24">
        <f t="shared" si="12"/>
        <v>0</v>
      </c>
      <c r="Z20" s="24">
        <f t="shared" si="13"/>
        <v>97.59</v>
      </c>
    </row>
    <row r="21" spans="1:26" s="27" customFormat="1" ht="12">
      <c r="A21" s="60">
        <v>1</v>
      </c>
      <c r="B21" s="61" t="s">
        <v>91</v>
      </c>
      <c r="C21" s="30" t="s">
        <v>13</v>
      </c>
      <c r="D21" s="22" t="s">
        <v>58</v>
      </c>
      <c r="E21" s="23"/>
      <c r="F21" s="23"/>
      <c r="G21" s="28">
        <v>25</v>
      </c>
      <c r="H21" s="28">
        <f t="shared" ref="H21:H27" si="14">SUM(G21*8)</f>
        <v>200</v>
      </c>
      <c r="I21" s="24">
        <v>104</v>
      </c>
      <c r="J21" s="24"/>
      <c r="K21" s="24"/>
      <c r="L21" s="24"/>
      <c r="M21" s="24">
        <f t="shared" ref="M21:M26" si="15">SUM(I21:L21)</f>
        <v>104</v>
      </c>
      <c r="N21" s="24"/>
      <c r="O21" s="24"/>
      <c r="P21" s="25"/>
      <c r="Q21" s="24"/>
      <c r="R21" s="24"/>
      <c r="S21" s="24"/>
      <c r="T21" s="24"/>
      <c r="U21" s="26">
        <f>ROUND(IF(M21-K21&gt;Тарифы!$C$3,IF(M21-K21&gt;100,(M21-K21-((M21-K21)/100)-100)*0.13+4.8,((M21-K21-((M21-K21)/100)-Тарифы!$C$3)*0.08)),),2)</f>
        <v>5.18</v>
      </c>
      <c r="V21" s="24">
        <f t="shared" ref="V21:V26" si="16">ROUND((M21-K21)/100,2)</f>
        <v>1.04</v>
      </c>
      <c r="W21" s="24">
        <f t="shared" ref="W21:W26" si="17">ROUND((M21-K21)/100,2)</f>
        <v>1.04</v>
      </c>
      <c r="X21" s="24">
        <f t="shared" ref="X21:X26" si="18">SUM(N21:W21)</f>
        <v>7.26</v>
      </c>
      <c r="Y21" s="24">
        <f t="shared" ref="Y21:Y26" si="19">ROUND(ABS(IF((M21-X21+F21-E21)&lt;0,M21-X21+F21-E21,0)),2)</f>
        <v>0</v>
      </c>
      <c r="Z21" s="24">
        <f t="shared" ref="Z21:Z26" si="20">ROUND(IF((M21-X21+F21-E21)&gt;0,M21-X21+F21-E21,0),2)</f>
        <v>96.74</v>
      </c>
    </row>
    <row r="22" spans="1:26" s="27" customFormat="1" ht="12">
      <c r="A22" s="60">
        <v>2</v>
      </c>
      <c r="B22" s="61" t="s">
        <v>91</v>
      </c>
      <c r="C22" s="30" t="s">
        <v>54</v>
      </c>
      <c r="D22" s="22" t="s">
        <v>59</v>
      </c>
      <c r="E22" s="23"/>
      <c r="F22" s="23"/>
      <c r="G22" s="28">
        <v>26</v>
      </c>
      <c r="H22" s="28">
        <f t="shared" si="14"/>
        <v>208</v>
      </c>
      <c r="I22" s="24">
        <v>105</v>
      </c>
      <c r="J22" s="24"/>
      <c r="K22" s="24"/>
      <c r="L22" s="24"/>
      <c r="M22" s="24">
        <f>SUM(I22:L22)</f>
        <v>105</v>
      </c>
      <c r="N22" s="24"/>
      <c r="O22" s="24"/>
      <c r="P22" s="25"/>
      <c r="Q22" s="24"/>
      <c r="R22" s="24"/>
      <c r="S22" s="24"/>
      <c r="T22" s="24"/>
      <c r="U22" s="26">
        <f>ROUND(IF(M22-K22&gt;Тарифы!$C$3,IF(M22-K22&gt;100,(M22-K22-((M22-K22)/100)-100)*0.13+4.8,((M22-K22-((M22-K22)/100)-Тарифы!$C$3)*0.08)),),2)</f>
        <v>5.31</v>
      </c>
      <c r="V22" s="24">
        <f>ROUND((M22-K22)/100,2)</f>
        <v>1.05</v>
      </c>
      <c r="W22" s="24">
        <f>ROUND((M22-K22)/100,2)</f>
        <v>1.05</v>
      </c>
      <c r="X22" s="24">
        <f>SUM(N22:W22)</f>
        <v>7.4099999999999993</v>
      </c>
      <c r="Y22" s="24">
        <f>ROUND(ABS(IF((M22-X22+F22-E22)&lt;0,M22-X22+F22-E22,0)),2)</f>
        <v>0</v>
      </c>
      <c r="Z22" s="24">
        <f>ROUND(IF((M22-X22+F22-E22)&gt;0,M22-X22+F22-E22,0),2)</f>
        <v>97.59</v>
      </c>
    </row>
    <row r="23" spans="1:26" s="27" customFormat="1" ht="12">
      <c r="A23" s="60">
        <v>3</v>
      </c>
      <c r="B23" s="61" t="s">
        <v>91</v>
      </c>
      <c r="C23" s="30" t="s">
        <v>55</v>
      </c>
      <c r="D23" s="22" t="s">
        <v>50</v>
      </c>
      <c r="E23" s="23"/>
      <c r="F23" s="23"/>
      <c r="G23" s="28">
        <v>27</v>
      </c>
      <c r="H23" s="28">
        <f t="shared" si="14"/>
        <v>216</v>
      </c>
      <c r="I23" s="24">
        <v>106</v>
      </c>
      <c r="J23" s="24"/>
      <c r="K23" s="24"/>
      <c r="L23" s="24"/>
      <c r="M23" s="24">
        <f>SUM(I23:L23)</f>
        <v>106</v>
      </c>
      <c r="N23" s="24"/>
      <c r="O23" s="24"/>
      <c r="P23" s="25"/>
      <c r="Q23" s="24"/>
      <c r="R23" s="24"/>
      <c r="S23" s="24"/>
      <c r="T23" s="24"/>
      <c r="U23" s="26">
        <f>ROUND(IF(M23-K23&gt;Тарифы!$C$3,IF(M23-K23&gt;100,(M23-K23-((M23-K23)/100)-100)*0.13+4.8,((M23-K23-((M23-K23)/100)-Тарифы!$C$3)*0.08)),),2)</f>
        <v>5.44</v>
      </c>
      <c r="V23" s="24">
        <f>ROUND((M23-K23)/100,2)</f>
        <v>1.06</v>
      </c>
      <c r="W23" s="24">
        <f>ROUND((M23-K23)/100,2)</f>
        <v>1.06</v>
      </c>
      <c r="X23" s="24">
        <f>SUM(N23:W23)</f>
        <v>7.5600000000000005</v>
      </c>
      <c r="Y23" s="24">
        <f>ROUND(ABS(IF((M23-X23+F23-E23)&lt;0,M23-X23+F23-E23,0)),2)</f>
        <v>0</v>
      </c>
      <c r="Z23" s="24">
        <f>ROUND(IF((M23-X23+F23-E23)&gt;0,M23-X23+F23-E23,0),2)</f>
        <v>98.44</v>
      </c>
    </row>
    <row r="24" spans="1:26" s="27" customFormat="1" ht="12">
      <c r="A24" s="60">
        <v>4</v>
      </c>
      <c r="B24" s="61" t="s">
        <v>91</v>
      </c>
      <c r="C24" s="30" t="s">
        <v>57</v>
      </c>
      <c r="D24" s="22" t="s">
        <v>60</v>
      </c>
      <c r="E24" s="23"/>
      <c r="F24" s="23"/>
      <c r="G24" s="28">
        <v>25</v>
      </c>
      <c r="H24" s="28">
        <f t="shared" si="14"/>
        <v>200</v>
      </c>
      <c r="I24" s="24">
        <v>104</v>
      </c>
      <c r="J24" s="24"/>
      <c r="K24" s="24"/>
      <c r="L24" s="24"/>
      <c r="M24" s="24">
        <f t="shared" si="15"/>
        <v>104</v>
      </c>
      <c r="N24" s="24"/>
      <c r="O24" s="24"/>
      <c r="P24" s="25"/>
      <c r="Q24" s="24"/>
      <c r="R24" s="24"/>
      <c r="S24" s="24"/>
      <c r="T24" s="24"/>
      <c r="U24" s="26">
        <f>ROUND(IF(M24-K24&gt;Тарифы!$C$3,IF(M24-K24&gt;100,(M24-K24-((M24-K24)/100)-100)*0.13+4.8,((M24-K24-((M24-K24)/100)-Тарифы!$C$3)*0.08)),),2)</f>
        <v>5.18</v>
      </c>
      <c r="V24" s="24">
        <f t="shared" si="16"/>
        <v>1.04</v>
      </c>
      <c r="W24" s="24">
        <f t="shared" si="17"/>
        <v>1.04</v>
      </c>
      <c r="X24" s="24">
        <f t="shared" si="18"/>
        <v>7.26</v>
      </c>
      <c r="Y24" s="24">
        <f t="shared" si="19"/>
        <v>0</v>
      </c>
      <c r="Z24" s="24">
        <f t="shared" si="20"/>
        <v>96.74</v>
      </c>
    </row>
    <row r="25" spans="1:26" s="27" customFormat="1" ht="12">
      <c r="A25" s="60">
        <v>5</v>
      </c>
      <c r="B25" s="61" t="s">
        <v>91</v>
      </c>
      <c r="C25" s="30" t="s">
        <v>56</v>
      </c>
      <c r="D25" s="22" t="s">
        <v>50</v>
      </c>
      <c r="E25" s="23"/>
      <c r="F25" s="23"/>
      <c r="G25" s="28">
        <v>26</v>
      </c>
      <c r="H25" s="28">
        <f t="shared" si="14"/>
        <v>208</v>
      </c>
      <c r="I25" s="24">
        <v>105</v>
      </c>
      <c r="J25" s="24"/>
      <c r="K25" s="24"/>
      <c r="L25" s="24"/>
      <c r="M25" s="24">
        <f>SUM(I25:L25)</f>
        <v>105</v>
      </c>
      <c r="N25" s="24"/>
      <c r="O25" s="24"/>
      <c r="P25" s="25"/>
      <c r="Q25" s="24"/>
      <c r="R25" s="24"/>
      <c r="S25" s="24"/>
      <c r="T25" s="24"/>
      <c r="U25" s="26">
        <f>ROUND(IF(M25-K25&gt;Тарифы!$C$3,IF(M25-K25&gt;100,(M25-K25-((M25-K25)/100)-100)*0.13+4.8,((M25-K25-((M25-K25)/100)-Тарифы!$C$3)*0.08)),),2)</f>
        <v>5.31</v>
      </c>
      <c r="V25" s="24">
        <f>ROUND((M25-K25)/100,2)</f>
        <v>1.05</v>
      </c>
      <c r="W25" s="24">
        <f>ROUND((M25-K25)/100,2)</f>
        <v>1.05</v>
      </c>
      <c r="X25" s="24">
        <f>SUM(N25:W25)</f>
        <v>7.4099999999999993</v>
      </c>
      <c r="Y25" s="24">
        <f>ROUND(ABS(IF((M25-X25+F25-E25)&lt;0,M25-X25+F25-E25,0)),2)</f>
        <v>0</v>
      </c>
      <c r="Z25" s="24">
        <f>ROUND(IF((M25-X25+F25-E25)&gt;0,M25-X25+F25-E25,0),2)</f>
        <v>97.59</v>
      </c>
    </row>
    <row r="26" spans="1:26" s="27" customFormat="1" ht="12">
      <c r="A26" s="60">
        <v>6</v>
      </c>
      <c r="B26" s="61" t="s">
        <v>91</v>
      </c>
      <c r="C26" s="30" t="s">
        <v>69</v>
      </c>
      <c r="D26" s="22" t="s">
        <v>50</v>
      </c>
      <c r="E26" s="23"/>
      <c r="F26" s="23"/>
      <c r="G26" s="28">
        <v>25</v>
      </c>
      <c r="H26" s="28">
        <f t="shared" si="14"/>
        <v>200</v>
      </c>
      <c r="I26" s="24">
        <v>104</v>
      </c>
      <c r="J26" s="24"/>
      <c r="K26" s="24"/>
      <c r="L26" s="24"/>
      <c r="M26" s="24">
        <f t="shared" si="15"/>
        <v>104</v>
      </c>
      <c r="N26" s="24"/>
      <c r="O26" s="24"/>
      <c r="P26" s="25"/>
      <c r="Q26" s="24"/>
      <c r="R26" s="24"/>
      <c r="S26" s="24"/>
      <c r="T26" s="24"/>
      <c r="U26" s="26">
        <f>ROUND(IF(M26-K26&gt;Тарифы!$C$3,IF(M26-K26&gt;100,(M26-K26-((M26-K26)/100)-100)*0.13+4.8,((M26-K26-((M26-K26)/100)-Тарифы!$C$3)*0.08)),),2)</f>
        <v>5.18</v>
      </c>
      <c r="V26" s="24">
        <f t="shared" si="16"/>
        <v>1.04</v>
      </c>
      <c r="W26" s="24">
        <f t="shared" si="17"/>
        <v>1.04</v>
      </c>
      <c r="X26" s="24">
        <f t="shared" si="18"/>
        <v>7.26</v>
      </c>
      <c r="Y26" s="24">
        <f t="shared" si="19"/>
        <v>0</v>
      </c>
      <c r="Z26" s="24">
        <f t="shared" si="20"/>
        <v>96.74</v>
      </c>
    </row>
    <row r="27" spans="1:26" s="27" customFormat="1" ht="12">
      <c r="A27" s="60">
        <v>1</v>
      </c>
      <c r="B27" s="61" t="s">
        <v>92</v>
      </c>
      <c r="C27" s="30" t="s">
        <v>14</v>
      </c>
      <c r="D27" s="22" t="s">
        <v>63</v>
      </c>
      <c r="E27" s="23"/>
      <c r="F27" s="23"/>
      <c r="G27" s="28">
        <v>26</v>
      </c>
      <c r="H27" s="28">
        <f t="shared" si="14"/>
        <v>208</v>
      </c>
      <c r="I27" s="24">
        <v>105</v>
      </c>
      <c r="J27" s="24"/>
      <c r="K27" s="24"/>
      <c r="L27" s="24"/>
      <c r="M27" s="24">
        <f>SUM(I27:L27)</f>
        <v>105</v>
      </c>
      <c r="N27" s="24"/>
      <c r="O27" s="24"/>
      <c r="P27" s="25"/>
      <c r="Q27" s="24"/>
      <c r="R27" s="24"/>
      <c r="S27" s="24"/>
      <c r="T27" s="24"/>
      <c r="U27" s="26">
        <f>ROUND(IF(M27-K27&gt;Тарифы!$C$3,IF(M27-K27&gt;100,(M27-K27-((M27-K27)/100)-100)*0.13+4.8,((M27-K27-((M27-K27)/100)-Тарифы!$C$3)*0.08)),),2)</f>
        <v>5.31</v>
      </c>
      <c r="V27" s="24">
        <f>ROUND((M27-K27)/100,2)</f>
        <v>1.05</v>
      </c>
      <c r="W27" s="24">
        <f>ROUND((M27-K27)/100,2)</f>
        <v>1.05</v>
      </c>
      <c r="X27" s="24">
        <f>SUM(N27:W27)</f>
        <v>7.4099999999999993</v>
      </c>
      <c r="Y27" s="24">
        <f>ROUND(ABS(IF((M27-X27+F27-E27)&lt;0,M27-X27+F27-E27,0)),2)</f>
        <v>0</v>
      </c>
      <c r="Z27" s="24">
        <f>ROUND(IF((M27-X27+F27-E27)&gt;0,M27-X27+F27-E27,0),2)</f>
        <v>97.59</v>
      </c>
    </row>
    <row r="28" spans="1:26" s="27" customFormat="1" ht="12">
      <c r="A28" s="60">
        <v>2</v>
      </c>
      <c r="B28" s="61" t="s">
        <v>92</v>
      </c>
      <c r="C28" s="30" t="s">
        <v>15</v>
      </c>
      <c r="D28" s="22" t="s">
        <v>64</v>
      </c>
      <c r="E28" s="23"/>
      <c r="F28" s="23"/>
      <c r="G28" s="23">
        <v>25</v>
      </c>
      <c r="H28" s="28">
        <f t="shared" ref="H28:H32" si="21">SUM(G28*8)</f>
        <v>200</v>
      </c>
      <c r="I28" s="23">
        <v>118.9</v>
      </c>
      <c r="J28" s="24"/>
      <c r="K28" s="24"/>
      <c r="L28" s="24"/>
      <c r="M28" s="24">
        <f t="shared" ref="M28:M32" si="22">SUM(I28:L28)</f>
        <v>118.9</v>
      </c>
      <c r="N28" s="24"/>
      <c r="O28" s="24"/>
      <c r="P28" s="25"/>
      <c r="Q28" s="24"/>
      <c r="R28" s="24"/>
      <c r="S28" s="24"/>
      <c r="T28" s="24"/>
      <c r="U28" s="26">
        <f>ROUND(IF(M28-K28&gt;Тарифы!$C$3,IF(M28-K28&gt;100,(M28-K28-((M28-K28)/100)-100)*0.13+4.8,((M28-K28-((M28-K28)/100)-Тарифы!$C$3)*0.08)),),2)</f>
        <v>7.1</v>
      </c>
      <c r="V28" s="24">
        <f t="shared" ref="V28:V32" si="23">ROUND((M28-K28)/100,2)</f>
        <v>1.19</v>
      </c>
      <c r="W28" s="24">
        <f t="shared" ref="W28:W32" si="24">ROUND((M28-K28)/100,2)</f>
        <v>1.19</v>
      </c>
      <c r="X28" s="24">
        <f t="shared" ref="X28:X32" si="25">SUM(N28:W28)</f>
        <v>9.4799999999999986</v>
      </c>
      <c r="Y28" s="24">
        <f>ROUND(ABS(IF((M28-X28+F28-E28)&lt;0,M28-X28+F28-E28,0)),2)</f>
        <v>0</v>
      </c>
      <c r="Z28" s="24">
        <f t="shared" ref="Z28:Z32" si="26">ROUND(IF((M28-X28+F28-E28)&gt;0,M28-X28+F28-E28,0),2)</f>
        <v>109.42</v>
      </c>
    </row>
    <row r="29" spans="1:26" s="27" customFormat="1" ht="12">
      <c r="A29" s="60">
        <v>3</v>
      </c>
      <c r="B29" s="61" t="s">
        <v>92</v>
      </c>
      <c r="C29" s="30" t="s">
        <v>16</v>
      </c>
      <c r="D29" s="22" t="s">
        <v>65</v>
      </c>
      <c r="E29" s="23"/>
      <c r="F29" s="23"/>
      <c r="G29" s="23">
        <v>25</v>
      </c>
      <c r="H29" s="28">
        <f t="shared" si="21"/>
        <v>200</v>
      </c>
      <c r="I29" s="23">
        <v>156</v>
      </c>
      <c r="J29" s="24"/>
      <c r="K29" s="24"/>
      <c r="L29" s="24"/>
      <c r="M29" s="24">
        <f t="shared" si="22"/>
        <v>156</v>
      </c>
      <c r="N29" s="24"/>
      <c r="O29" s="24"/>
      <c r="P29" s="25"/>
      <c r="Q29" s="24"/>
      <c r="R29" s="24"/>
      <c r="S29" s="24"/>
      <c r="T29" s="24"/>
      <c r="U29" s="26">
        <f>ROUND(IF(M29-K29&gt;Тарифы!$C$3,IF(M29-K29&gt;100,(M29-K29-((M29-K29)/100)-100)*0.13+4.8,((M29-K29-((M29-K29)/100)-Тарифы!$C$3)*0.08)),),2)</f>
        <v>11.88</v>
      </c>
      <c r="V29" s="24">
        <f t="shared" si="23"/>
        <v>1.56</v>
      </c>
      <c r="W29" s="24">
        <f t="shared" si="24"/>
        <v>1.56</v>
      </c>
      <c r="X29" s="24">
        <f t="shared" si="25"/>
        <v>15.000000000000002</v>
      </c>
      <c r="Y29" s="24">
        <f>ROUND(ABS(IF((M29-X29+F29-E29)&lt;0,M29-X29+F29-E29,0)),2)</f>
        <v>0</v>
      </c>
      <c r="Z29" s="24">
        <f t="shared" si="26"/>
        <v>141</v>
      </c>
    </row>
    <row r="30" spans="1:26" s="27" customFormat="1" ht="12">
      <c r="A30" s="60">
        <v>4</v>
      </c>
      <c r="B30" s="61" t="s">
        <v>92</v>
      </c>
      <c r="C30" s="30" t="s">
        <v>25</v>
      </c>
      <c r="D30" s="22" t="s">
        <v>66</v>
      </c>
      <c r="E30" s="23"/>
      <c r="F30" s="23"/>
      <c r="G30" s="23">
        <v>25</v>
      </c>
      <c r="H30" s="28">
        <f t="shared" si="21"/>
        <v>200</v>
      </c>
      <c r="I30" s="23">
        <v>118.9</v>
      </c>
      <c r="J30" s="24"/>
      <c r="K30" s="24"/>
      <c r="L30" s="24"/>
      <c r="M30" s="24">
        <f t="shared" si="22"/>
        <v>118.9</v>
      </c>
      <c r="N30" s="24"/>
      <c r="O30" s="24"/>
      <c r="P30" s="25"/>
      <c r="Q30" s="24"/>
      <c r="R30" s="24"/>
      <c r="S30" s="24"/>
      <c r="T30" s="24"/>
      <c r="U30" s="26">
        <f>ROUND(IF(M30-K30&gt;Тарифы!$C$3,IF(M30-K30&gt;100,(M30-K30-((M30-K30)/100)-100)*0.13+4.8,((M30-K30-((M30-K30)/100)-Тарифы!$C$3)*0.08)),),2)</f>
        <v>7.1</v>
      </c>
      <c r="V30" s="24">
        <f t="shared" si="23"/>
        <v>1.19</v>
      </c>
      <c r="W30" s="24">
        <f t="shared" si="24"/>
        <v>1.19</v>
      </c>
      <c r="X30" s="24">
        <f t="shared" si="25"/>
        <v>9.4799999999999986</v>
      </c>
      <c r="Y30" s="24">
        <f>ROUND(ABS(IF((M30-X30+F30-E30)&lt;0,M30-X30+F30-E30,0)),2)</f>
        <v>0</v>
      </c>
      <c r="Z30" s="24">
        <f t="shared" si="26"/>
        <v>109.42</v>
      </c>
    </row>
    <row r="31" spans="1:26" s="27" customFormat="1" ht="12">
      <c r="A31" s="60">
        <v>5</v>
      </c>
      <c r="B31" s="61" t="s">
        <v>92</v>
      </c>
      <c r="C31" s="30" t="s">
        <v>61</v>
      </c>
      <c r="D31" s="22" t="s">
        <v>67</v>
      </c>
      <c r="E31" s="23"/>
      <c r="F31" s="23"/>
      <c r="G31" s="23">
        <v>26</v>
      </c>
      <c r="H31" s="28">
        <f t="shared" si="21"/>
        <v>208</v>
      </c>
      <c r="I31" s="23">
        <v>119.9</v>
      </c>
      <c r="J31" s="24"/>
      <c r="K31" s="24"/>
      <c r="L31" s="24"/>
      <c r="M31" s="24">
        <f>SUM(I31:L31)</f>
        <v>119.9</v>
      </c>
      <c r="N31" s="24"/>
      <c r="O31" s="24"/>
      <c r="P31" s="25"/>
      <c r="Q31" s="24"/>
      <c r="R31" s="24"/>
      <c r="S31" s="24"/>
      <c r="T31" s="24"/>
      <c r="U31" s="26">
        <f>ROUND(IF(M31-K31&gt;Тарифы!$C$3,IF(M31-K31&gt;100,(M31-K31-((M31-K31)/100)-100)*0.13+4.8,((M31-K31-((M31-K31)/100)-Тарифы!$C$3)*0.08)),),2)</f>
        <v>7.23</v>
      </c>
      <c r="V31" s="24">
        <f>ROUND((M31-K31)/100,2)</f>
        <v>1.2</v>
      </c>
      <c r="W31" s="24">
        <f>ROUND((M31-K31)/100,2)</f>
        <v>1.2</v>
      </c>
      <c r="X31" s="24">
        <f>SUM(N31:W31)</f>
        <v>9.629999999999999</v>
      </c>
      <c r="Y31" s="24">
        <f>ROUND(ABS(IF((M31-X31+F31-E31)&lt;0,M31-X31+F31-E31,0)),2)</f>
        <v>0</v>
      </c>
      <c r="Z31" s="24">
        <f>ROUND(IF((M31-X31+F31-E31)&gt;0,M31-X31+F31-E31,0),2)</f>
        <v>110.27</v>
      </c>
    </row>
    <row r="32" spans="1:26" s="27" customFormat="1" ht="12">
      <c r="A32" s="60">
        <v>6</v>
      </c>
      <c r="B32" s="61" t="s">
        <v>92</v>
      </c>
      <c r="C32" s="30" t="s">
        <v>62</v>
      </c>
      <c r="D32" s="22" t="s">
        <v>68</v>
      </c>
      <c r="E32" s="23"/>
      <c r="F32" s="23"/>
      <c r="G32" s="28">
        <v>25</v>
      </c>
      <c r="H32" s="28">
        <f t="shared" si="21"/>
        <v>200</v>
      </c>
      <c r="I32" s="24">
        <v>104</v>
      </c>
      <c r="J32" s="24"/>
      <c r="K32" s="24"/>
      <c r="L32" s="24"/>
      <c r="M32" s="24">
        <f t="shared" si="22"/>
        <v>104</v>
      </c>
      <c r="N32" s="24"/>
      <c r="O32" s="24"/>
      <c r="P32" s="25"/>
      <c r="Q32" s="24"/>
      <c r="R32" s="24"/>
      <c r="S32" s="24"/>
      <c r="T32" s="24"/>
      <c r="U32" s="26">
        <f>ROUND(IF(M32-K32&gt;Тарифы!$C$3,IF(M32-K32&gt;100,(M32-K32-((M32-K32)/100)-100)*0.13+4.8,((M32-K32-((M32-K32)/100)-Тарифы!$C$3)*0.08)),),2)</f>
        <v>5.18</v>
      </c>
      <c r="V32" s="24">
        <f t="shared" si="23"/>
        <v>1.04</v>
      </c>
      <c r="W32" s="24">
        <f t="shared" si="24"/>
        <v>1.04</v>
      </c>
      <c r="X32" s="24">
        <f t="shared" si="25"/>
        <v>7.26</v>
      </c>
      <c r="Y32" s="24">
        <f>ROUND(ABS(IF((M32-X32+I32-G32)&lt;0,M32-X32+I32-G32,0)),2)</f>
        <v>0</v>
      </c>
      <c r="Z32" s="24">
        <f t="shared" si="26"/>
        <v>96.74</v>
      </c>
    </row>
  </sheetData>
  <scenarios current="0" show="0" sqref="D2">
    <scenario name="ееееееее" locked="1" count="1" user="Оператор" comment="Автор: Оператор , 09.01.03_x000a_Автор изменений: Оператор , 09.01.03">
      <inputCells r="C20" val="Оrилов Оrилбой"/>
    </scenario>
    <scenario name="апавап" locked="1" count="1" user="Оператор" comment="Автор: Оператор , 09.01.03">
      <inputCells r="C3" val="Шарипов Фирeз"/>
    </scenario>
  </scenarios>
  <phoneticPr fontId="2" type="noConversion"/>
  <dataValidations count="1">
    <dataValidation type="whole" allowBlank="1" showInputMessage="1" showErrorMessage="1" errorTitle="Неправильное значение!" error="Вы должны ввести целое число в диапазоне 1-24" sqref="G2:G20">
      <formula1>1</formula1>
      <formula2>25</formula2>
    </dataValidation>
  </dataValidations>
  <printOptions horizontalCentered="1"/>
  <pageMargins left="0.47244094488188981" right="0.31496062992125984" top="0.70866141732283472" bottom="0.27559055118110237" header="0.51181102362204722" footer="0.23622047244094491"/>
  <pageSetup paperSize="9" scale="82" fitToHeight="6" orientation="landscape" r:id="rId1"/>
  <headerFooter alignWithMargins="0">
    <oddHeader xml:space="preserve">&amp;C&amp;"Palatino Linotype,полужирный"&amp;12&amp;F&amp;"Courier New,полужирный"   -   &amp;14&amp;A&amp;R&amp;"Monotype Corsiva,обычный"&amp;14                                        </oddHeader>
  </headerFooter>
  <rowBreaks count="1" manualBreakCount="1">
    <brk id="20" max="2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N28"/>
  <sheetViews>
    <sheetView workbookViewId="0">
      <selection activeCell="N26" sqref="N26"/>
    </sheetView>
  </sheetViews>
  <sheetFormatPr defaultRowHeight="12.75"/>
  <cols>
    <col min="1" max="1" width="10" customWidth="1"/>
    <col min="2" max="2" width="10.42578125" customWidth="1"/>
    <col min="3" max="3" width="9" bestFit="1" customWidth="1"/>
    <col min="4" max="4" width="12.28515625" customWidth="1"/>
    <col min="5" max="5" width="7.85546875" customWidth="1"/>
    <col min="6" max="6" width="3.7109375" style="73" customWidth="1"/>
    <col min="7" max="7" width="3.7109375" customWidth="1"/>
    <col min="8" max="9" width="10.42578125" customWidth="1"/>
    <col min="10" max="10" width="9" bestFit="1" customWidth="1"/>
    <col min="11" max="11" width="12.28515625" customWidth="1"/>
    <col min="12" max="12" width="7.85546875" customWidth="1"/>
    <col min="13" max="13" width="3.7109375" style="73" customWidth="1"/>
    <col min="14" max="14" width="12.7109375" customWidth="1"/>
  </cols>
  <sheetData>
    <row r="1" spans="1:14">
      <c r="A1" s="45"/>
      <c r="B1" s="45"/>
      <c r="C1" s="45"/>
      <c r="D1" s="48"/>
      <c r="E1" s="45"/>
      <c r="F1" s="71"/>
      <c r="G1" s="46"/>
      <c r="H1" s="45"/>
      <c r="I1" s="45"/>
      <c r="J1" s="45"/>
      <c r="K1" s="48"/>
      <c r="L1" s="45"/>
      <c r="M1" s="75"/>
      <c r="N1" s="65"/>
    </row>
    <row r="2" spans="1:14" ht="14.25">
      <c r="A2" s="84" t="s">
        <v>71</v>
      </c>
      <c r="B2" s="84"/>
      <c r="C2" s="84"/>
      <c r="D2" s="84"/>
      <c r="E2" s="84"/>
      <c r="F2" s="38"/>
      <c r="G2" s="40"/>
      <c r="H2" s="84" t="s">
        <v>71</v>
      </c>
      <c r="I2" s="84"/>
      <c r="J2" s="84"/>
      <c r="K2" s="84"/>
      <c r="L2" s="84"/>
      <c r="M2" s="76"/>
      <c r="N2" s="66"/>
    </row>
    <row r="3" spans="1:14" ht="14.25">
      <c r="A3" s="85" t="s">
        <v>80</v>
      </c>
      <c r="B3" s="85"/>
      <c r="C3" s="85"/>
      <c r="D3" s="85"/>
      <c r="E3" s="85"/>
      <c r="F3" s="38"/>
      <c r="G3" s="40"/>
      <c r="H3" s="85" t="s">
        <v>80</v>
      </c>
      <c r="I3" s="85"/>
      <c r="J3" s="85"/>
      <c r="K3" s="85"/>
      <c r="L3" s="85"/>
      <c r="M3" s="76"/>
      <c r="N3" s="66"/>
    </row>
    <row r="4" spans="1:14">
      <c r="A4" s="32"/>
      <c r="B4" s="32"/>
      <c r="C4" s="32"/>
      <c r="D4" s="20"/>
      <c r="E4" s="32"/>
      <c r="F4" s="72"/>
      <c r="G4" s="41"/>
      <c r="H4" s="32"/>
      <c r="I4" s="32"/>
      <c r="J4" s="32"/>
      <c r="K4" s="20"/>
      <c r="L4" s="32"/>
      <c r="M4" s="77"/>
      <c r="N4" s="67"/>
    </row>
    <row r="5" spans="1:14">
      <c r="A5" s="86" t="str">
        <f ca="1">INDEX('01.2012 г'!$B:$B,MATCH(Карточки1!C6,'01.2012 г'!$C:$C,0))</f>
        <v>Управление</v>
      </c>
      <c r="B5" s="86"/>
      <c r="C5" s="86"/>
      <c r="D5" s="86"/>
      <c r="E5" s="86"/>
      <c r="F5" s="72"/>
      <c r="G5" s="41"/>
      <c r="H5" s="86" t="str">
        <f ca="1">INDEX('01.2012 г'!$B:$B,MATCH(Карточки1!J6,'01.2012 г'!$C:$C,0))</f>
        <v>Управление</v>
      </c>
      <c r="I5" s="86"/>
      <c r="J5" s="86"/>
      <c r="K5" s="86"/>
      <c r="L5" s="86"/>
      <c r="M5" s="77"/>
      <c r="N5" s="67"/>
    </row>
    <row r="6" spans="1:14">
      <c r="A6" s="87" t="s">
        <v>72</v>
      </c>
      <c r="B6" s="87"/>
      <c r="C6" s="88" t="str">
        <f ca="1">INDIRECT("'01.2012 г'!C"&amp;1+M6-1)</f>
        <v>Наимов Сафар</v>
      </c>
      <c r="D6" s="88"/>
      <c r="E6" s="88"/>
      <c r="F6" s="35"/>
      <c r="G6" s="42"/>
      <c r="H6" s="87" t="s">
        <v>72</v>
      </c>
      <c r="I6" s="87"/>
      <c r="J6" s="88" t="str">
        <f ca="1">INDIRECT("'01.2012 г'!C"&amp;1+M6)</f>
        <v>Муратов Акбар</v>
      </c>
      <c r="K6" s="88"/>
      <c r="L6" s="88"/>
      <c r="M6" s="78">
        <f>COUNTA(M1:$M$5)*2+2</f>
        <v>2</v>
      </c>
      <c r="N6" s="68"/>
    </row>
    <row r="7" spans="1:14">
      <c r="A7" s="39" t="s">
        <v>40</v>
      </c>
      <c r="B7" s="89" t="str">
        <f ca="1">VLOOKUP(C6,'01.2012 г'!$C:$Z,2,0)</f>
        <v>ректор</v>
      </c>
      <c r="C7" s="89"/>
      <c r="D7" s="89"/>
      <c r="E7" s="89"/>
      <c r="F7" s="35"/>
      <c r="G7" s="42"/>
      <c r="H7" s="39" t="s">
        <v>40</v>
      </c>
      <c r="I7" s="89" t="str">
        <f ca="1">VLOOKUP(J6,'01.2012 г'!$C:$Z,2,0)</f>
        <v>зам.рек.по НЧ</v>
      </c>
      <c r="J7" s="89"/>
      <c r="K7" s="89"/>
      <c r="L7" s="89"/>
      <c r="M7" s="78"/>
      <c r="N7" s="68"/>
    </row>
    <row r="8" spans="1:14" ht="12.75" customHeight="1">
      <c r="A8" s="90" t="s">
        <v>73</v>
      </c>
      <c r="B8" s="92" t="s">
        <v>74</v>
      </c>
      <c r="C8" s="94" t="s">
        <v>75</v>
      </c>
      <c r="D8" s="92" t="s">
        <v>93</v>
      </c>
      <c r="E8" s="97"/>
      <c r="G8" s="43"/>
      <c r="H8" s="90" t="s">
        <v>73</v>
      </c>
      <c r="I8" s="92" t="s">
        <v>74</v>
      </c>
      <c r="J8" s="94" t="s">
        <v>75</v>
      </c>
      <c r="K8" s="92" t="s">
        <v>93</v>
      </c>
      <c r="L8" s="97"/>
      <c r="M8" s="79"/>
      <c r="N8" s="69"/>
    </row>
    <row r="9" spans="1:14" ht="13.5">
      <c r="A9" s="91"/>
      <c r="B9" s="93"/>
      <c r="C9" s="95"/>
      <c r="D9" s="96"/>
      <c r="E9" s="98"/>
      <c r="F9" s="34"/>
      <c r="G9" s="44"/>
      <c r="H9" s="91"/>
      <c r="I9" s="93"/>
      <c r="J9" s="95"/>
      <c r="K9" s="96"/>
      <c r="L9" s="98"/>
      <c r="M9" s="80"/>
      <c r="N9" s="70"/>
    </row>
    <row r="10" spans="1:14" ht="15">
      <c r="A10" s="47">
        <f ca="1">IF(VLOOKUP(C6,'01.2012 г'!$C:$Z,4,0)&lt;1,VLOOKUP(C6,'01.2012 г'!$C:$Z,3,0),VLOOKUP(C6,'01.2012 г'!$C:$Z,4,0))</f>
        <v>0</v>
      </c>
      <c r="B10" s="36">
        <f ca="1">VLOOKUP(C6,'01.2012 г'!$C:$Z,11,0)</f>
        <v>235.3</v>
      </c>
      <c r="C10" s="37">
        <f ca="1">VLOOKUP(C6,'01.2012 г'!$C:$Z,22,0)</f>
        <v>26.78</v>
      </c>
      <c r="D10" s="36">
        <f ca="1">VLOOKUP(C6,'01.2012 г'!$C:$Z,24,0)</f>
        <v>208.52</v>
      </c>
      <c r="E10" s="99"/>
      <c r="G10" s="43"/>
      <c r="H10" s="47">
        <f ca="1">IF(VLOOKUP(J6,'01.2012 г'!$C:$Z,4,0)&lt;1,VLOOKUP(J6,'01.2012 г'!$C:$Z,3,0),VLOOKUP(J6,'01.2012 г'!$C:$Z,4,0))</f>
        <v>0</v>
      </c>
      <c r="I10" s="36">
        <f ca="1">VLOOKUP(J6,'01.2012 г'!$C:$Z,11,0)</f>
        <v>242.94</v>
      </c>
      <c r="J10" s="37">
        <f ca="1">VLOOKUP(J6,'01.2012 г'!$C:$Z,22,0)</f>
        <v>27.93</v>
      </c>
      <c r="K10" s="36">
        <f ca="1">VLOOKUP(J6,'01.2012 г'!$C:$Z,24,0)</f>
        <v>215.01</v>
      </c>
      <c r="L10" s="99"/>
      <c r="M10" s="79"/>
      <c r="N10" s="69"/>
    </row>
    <row r="11" spans="1:14">
      <c r="D11" s="1"/>
      <c r="E11" s="33"/>
      <c r="G11" s="43"/>
      <c r="K11" s="1"/>
      <c r="L11" s="33"/>
      <c r="M11" s="79"/>
      <c r="N11" s="69"/>
    </row>
    <row r="12" spans="1:14">
      <c r="A12" s="100" t="s">
        <v>76</v>
      </c>
      <c r="B12" s="100"/>
      <c r="D12" s="1"/>
      <c r="G12" s="43"/>
      <c r="H12" s="100" t="s">
        <v>76</v>
      </c>
      <c r="I12" s="100"/>
      <c r="K12" s="1"/>
      <c r="M12" s="79"/>
      <c r="N12" s="69"/>
    </row>
    <row r="13" spans="1:14">
      <c r="A13" s="101" t="s">
        <v>77</v>
      </c>
      <c r="B13" s="101"/>
      <c r="D13" s="1"/>
      <c r="G13" s="43"/>
      <c r="H13" s="101" t="s">
        <v>77</v>
      </c>
      <c r="I13" s="101"/>
      <c r="K13" s="1"/>
      <c r="M13" s="79"/>
      <c r="N13" s="69"/>
    </row>
    <row r="14" spans="1:14">
      <c r="A14" s="62"/>
      <c r="B14" s="62"/>
      <c r="C14" s="62"/>
      <c r="D14" s="63"/>
      <c r="E14" s="62"/>
      <c r="F14" s="74"/>
      <c r="G14" s="64"/>
      <c r="H14" s="62"/>
      <c r="I14" s="62"/>
      <c r="J14" s="62"/>
      <c r="K14" s="63"/>
      <c r="L14" s="62"/>
      <c r="M14" s="81"/>
      <c r="N14" s="69"/>
    </row>
    <row r="15" spans="1:14">
      <c r="A15" s="45"/>
      <c r="B15" s="45"/>
      <c r="C15" s="45"/>
      <c r="D15" s="48"/>
      <c r="E15" s="45"/>
      <c r="F15" s="71"/>
      <c r="G15" s="46"/>
      <c r="H15" s="45"/>
      <c r="I15" s="45"/>
      <c r="J15" s="45"/>
      <c r="K15" s="48"/>
      <c r="L15" s="45"/>
      <c r="M15" s="75"/>
    </row>
    <row r="16" spans="1:14" ht="14.25">
      <c r="A16" s="84" t="s">
        <v>71</v>
      </c>
      <c r="B16" s="84"/>
      <c r="C16" s="84"/>
      <c r="D16" s="84"/>
      <c r="E16" s="84"/>
      <c r="F16" s="38"/>
      <c r="G16" s="40"/>
      <c r="H16" s="84" t="s">
        <v>71</v>
      </c>
      <c r="I16" s="84"/>
      <c r="J16" s="84"/>
      <c r="K16" s="84"/>
      <c r="L16" s="84"/>
      <c r="M16" s="76"/>
    </row>
    <row r="17" spans="1:13" ht="14.25">
      <c r="A17" s="85" t="s">
        <v>80</v>
      </c>
      <c r="B17" s="85"/>
      <c r="C17" s="85"/>
      <c r="D17" s="85"/>
      <c r="E17" s="85"/>
      <c r="F17" s="38"/>
      <c r="G17" s="40"/>
      <c r="H17" s="85" t="s">
        <v>80</v>
      </c>
      <c r="I17" s="85"/>
      <c r="J17" s="85"/>
      <c r="K17" s="85"/>
      <c r="L17" s="85"/>
      <c r="M17" s="76"/>
    </row>
    <row r="18" spans="1:13">
      <c r="A18" s="32"/>
      <c r="B18" s="32"/>
      <c r="C18" s="32"/>
      <c r="D18" s="20"/>
      <c r="E18" s="32"/>
      <c r="F18" s="72"/>
      <c r="G18" s="41"/>
      <c r="H18" s="32"/>
      <c r="I18" s="32"/>
      <c r="J18" s="32"/>
      <c r="K18" s="20"/>
      <c r="L18" s="32"/>
      <c r="M18" s="77"/>
    </row>
    <row r="19" spans="1:13">
      <c r="A19" s="86" t="str">
        <f ca="1">INDEX('01.2012 г'!$B:$B,MATCH(Карточки1!C20,'01.2012 г'!$C:$C,0))</f>
        <v>Управление</v>
      </c>
      <c r="B19" s="86"/>
      <c r="C19" s="86"/>
      <c r="D19" s="86"/>
      <c r="E19" s="86"/>
      <c r="F19" s="72"/>
      <c r="G19" s="41"/>
      <c r="H19" s="86" t="str">
        <f ca="1">INDEX('01.2012 г'!$B:$B,MATCH(Карточки1!J20,'01.2012 г'!$C:$C,0))</f>
        <v>Управление</v>
      </c>
      <c r="I19" s="86"/>
      <c r="J19" s="86"/>
      <c r="K19" s="86"/>
      <c r="L19" s="86"/>
      <c r="M19" s="77"/>
    </row>
    <row r="20" spans="1:13">
      <c r="A20" s="87" t="s">
        <v>72</v>
      </c>
      <c r="B20" s="87"/>
      <c r="C20" s="88" t="str">
        <f ca="1">INDIRECT("'01.2012 г'!C"&amp;1+M20-1)</f>
        <v>Сафаров Собир</v>
      </c>
      <c r="D20" s="88"/>
      <c r="E20" s="88"/>
      <c r="F20" s="35"/>
      <c r="G20" s="42"/>
      <c r="H20" s="87" t="s">
        <v>72</v>
      </c>
      <c r="I20" s="87"/>
      <c r="J20" s="88" t="str">
        <f ca="1">INDIRECT("'01.2012 г'!C"&amp;1+M20)</f>
        <v>Сабуров Хотам</v>
      </c>
      <c r="K20" s="88"/>
      <c r="L20" s="88"/>
      <c r="M20" s="78">
        <f>COUNTA(M$5:$M15)*2+2</f>
        <v>4</v>
      </c>
    </row>
    <row r="21" spans="1:13">
      <c r="A21" s="39" t="s">
        <v>40</v>
      </c>
      <c r="B21" s="89" t="str">
        <f ca="1">VLOOKUP(C20,'01.2012 г'!$C:$Z,2,0)</f>
        <v>зам.рек по восп.</v>
      </c>
      <c r="C21" s="89"/>
      <c r="D21" s="89"/>
      <c r="E21" s="89"/>
      <c r="F21" s="35"/>
      <c r="G21" s="42"/>
      <c r="H21" s="39" t="s">
        <v>40</v>
      </c>
      <c r="I21" s="89" t="str">
        <f ca="1">VLOOKUP(J20,'01.2012 г'!$C:$Z,2,0)</f>
        <v>зам.рек.по экон.</v>
      </c>
      <c r="J21" s="89"/>
      <c r="K21" s="89"/>
      <c r="L21" s="89"/>
      <c r="M21" s="78"/>
    </row>
    <row r="22" spans="1:13">
      <c r="A22" s="90" t="s">
        <v>73</v>
      </c>
      <c r="B22" s="92" t="s">
        <v>74</v>
      </c>
      <c r="C22" s="94" t="s">
        <v>75</v>
      </c>
      <c r="D22" s="92" t="s">
        <v>93</v>
      </c>
      <c r="E22" s="97"/>
      <c r="G22" s="43"/>
      <c r="H22" s="90" t="s">
        <v>73</v>
      </c>
      <c r="I22" s="92" t="s">
        <v>74</v>
      </c>
      <c r="J22" s="94" t="s">
        <v>75</v>
      </c>
      <c r="K22" s="92" t="s">
        <v>93</v>
      </c>
      <c r="L22" s="97"/>
      <c r="M22" s="79"/>
    </row>
    <row r="23" spans="1:13" ht="13.5">
      <c r="A23" s="91"/>
      <c r="B23" s="93"/>
      <c r="C23" s="95"/>
      <c r="D23" s="96"/>
      <c r="E23" s="98"/>
      <c r="F23" s="34"/>
      <c r="G23" s="44"/>
      <c r="H23" s="91"/>
      <c r="I23" s="93"/>
      <c r="J23" s="95"/>
      <c r="K23" s="96"/>
      <c r="L23" s="98"/>
      <c r="M23" s="80"/>
    </row>
    <row r="24" spans="1:13" ht="15">
      <c r="A24" s="47">
        <f ca="1">IF(VLOOKUP(C20,'01.2012 г'!$C:$Z,4,0)&lt;1,VLOOKUP(C20,'01.2012 г'!$C:$Z,3,0),VLOOKUP(C20,'01.2012 г'!$C:$Z,4,0))</f>
        <v>0</v>
      </c>
      <c r="B24" s="36">
        <f ca="1">VLOOKUP(C20,'01.2012 г'!$C:$Z,11,0)</f>
        <v>197.4</v>
      </c>
      <c r="C24" s="37">
        <f ca="1">VLOOKUP(C20,'01.2012 г'!$C:$Z,22,0)</f>
        <v>21.15</v>
      </c>
      <c r="D24" s="36">
        <f ca="1">VLOOKUP(C20,'01.2012 г'!$C:$Z,24,0)</f>
        <v>176.25</v>
      </c>
      <c r="E24" s="99"/>
      <c r="G24" s="43"/>
      <c r="H24" s="47">
        <f ca="1">IF(VLOOKUP(J20,'01.2012 г'!$C:$Z,4,0)&lt;1,VLOOKUP(J20,'01.2012 г'!$C:$Z,3,0),VLOOKUP(J20,'01.2012 г'!$C:$Z,4,0))</f>
        <v>0</v>
      </c>
      <c r="I24" s="36">
        <f ca="1">VLOOKUP(J20,'01.2012 г'!$C:$Z,11,0)</f>
        <v>242.94</v>
      </c>
      <c r="J24" s="37">
        <f ca="1">VLOOKUP(J20,'01.2012 г'!$C:$Z,22,0)</f>
        <v>27.93</v>
      </c>
      <c r="K24" s="36">
        <f ca="1">VLOOKUP(J20,'01.2012 г'!$C:$Z,24,0)</f>
        <v>215.01</v>
      </c>
      <c r="L24" s="99"/>
      <c r="M24" s="79"/>
    </row>
    <row r="25" spans="1:13">
      <c r="D25" s="1"/>
      <c r="E25" s="33"/>
      <c r="G25" s="43"/>
      <c r="K25" s="1"/>
      <c r="L25" s="33"/>
      <c r="M25" s="79"/>
    </row>
    <row r="26" spans="1:13">
      <c r="A26" s="100" t="s">
        <v>76</v>
      </c>
      <c r="B26" s="100"/>
      <c r="D26" s="1"/>
      <c r="G26" s="43"/>
      <c r="H26" s="100" t="s">
        <v>76</v>
      </c>
      <c r="I26" s="100"/>
      <c r="K26" s="1"/>
      <c r="M26" s="79"/>
    </row>
    <row r="27" spans="1:13">
      <c r="A27" s="101" t="s">
        <v>77</v>
      </c>
      <c r="B27" s="101"/>
      <c r="D27" s="1"/>
      <c r="G27" s="43"/>
      <c r="H27" s="101" t="s">
        <v>77</v>
      </c>
      <c r="I27" s="101"/>
      <c r="K27" s="1"/>
      <c r="M27" s="79"/>
    </row>
    <row r="28" spans="1:13">
      <c r="A28" s="62"/>
      <c r="B28" s="62"/>
      <c r="C28" s="62"/>
      <c r="D28" s="63"/>
      <c r="E28" s="62"/>
      <c r="F28" s="74"/>
      <c r="G28" s="64"/>
      <c r="H28" s="62"/>
      <c r="I28" s="62"/>
      <c r="J28" s="62"/>
      <c r="K28" s="63"/>
      <c r="L28" s="62"/>
      <c r="M28" s="81"/>
    </row>
  </sheetData>
  <sheetCalcPr fullCalcOnLoad="1"/>
  <mergeCells count="52">
    <mergeCell ref="A3:E3"/>
    <mergeCell ref="H3:L3"/>
    <mergeCell ref="A2:E2"/>
    <mergeCell ref="H2:L2"/>
    <mergeCell ref="I7:L7"/>
    <mergeCell ref="H8:H9"/>
    <mergeCell ref="I8:I9"/>
    <mergeCell ref="J8:J9"/>
    <mergeCell ref="K8:K9"/>
    <mergeCell ref="L8:L10"/>
    <mergeCell ref="B7:E7"/>
    <mergeCell ref="A8:A9"/>
    <mergeCell ref="B8:B9"/>
    <mergeCell ref="C8:C9"/>
    <mergeCell ref="D8:D9"/>
    <mergeCell ref="E8:E10"/>
    <mergeCell ref="H5:L5"/>
    <mergeCell ref="A6:B6"/>
    <mergeCell ref="C6:E6"/>
    <mergeCell ref="H6:I6"/>
    <mergeCell ref="J6:L6"/>
    <mergeCell ref="A5:E5"/>
    <mergeCell ref="A27:B27"/>
    <mergeCell ref="H27:I27"/>
    <mergeCell ref="A12:B12"/>
    <mergeCell ref="H12:I12"/>
    <mergeCell ref="A13:B13"/>
    <mergeCell ref="H13:I13"/>
    <mergeCell ref="I22:I23"/>
    <mergeCell ref="J22:J23"/>
    <mergeCell ref="K22:K23"/>
    <mergeCell ref="L22:L24"/>
    <mergeCell ref="A26:B26"/>
    <mergeCell ref="H26:I26"/>
    <mergeCell ref="A22:A23"/>
    <mergeCell ref="B22:B23"/>
    <mergeCell ref="C22:C23"/>
    <mergeCell ref="D22:D23"/>
    <mergeCell ref="E22:E24"/>
    <mergeCell ref="H22:H23"/>
    <mergeCell ref="A20:B20"/>
    <mergeCell ref="C20:E20"/>
    <mergeCell ref="H20:I20"/>
    <mergeCell ref="J20:L20"/>
    <mergeCell ref="B21:E21"/>
    <mergeCell ref="I21:L21"/>
    <mergeCell ref="A16:E16"/>
    <mergeCell ref="H16:L16"/>
    <mergeCell ref="A17:E17"/>
    <mergeCell ref="H17:L17"/>
    <mergeCell ref="A19:E19"/>
    <mergeCell ref="H19:L19"/>
  </mergeCells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Тарифы</vt:lpstr>
      <vt:lpstr>Ведомость оплаты</vt:lpstr>
      <vt:lpstr>01.2012 г</vt:lpstr>
      <vt:lpstr>Карточки1</vt:lpstr>
      <vt:lpstr>'01.2012 г'!Заголовки_для_печати</vt:lpstr>
      <vt:lpstr>'01.2012 г'!Область_печати</vt:lpstr>
      <vt:lpstr>'01.2012 г'!сп1</vt:lpstr>
      <vt:lpstr>'01.2012 г'!сп2</vt:lpstr>
      <vt:lpstr>'01.2012 г'!сп3</vt:lpstr>
      <vt:lpstr>'01.2012 г'!сп4</vt:lpstr>
      <vt:lpstr>'01.2012 г'!сп5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Надя</dc:creator>
  <cp:lastModifiedBy>Evgeniy</cp:lastModifiedBy>
  <cp:lastPrinted>2012-01-24T19:18:45Z</cp:lastPrinted>
  <dcterms:created xsi:type="dcterms:W3CDTF">2002-12-28T12:45:47Z</dcterms:created>
  <dcterms:modified xsi:type="dcterms:W3CDTF">2012-01-25T06:13:37Z</dcterms:modified>
</cp:coreProperties>
</file>