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-15" yWindow="-15" windowWidth="9600" windowHeight="12120" tabRatio="445" firstSheet="1" activeTab="2"/>
  </bookViews>
  <sheets>
    <sheet name="Тарифы" sheetId="13" state="hidden" r:id="rId1"/>
    <sheet name="01.2012" sheetId="20" r:id="rId2"/>
    <sheet name="Карточки" sheetId="25" r:id="rId3"/>
    <sheet name="Ведомость оплаты" sheetId="27" r:id="rId4"/>
  </sheets>
  <definedNames>
    <definedName name="_xlnm._FilterDatabase" localSheetId="1" hidden="1">'01.2012'!$E$2:$AC$28</definedName>
    <definedName name="Z_B7749F0D_A6E5_4550_B277_2D5630BDBD61_.wvu.Cols" localSheetId="1" hidden="1">'01.2012'!$G:$G,'01.2012'!$O:$O,'01.2012'!$Q:$Q,'01.2012'!$S:$S,'01.2012'!$R:$W,'01.2012'!#REF!,'01.2012'!#REF!</definedName>
    <definedName name="Z_B7749F0D_A6E5_4550_B277_2D5630BDBD61_.wvu.FilterData" localSheetId="1" hidden="1">'01.2012'!$E$2:$AC$28</definedName>
    <definedName name="Z_B7749F0D_A6E5_4550_B277_2D5630BDBD61_.wvu.PrintArea" localSheetId="1" hidden="1">'01.2012'!$E$2:$AC$28</definedName>
    <definedName name="Z_B7749F0D_A6E5_4550_B277_2D5630BDBD61_.wvu.PrintTitles" localSheetId="1" hidden="1">'01.2012'!#REF!</definedName>
    <definedName name="Z_B7749F0D_A6E5_4550_B277_2D5630BDBD61_.wvu.Rows" localSheetId="1" hidden="1">'01.2012'!#REF!</definedName>
    <definedName name="_xlnm.Print_Area" localSheetId="3">'Ведомость оплаты'!$B$1:$E$40</definedName>
    <definedName name="_xlnm.Print_Area" localSheetId="2">Карточки!$A$1:$L$139</definedName>
    <definedName name="Отдел">OFFSET('Ведомость оплаты'!$A$1,,,SUM(--NOT(ISERROR('Ведомость оплаты'!$A$1:$A$25))))</definedName>
  </definedNames>
  <calcPr calcId="144525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AD1" i="20" l="1"/>
  <c r="B8" i="27" s="1"/>
  <c r="A3" i="25" l="1"/>
  <c r="A17" i="25"/>
  <c r="A31" i="25"/>
  <c r="A45" i="25"/>
  <c r="A59" i="25"/>
  <c r="A73" i="25"/>
  <c r="A87" i="25"/>
  <c r="A101" i="25"/>
  <c r="A115" i="25"/>
  <c r="A129" i="25"/>
  <c r="H3" i="25"/>
  <c r="H17" i="25"/>
  <c r="H31" i="25"/>
  <c r="H45" i="25"/>
  <c r="H59" i="25"/>
  <c r="H73" i="25"/>
  <c r="H87" i="25"/>
  <c r="H101" i="25"/>
  <c r="H115" i="25"/>
  <c r="H129" i="25"/>
  <c r="A15" i="20" l="1"/>
  <c r="A16" i="20"/>
  <c r="A21" i="20"/>
  <c r="A22" i="20"/>
  <c r="A2" i="20"/>
  <c r="C15" i="20" l="1"/>
  <c r="C16" i="20"/>
  <c r="C21" i="20"/>
  <c r="C22" i="20"/>
  <c r="C2" i="20"/>
  <c r="B15" i="20" l="1"/>
  <c r="B16" i="20"/>
  <c r="B21" i="20"/>
  <c r="B22" i="20"/>
  <c r="B2" i="20"/>
  <c r="A15" i="25" l="1"/>
  <c r="H15" i="25"/>
  <c r="A29" i="25"/>
  <c r="H29" i="25"/>
  <c r="A43" i="25"/>
  <c r="H43" i="25"/>
  <c r="A57" i="25"/>
  <c r="H57" i="25"/>
  <c r="A71" i="25"/>
  <c r="H71" i="25"/>
  <c r="A85" i="25"/>
  <c r="H85" i="25"/>
  <c r="A99" i="25"/>
  <c r="H99" i="25"/>
  <c r="A113" i="25"/>
  <c r="H113" i="25"/>
  <c r="A127" i="25"/>
  <c r="H127" i="25"/>
  <c r="H1" i="25"/>
  <c r="A1" i="25"/>
  <c r="D2" i="20"/>
  <c r="A1" i="27" l="1"/>
  <c r="I28" i="20"/>
  <c r="H28" i="20"/>
  <c r="I20" i="20"/>
  <c r="H20" i="20"/>
  <c r="I14" i="20"/>
  <c r="H14" i="20"/>
  <c r="L28" i="20" l="1"/>
  <c r="V28" i="20"/>
  <c r="U28" i="20"/>
  <c r="T28" i="20"/>
  <c r="S28" i="20"/>
  <c r="R28" i="20"/>
  <c r="Q28" i="20"/>
  <c r="O28" i="20"/>
  <c r="N28" i="20"/>
  <c r="M28" i="20"/>
  <c r="W20" i="20"/>
  <c r="V20" i="20"/>
  <c r="U20" i="20"/>
  <c r="T20" i="20"/>
  <c r="S20" i="20"/>
  <c r="R20" i="20"/>
  <c r="Q20" i="20"/>
  <c r="O20" i="20"/>
  <c r="N20" i="20"/>
  <c r="M20" i="20"/>
  <c r="L20" i="20"/>
  <c r="K20" i="20"/>
  <c r="W14" i="20"/>
  <c r="V14" i="20"/>
  <c r="U14" i="20"/>
  <c r="T14" i="20"/>
  <c r="S14" i="20"/>
  <c r="R14" i="20"/>
  <c r="Q14" i="20"/>
  <c r="O14" i="20"/>
  <c r="N14" i="20"/>
  <c r="M14" i="20"/>
  <c r="P6" i="20"/>
  <c r="P4" i="20"/>
  <c r="L14" i="20"/>
  <c r="K4" i="20"/>
  <c r="K5" i="20"/>
  <c r="P5" i="20"/>
  <c r="K6" i="20"/>
  <c r="K7" i="20"/>
  <c r="P7" i="20"/>
  <c r="K8" i="20"/>
  <c r="P8" i="20"/>
  <c r="K9" i="20"/>
  <c r="P9" i="20"/>
  <c r="K10" i="20"/>
  <c r="P10" i="20"/>
  <c r="K11" i="20"/>
  <c r="P11" i="20"/>
  <c r="K12" i="20"/>
  <c r="P12" i="20"/>
  <c r="K13" i="20"/>
  <c r="P13" i="20"/>
  <c r="K17" i="20"/>
  <c r="P17" i="20"/>
  <c r="K18" i="20"/>
  <c r="P18" i="20"/>
  <c r="K19" i="20"/>
  <c r="P19" i="20"/>
  <c r="K23" i="20"/>
  <c r="P23" i="20"/>
  <c r="K24" i="20"/>
  <c r="P24" i="20"/>
  <c r="K25" i="20"/>
  <c r="P25" i="20"/>
  <c r="K26" i="20"/>
  <c r="P26" i="20"/>
  <c r="K27" i="20"/>
  <c r="P27" i="20"/>
  <c r="X5" i="20" l="1"/>
  <c r="Z4" i="20"/>
  <c r="Z27" i="20"/>
  <c r="X26" i="20"/>
  <c r="X25" i="20"/>
  <c r="Y24" i="20"/>
  <c r="Y23" i="20"/>
  <c r="X19" i="20"/>
  <c r="X18" i="20"/>
  <c r="X17" i="20"/>
  <c r="X13" i="20"/>
  <c r="X12" i="20"/>
  <c r="X11" i="20"/>
  <c r="X10" i="20"/>
  <c r="X9" i="20"/>
  <c r="Y8" i="20"/>
  <c r="X7" i="20"/>
  <c r="X6" i="20"/>
  <c r="Y27" i="20"/>
  <c r="Z5" i="20"/>
  <c r="Z7" i="20"/>
  <c r="Z9" i="20"/>
  <c r="Z11" i="20"/>
  <c r="Z13" i="20"/>
  <c r="W27" i="20"/>
  <c r="W28" i="20" s="1"/>
  <c r="Z6" i="20"/>
  <c r="Z8" i="20"/>
  <c r="Z10" i="20"/>
  <c r="Z12" i="20"/>
  <c r="Y26" i="20"/>
  <c r="X27" i="20"/>
  <c r="P28" i="20"/>
  <c r="Z23" i="20"/>
  <c r="Z25" i="20"/>
  <c r="Z24" i="20"/>
  <c r="Z26" i="20"/>
  <c r="P20" i="20"/>
  <c r="Z18" i="20"/>
  <c r="Z17" i="20"/>
  <c r="Z19" i="20"/>
  <c r="Y25" i="20"/>
  <c r="X24" i="20"/>
  <c r="Y19" i="20"/>
  <c r="Y18" i="20"/>
  <c r="Y17" i="20"/>
  <c r="Y12" i="20"/>
  <c r="Y13" i="20"/>
  <c r="Y11" i="20"/>
  <c r="Y10" i="20"/>
  <c r="Y9" i="20"/>
  <c r="Y7" i="20"/>
  <c r="Y6" i="20"/>
  <c r="Y5" i="20"/>
  <c r="Y4" i="20"/>
  <c r="X4" i="20"/>
  <c r="X8" i="20"/>
  <c r="X23" i="20"/>
  <c r="K28" i="20"/>
  <c r="X20" i="20" l="1"/>
  <c r="Y28" i="20"/>
  <c r="Z28" i="20"/>
  <c r="X28" i="20"/>
  <c r="Y20" i="20"/>
  <c r="Z20" i="20"/>
  <c r="P3" i="20" l="1"/>
  <c r="D3" i="20" s="1"/>
  <c r="D4" i="20" l="1"/>
  <c r="D5" i="20" s="1"/>
  <c r="D6" i="20" s="1"/>
  <c r="D7" i="20" s="1"/>
  <c r="P14" i="20"/>
  <c r="X3" i="20"/>
  <c r="Z3" i="20"/>
  <c r="Z14" i="20" s="1"/>
  <c r="AA18" i="20"/>
  <c r="Y3" i="20"/>
  <c r="Y14" i="20" s="1"/>
  <c r="X14" i="20" l="1"/>
  <c r="D8" i="20"/>
  <c r="AA13" i="20"/>
  <c r="AA12" i="20"/>
  <c r="AB12" i="20" s="1"/>
  <c r="AA17" i="20"/>
  <c r="AA27" i="20"/>
  <c r="AB18" i="20"/>
  <c r="AC18" i="20"/>
  <c r="A18" i="20" s="1"/>
  <c r="AA8" i="20"/>
  <c r="AA4" i="20"/>
  <c r="AA10" i="20"/>
  <c r="AA7" i="20"/>
  <c r="AA23" i="20"/>
  <c r="AA6" i="20"/>
  <c r="AA9" i="20"/>
  <c r="AA26" i="20"/>
  <c r="AA24" i="20"/>
  <c r="AA5" i="20"/>
  <c r="AA11" i="20"/>
  <c r="AA19" i="20"/>
  <c r="AA25" i="20"/>
  <c r="AA3" i="20"/>
  <c r="D9" i="20" l="1"/>
  <c r="AC13" i="20"/>
  <c r="AC12" i="20"/>
  <c r="AA14" i="20"/>
  <c r="AA28" i="20"/>
  <c r="AB17" i="20"/>
  <c r="AA20" i="20"/>
  <c r="AB13" i="20"/>
  <c r="AC17" i="20"/>
  <c r="AB27" i="20"/>
  <c r="AC27" i="20"/>
  <c r="A27" i="20" s="1"/>
  <c r="AB19" i="20"/>
  <c r="AC19" i="20"/>
  <c r="AB5" i="20"/>
  <c r="AC5" i="20"/>
  <c r="AB24" i="20"/>
  <c r="AC24" i="20"/>
  <c r="AC26" i="20"/>
  <c r="AB26" i="20"/>
  <c r="AC9" i="20"/>
  <c r="AB9" i="20"/>
  <c r="AB6" i="20"/>
  <c r="AC6" i="20"/>
  <c r="AB8" i="20"/>
  <c r="AC8" i="20"/>
  <c r="AC25" i="20"/>
  <c r="AB25" i="20"/>
  <c r="AC11" i="20"/>
  <c r="AB11" i="20"/>
  <c r="AB23" i="20"/>
  <c r="AC23" i="20"/>
  <c r="AB7" i="20"/>
  <c r="AC7" i="20"/>
  <c r="AC10" i="20"/>
  <c r="AB10" i="20"/>
  <c r="AB4" i="20"/>
  <c r="AC4" i="20"/>
  <c r="AC3" i="20"/>
  <c r="AB3" i="20"/>
  <c r="C3" i="20" l="1"/>
  <c r="A3" i="20"/>
  <c r="B3" i="20"/>
  <c r="C4" i="20"/>
  <c r="K10" i="25" s="1"/>
  <c r="B4" i="20"/>
  <c r="B7" i="20"/>
  <c r="B8" i="20"/>
  <c r="B6" i="20"/>
  <c r="B9" i="20"/>
  <c r="C5" i="20"/>
  <c r="B5" i="20"/>
  <c r="C27" i="20"/>
  <c r="B27" i="20"/>
  <c r="AB14" i="20"/>
  <c r="D10" i="25"/>
  <c r="D10" i="20"/>
  <c r="B10" i="20" s="1"/>
  <c r="AB28" i="20"/>
  <c r="AC28" i="20"/>
  <c r="A28" i="20" s="1"/>
  <c r="AB20" i="20"/>
  <c r="AC20" i="20"/>
  <c r="A20" i="20" s="1"/>
  <c r="AC14" i="20"/>
  <c r="A14" i="20" s="1"/>
  <c r="A4" i="20" l="1"/>
  <c r="A5" i="20"/>
  <c r="A7" i="20" s="1"/>
  <c r="A6" i="20"/>
  <c r="C14" i="20"/>
  <c r="B14" i="20"/>
  <c r="C20" i="20"/>
  <c r="B20" i="20"/>
  <c r="C28" i="20"/>
  <c r="B28" i="20"/>
  <c r="D24" i="25"/>
  <c r="C6" i="20"/>
  <c r="K24" i="25"/>
  <c r="C7" i="20"/>
  <c r="C8" i="20" s="1"/>
  <c r="D38" i="25"/>
  <c r="A19" i="25"/>
  <c r="H19" i="25"/>
  <c r="C20" i="25"/>
  <c r="J20" i="25"/>
  <c r="B21" i="25"/>
  <c r="I21" i="25"/>
  <c r="A24" i="25"/>
  <c r="B24" i="25"/>
  <c r="H24" i="25"/>
  <c r="I24" i="25"/>
  <c r="C34" i="25"/>
  <c r="B35" i="25"/>
  <c r="A38" i="25"/>
  <c r="B38" i="25"/>
  <c r="E5" i="25"/>
  <c r="H5" i="25"/>
  <c r="E6" i="25"/>
  <c r="J6" i="25"/>
  <c r="E7" i="25"/>
  <c r="I7" i="25"/>
  <c r="A10" i="25"/>
  <c r="B10" i="25"/>
  <c r="H10" i="25"/>
  <c r="I10" i="25"/>
  <c r="J38" i="25"/>
  <c r="J10" i="25"/>
  <c r="J24" i="25"/>
  <c r="C38" i="25"/>
  <c r="C24" i="25"/>
  <c r="C10" i="25"/>
  <c r="A33" i="25"/>
  <c r="H33" i="25"/>
  <c r="D11" i="20"/>
  <c r="B11" i="20" s="1"/>
  <c r="A8" i="20" l="1"/>
  <c r="A9" i="20"/>
  <c r="J34" i="25"/>
  <c r="I35" i="25"/>
  <c r="H38" i="25"/>
  <c r="I38" i="25"/>
  <c r="K38" i="25"/>
  <c r="C9" i="20"/>
  <c r="D12" i="20"/>
  <c r="B12" i="20" s="1"/>
  <c r="A10" i="20" l="1"/>
  <c r="A11" i="20" s="1"/>
  <c r="C52" i="25"/>
  <c r="D52" i="25"/>
  <c r="A47" i="25"/>
  <c r="B52" i="25"/>
  <c r="A52" i="25"/>
  <c r="B49" i="25"/>
  <c r="C48" i="25"/>
  <c r="C10" i="20"/>
  <c r="D13" i="20"/>
  <c r="B13" i="20" s="1"/>
  <c r="A12" i="20" l="1"/>
  <c r="A13" i="20" s="1"/>
  <c r="A17" i="20" s="1"/>
  <c r="A19" i="20" s="1"/>
  <c r="A23" i="20" s="1"/>
  <c r="A24" i="20" s="1"/>
  <c r="A25" i="20" s="1"/>
  <c r="A26" i="20" s="1"/>
  <c r="K52" i="25"/>
  <c r="J48" i="25"/>
  <c r="I49" i="25"/>
  <c r="H52" i="25"/>
  <c r="I52" i="25"/>
  <c r="C11" i="20"/>
  <c r="C12" i="20" s="1"/>
  <c r="H47" i="25"/>
  <c r="C66" i="25"/>
  <c r="J52" i="25"/>
  <c r="D14" i="20"/>
  <c r="C13" i="20" l="1"/>
  <c r="D80" i="25" s="1"/>
  <c r="C80" i="25"/>
  <c r="A75" i="25"/>
  <c r="J66" i="25"/>
  <c r="K66" i="25"/>
  <c r="C17" i="20"/>
  <c r="K80" i="25"/>
  <c r="H61" i="25"/>
  <c r="D66" i="25"/>
  <c r="I80" i="25"/>
  <c r="H80" i="25"/>
  <c r="B80" i="25"/>
  <c r="A80" i="25"/>
  <c r="I77" i="25"/>
  <c r="B77" i="25"/>
  <c r="J76" i="25"/>
  <c r="C76" i="25"/>
  <c r="I66" i="25"/>
  <c r="H66" i="25"/>
  <c r="B66" i="25"/>
  <c r="A66" i="25"/>
  <c r="I63" i="25"/>
  <c r="B63" i="25"/>
  <c r="J62" i="25"/>
  <c r="C62" i="25"/>
  <c r="A61" i="25"/>
  <c r="D15" i="20"/>
  <c r="C18" i="20" l="1"/>
  <c r="D94" i="25" s="1"/>
  <c r="J80" i="25"/>
  <c r="C94" i="25"/>
  <c r="D16" i="20"/>
  <c r="C19" i="20" l="1"/>
  <c r="K94" i="25" s="1"/>
  <c r="D17" i="20"/>
  <c r="B17" i="20" s="1"/>
  <c r="C23" i="20" l="1"/>
  <c r="C24" i="20" s="1"/>
  <c r="C25" i="20" s="1"/>
  <c r="C26" i="20" s="1"/>
  <c r="D18" i="20"/>
  <c r="H75" i="25"/>
  <c r="K136" i="25" l="1"/>
  <c r="D122" i="25"/>
  <c r="D108" i="25"/>
  <c r="I136" i="25"/>
  <c r="H136" i="25"/>
  <c r="B136" i="25"/>
  <c r="A136" i="25"/>
  <c r="I133" i="25"/>
  <c r="B133" i="25"/>
  <c r="J132" i="25"/>
  <c r="C132" i="25"/>
  <c r="I122" i="25"/>
  <c r="H122" i="25"/>
  <c r="B122" i="25"/>
  <c r="A122" i="25"/>
  <c r="I119" i="25"/>
  <c r="B119" i="25"/>
  <c r="J118" i="25"/>
  <c r="C118" i="25"/>
  <c r="I108" i="25"/>
  <c r="H108" i="25"/>
  <c r="B108" i="25"/>
  <c r="A108" i="25"/>
  <c r="I105" i="25"/>
  <c r="B105" i="25"/>
  <c r="J104" i="25"/>
  <c r="C104" i="25"/>
  <c r="I94" i="25"/>
  <c r="H94" i="25"/>
  <c r="B94" i="25"/>
  <c r="A94" i="25"/>
  <c r="I91" i="25"/>
  <c r="B91" i="25"/>
  <c r="J90" i="25"/>
  <c r="C90" i="25"/>
  <c r="J122" i="25"/>
  <c r="C122" i="25"/>
  <c r="J94" i="25"/>
  <c r="J136" i="25"/>
  <c r="C136" i="25"/>
  <c r="J108" i="25"/>
  <c r="C108" i="25"/>
  <c r="D136" i="25"/>
  <c r="K108" i="25"/>
  <c r="K122" i="25"/>
  <c r="B18" i="20"/>
  <c r="D19" i="20"/>
  <c r="B19" i="20" s="1"/>
  <c r="A89" i="25"/>
  <c r="H89" i="25" l="1"/>
  <c r="D20" i="20"/>
  <c r="D21" i="20" s="1"/>
  <c r="D22" i="20" s="1"/>
  <c r="D23" i="20" s="1"/>
  <c r="B23" i="20" s="1"/>
  <c r="A3" i="27" l="1"/>
  <c r="D24" i="20"/>
  <c r="B24" i="20" s="1"/>
  <c r="A103" i="25"/>
  <c r="D25" i="20" l="1"/>
  <c r="H103" i="25"/>
  <c r="B25" i="20" l="1"/>
  <c r="D26" i="20"/>
  <c r="A117" i="25"/>
  <c r="B26" i="20" l="1"/>
  <c r="D27" i="20"/>
  <c r="H117" i="25"/>
  <c r="D28" i="20" l="1"/>
  <c r="A2" i="27" s="1"/>
  <c r="A131" i="25"/>
  <c r="H131" i="25" l="1"/>
  <c r="A8" i="27" l="1"/>
  <c r="A9" i="27"/>
  <c r="A14" i="27"/>
  <c r="A24" i="27"/>
  <c r="A11" i="27"/>
  <c r="A15" i="27"/>
  <c r="A13" i="27"/>
  <c r="A19" i="27"/>
  <c r="A23" i="27"/>
  <c r="A5" i="27"/>
  <c r="A12" i="27"/>
  <c r="A22" i="27"/>
  <c r="A20" i="27"/>
  <c r="A21" i="27"/>
  <c r="A25" i="27"/>
  <c r="A7" i="27"/>
  <c r="A17" i="27"/>
  <c r="A16" i="27"/>
  <c r="A18" i="27"/>
  <c r="A6" i="27"/>
  <c r="A10" i="27"/>
  <c r="A4" i="27"/>
  <c r="E3" i="27" l="1"/>
  <c r="B9" i="27" l="1" a="1"/>
  <c r="B9" i="27" s="1"/>
  <c r="D40" i="27" l="1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3" i="27"/>
  <c r="D12" i="27"/>
  <c r="D11" i="27"/>
  <c r="C39" i="27" a="1"/>
  <c r="C39" i="27" s="1"/>
  <c r="C31" i="27" a="1"/>
  <c r="C31" i="27" s="1"/>
  <c r="C23" i="27" a="1"/>
  <c r="C23" i="27" s="1"/>
  <c r="C40" i="27" a="1"/>
  <c r="C40" i="27" s="1"/>
  <c r="C32" i="27" a="1"/>
  <c r="C32" i="27" s="1"/>
  <c r="C24" i="27" a="1"/>
  <c r="C24" i="27" s="1"/>
  <c r="C12" i="27" a="1"/>
  <c r="C12" i="27" s="1"/>
  <c r="C38" i="27" a="1"/>
  <c r="C38" i="27" s="1"/>
  <c r="C30" i="27" a="1"/>
  <c r="C30" i="27" s="1"/>
  <c r="C22" i="27" a="1"/>
  <c r="C22" i="27" s="1"/>
  <c r="C20" i="27" a="1"/>
  <c r="C20" i="27" s="1"/>
  <c r="C14" i="27" a="1"/>
  <c r="C14" i="27" s="1"/>
  <c r="C33" i="27" a="1"/>
  <c r="C33" i="27" s="1"/>
  <c r="C25" i="27" a="1"/>
  <c r="C25" i="27" s="1"/>
  <c r="C17" i="27" a="1"/>
  <c r="C17" i="27" s="1"/>
  <c r="C11" i="27" a="1"/>
  <c r="C11" i="27" s="1"/>
  <c r="C35" i="27" a="1"/>
  <c r="C35" i="27" s="1"/>
  <c r="C27" i="27" a="1"/>
  <c r="C27" i="27" s="1"/>
  <c r="C19" i="27" a="1"/>
  <c r="C19" i="27" s="1"/>
  <c r="C36" i="27" a="1"/>
  <c r="C36" i="27" s="1"/>
  <c r="C28" i="27" a="1"/>
  <c r="C28" i="27" s="1"/>
  <c r="C13" i="27" a="1"/>
  <c r="C13" i="27" s="1"/>
  <c r="C34" i="27" a="1"/>
  <c r="C34" i="27" s="1"/>
  <c r="C26" i="27" a="1"/>
  <c r="C26" i="27" s="1"/>
  <c r="C18" i="27" a="1"/>
  <c r="C18" i="27" s="1"/>
  <c r="C15" i="27" a="1"/>
  <c r="C15" i="27" s="1"/>
  <c r="C16" i="27" a="1"/>
  <c r="C16" i="27" s="1"/>
  <c r="C37" i="27" a="1"/>
  <c r="C37" i="27" s="1"/>
  <c r="C29" i="27" a="1"/>
  <c r="C29" i="27" s="1"/>
  <c r="C21" i="27" a="1"/>
  <c r="C21" i="27" s="1"/>
  <c r="D14" i="27" l="1"/>
</calcChain>
</file>

<file path=xl/sharedStrings.xml><?xml version="1.0" encoding="utf-8"?>
<sst xmlns="http://schemas.openxmlformats.org/spreadsheetml/2006/main" count="254" uniqueCount="71">
  <si>
    <t>- минимальная з/плата</t>
  </si>
  <si>
    <t>Подоходный налог:</t>
  </si>
  <si>
    <t>- для договорных</t>
  </si>
  <si>
    <t>ректор</t>
  </si>
  <si>
    <t>Матинов Холиддин</t>
  </si>
  <si>
    <t>Наботов Насим</t>
  </si>
  <si>
    <t>Нуриддинов А</t>
  </si>
  <si>
    <t>Зиёев Идибек</t>
  </si>
  <si>
    <t>Рахматова Зебо</t>
  </si>
  <si>
    <t>Назаров Хабибулло</t>
  </si>
  <si>
    <t>Исмоилов Мирзо</t>
  </si>
  <si>
    <t>Салимов Юсуф</t>
  </si>
  <si>
    <t>№</t>
  </si>
  <si>
    <r>
      <t>Д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</si>
  <si>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r>
      <t>К</t>
    </r>
    <r>
      <rPr>
        <b/>
        <vertAlign val="superscript"/>
        <sz val="8"/>
        <color theme="0"/>
        <rFont val="Arial TAJ"/>
        <family val="2"/>
        <charset val="204"/>
      </rPr>
      <t>т</t>
    </r>
  </si>
  <si>
    <t>∑ +</t>
  </si>
  <si>
    <t>∑ -</t>
  </si>
  <si>
    <t>Солехов Файзулло</t>
  </si>
  <si>
    <t>Саидов Абдуманон</t>
  </si>
  <si>
    <t>Каххорова Озода</t>
  </si>
  <si>
    <t>Наимов Сафар</t>
  </si>
  <si>
    <t>Муратов Акбар</t>
  </si>
  <si>
    <t>Сафаров Собир</t>
  </si>
  <si>
    <t>Сабуров Хотам</t>
  </si>
  <si>
    <t>Давлатов Талиб</t>
  </si>
  <si>
    <t>Всего</t>
  </si>
  <si>
    <t>зам.рек.по НЧ</t>
  </si>
  <si>
    <t>зам.рек по восп.</t>
  </si>
  <si>
    <t>зам.рек.по экон.</t>
  </si>
  <si>
    <t>советник</t>
  </si>
  <si>
    <t>нач.штаба</t>
  </si>
  <si>
    <t>пред.молод.</t>
  </si>
  <si>
    <t>секретарь</t>
  </si>
  <si>
    <t>помощник</t>
  </si>
  <si>
    <t>УПРАВЛЕНИЕ</t>
  </si>
  <si>
    <t>Фамилия, Имя, Отчество</t>
  </si>
  <si>
    <t>Должность</t>
  </si>
  <si>
    <t>Р.д.</t>
  </si>
  <si>
    <t>Час</t>
  </si>
  <si>
    <t>З/плата</t>
  </si>
  <si>
    <t>Допол.</t>
  </si>
  <si>
    <t>Налог</t>
  </si>
  <si>
    <t>Пенс.</t>
  </si>
  <si>
    <t>Проф.</t>
  </si>
  <si>
    <t>Бободжонова Нарзия</t>
  </si>
  <si>
    <t>ОТДЕЛ КАДРОВ</t>
  </si>
  <si>
    <t>БУХГАЛТЕРИЯ И ФИНАНСЫ</t>
  </si>
  <si>
    <t>бухгалтер</t>
  </si>
  <si>
    <t>экономист</t>
  </si>
  <si>
    <t>кассир</t>
  </si>
  <si>
    <t>Ахмадджонов Исмоил</t>
  </si>
  <si>
    <t>гл.бух</t>
  </si>
  <si>
    <t>начальник</t>
  </si>
  <si>
    <t>Итого:</t>
  </si>
  <si>
    <t>Институт ТАК СЕБЕ</t>
  </si>
  <si>
    <t>Ф.И.О. работника</t>
  </si>
  <si>
    <t>Остаток
на нач.</t>
  </si>
  <si>
    <t>Начислено</t>
  </si>
  <si>
    <t>Удержано</t>
  </si>
  <si>
    <t xml:space="preserve">
на руку</t>
  </si>
  <si>
    <t>Расчетный бухгалтер</t>
  </si>
  <si>
    <t>Гл.бухгалтер</t>
  </si>
  <si>
    <t>Отп.</t>
  </si>
  <si>
    <t>Болнич.</t>
  </si>
  <si>
    <t>ВЕДОМОСТЬ ОПЛАТЫ</t>
  </si>
  <si>
    <t>Сумма</t>
  </si>
  <si>
    <t>Подпись</t>
  </si>
  <si>
    <t>Институт ____________</t>
  </si>
  <si>
    <t>инженер ОК</t>
  </si>
  <si>
    <t>на руку</t>
  </si>
  <si>
    <r>
      <rPr>
        <sz val="20"/>
        <color rgb="FF0000FF"/>
        <rFont val="Arial Cyr"/>
        <charset val="204"/>
      </rPr>
      <t>Желательно было бы сделать вот так:</t>
    </r>
    <r>
      <rPr>
        <sz val="20"/>
        <rFont val="Arial Cyr"/>
        <charset val="204"/>
      </rPr>
      <t xml:space="preserve">
ВЕДОМОСТЬ ОПЛАТЫ
заработной платы за </t>
    </r>
    <r>
      <rPr>
        <b/>
        <u/>
        <sz val="20"/>
        <rFont val="Arial Cyr"/>
        <charset val="204"/>
      </rPr>
      <t xml:space="preserve">01.2012
</t>
    </r>
    <r>
      <rPr>
        <b/>
        <u/>
        <sz val="20"/>
        <color rgb="FF0000FF"/>
        <rFont val="Arial Cyr"/>
        <charset val="204"/>
      </rPr>
      <t xml:space="preserve">
</t>
    </r>
    <r>
      <rPr>
        <sz val="20"/>
        <color rgb="FF0000FF"/>
        <rFont val="Arial Cyr"/>
        <charset val="204"/>
      </rPr>
      <t>но применение разных форматов к одной ячейке никак не получается. Решаемо ли это?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</si>
</sst>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 ;[Red]\-0.0\ "/>
    <numFmt numFmtId="165" formatCode=";;;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u/>
      <sz val="12"/>
      <name val="Times New Roman"/>
      <family val="1"/>
      <charset val="204"/>
    </font>
    <font>
      <sz val="7"/>
      <name val="Arial TAJ"/>
      <family val="2"/>
      <charset val="204"/>
    </font>
    <font>
      <sz val="8"/>
      <name val="Arial TAJ"/>
      <family val="2"/>
      <charset val="204"/>
    </font>
    <font>
      <sz val="10"/>
      <name val="Arial TAJ"/>
      <family val="2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1"/>
      <name val="Times New Roman Tj"/>
      <family val="1"/>
      <charset val="204"/>
    </font>
    <font>
      <b/>
      <sz val="8"/>
      <color theme="0"/>
      <name val="Arial TAJ"/>
      <family val="2"/>
      <charset val="204"/>
    </font>
    <font>
      <b/>
      <vertAlign val="superscript"/>
      <sz val="8"/>
      <color theme="0"/>
      <name val="Arial TAJ"/>
      <family val="2"/>
      <charset val="204"/>
    </font>
    <font>
      <sz val="11"/>
      <name val="Palatino Linotype"/>
      <family val="1"/>
      <charset val="204"/>
    </font>
    <font>
      <b/>
      <sz val="9"/>
      <name val="Palatino Linotype"/>
      <family val="1"/>
      <charset val="204"/>
    </font>
    <font>
      <b/>
      <sz val="8"/>
      <name val="Palatino Linotype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Palatino Linotype"/>
      <family val="1"/>
      <charset val="204"/>
    </font>
    <font>
      <sz val="10"/>
      <color theme="0"/>
      <name val="Arial Cyr"/>
      <charset val="204"/>
    </font>
    <font>
      <b/>
      <u/>
      <sz val="11"/>
      <name val="Arial Cyr"/>
      <charset val="204"/>
    </font>
    <font>
      <sz val="20"/>
      <name val="Arial Cyr"/>
      <charset val="204"/>
    </font>
    <font>
      <b/>
      <u/>
      <sz val="20"/>
      <name val="Arial Cyr"/>
      <charset val="204"/>
    </font>
    <font>
      <sz val="20"/>
      <color rgb="FF0000FF"/>
      <name val="Arial Cyr"/>
      <charset val="204"/>
    </font>
    <font>
      <b/>
      <u/>
      <sz val="20"/>
      <color rgb="FF0000FF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ashDotDot">
        <color theme="0" tint="-0.499984740745262"/>
      </left>
      <right/>
      <top/>
      <bottom/>
      <diagonal/>
    </border>
    <border>
      <left/>
      <right/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49" fontId="8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49" fontId="0" fillId="0" borderId="0" xfId="0" applyNumberFormat="1"/>
    <xf numFmtId="2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9" fontId="0" fillId="2" borderId="0" xfId="0" applyNumberFormat="1" applyFill="1"/>
    <xf numFmtId="49" fontId="4" fillId="2" borderId="0" xfId="0" applyNumberFormat="1" applyFont="1" applyFill="1"/>
    <xf numFmtId="9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3" xfId="0" applyNumberFormat="1" applyFont="1" applyBorder="1" applyAlignment="1"/>
    <xf numFmtId="1" fontId="9" fillId="0" borderId="13" xfId="0" applyNumberFormat="1" applyFont="1" applyBorder="1" applyAlignment="1"/>
    <xf numFmtId="0" fontId="9" fillId="0" borderId="13" xfId="0" applyNumberFormat="1" applyFont="1" applyBorder="1" applyAlignment="1"/>
    <xf numFmtId="164" fontId="9" fillId="0" borderId="13" xfId="0" applyNumberFormat="1" applyFont="1" applyBorder="1" applyAlignment="1"/>
    <xf numFmtId="0" fontId="12" fillId="0" borderId="13" xfId="0" applyNumberFormat="1" applyFont="1" applyBorder="1" applyAlignment="1"/>
    <xf numFmtId="0" fontId="15" fillId="0" borderId="5" xfId="0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right"/>
    </xf>
    <xf numFmtId="2" fontId="14" fillId="0" borderId="5" xfId="0" applyNumberFormat="1" applyFont="1" applyBorder="1" applyAlignment="1"/>
    <xf numFmtId="2" fontId="14" fillId="0" borderId="5" xfId="0" applyNumberFormat="1" applyFont="1" applyBorder="1"/>
    <xf numFmtId="2" fontId="14" fillId="0" borderId="5" xfId="0" applyNumberFormat="1" applyFont="1" applyFill="1" applyBorder="1" applyAlignment="1"/>
    <xf numFmtId="2" fontId="14" fillId="0" borderId="6" xfId="0" applyNumberFormat="1" applyFont="1" applyBorder="1" applyAlignment="1"/>
    <xf numFmtId="0" fontId="14" fillId="0" borderId="0" xfId="0" applyFont="1" applyBorder="1" applyAlignment="1"/>
    <xf numFmtId="0" fontId="14" fillId="0" borderId="8" xfId="0" applyNumberFormat="1" applyFont="1" applyBorder="1" applyAlignment="1">
      <alignment horizontal="right"/>
    </xf>
    <xf numFmtId="2" fontId="14" fillId="0" borderId="8" xfId="0" applyNumberFormat="1" applyFont="1" applyBorder="1" applyAlignment="1"/>
    <xf numFmtId="2" fontId="14" fillId="0" borderId="8" xfId="0" applyNumberFormat="1" applyFont="1" applyFill="1" applyBorder="1" applyAlignment="1"/>
    <xf numFmtId="2" fontId="14" fillId="0" borderId="9" xfId="0" applyNumberFormat="1" applyFont="1" applyBorder="1" applyAlignment="1"/>
    <xf numFmtId="0" fontId="17" fillId="0" borderId="10" xfId="0" applyFont="1" applyBorder="1" applyAlignment="1">
      <alignment horizontal="center" vertical="center"/>
    </xf>
    <xf numFmtId="2" fontId="16" fillId="0" borderId="12" xfId="0" applyNumberFormat="1" applyFont="1" applyBorder="1" applyAlignment="1"/>
    <xf numFmtId="2" fontId="16" fillId="0" borderId="11" xfId="0" applyNumberFormat="1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right"/>
    </xf>
    <xf numFmtId="2" fontId="16" fillId="0" borderId="0" xfId="0" applyNumberFormat="1" applyFont="1" applyBorder="1" applyAlignment="1"/>
    <xf numFmtId="0" fontId="14" fillId="0" borderId="13" xfId="0" applyNumberFormat="1" applyFont="1" applyBorder="1" applyAlignment="1"/>
    <xf numFmtId="1" fontId="14" fillId="0" borderId="13" xfId="0" applyNumberFormat="1" applyFont="1" applyBorder="1" applyAlignment="1"/>
    <xf numFmtId="164" fontId="14" fillId="0" borderId="13" xfId="0" applyNumberFormat="1" applyFont="1" applyBorder="1" applyAlignment="1"/>
    <xf numFmtId="0" fontId="15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right"/>
    </xf>
    <xf numFmtId="2" fontId="14" fillId="0" borderId="2" xfId="0" applyNumberFormat="1" applyFont="1" applyBorder="1" applyAlignment="1"/>
    <xf numFmtId="2" fontId="14" fillId="0" borderId="2" xfId="0" applyNumberFormat="1" applyFont="1" applyFill="1" applyBorder="1" applyAlignment="1"/>
    <xf numFmtId="0" fontId="12" fillId="0" borderId="5" xfId="0" applyNumberFormat="1" applyFont="1" applyBorder="1" applyAlignment="1"/>
    <xf numFmtId="0" fontId="12" fillId="0" borderId="8" xfId="0" applyNumberFormat="1" applyFont="1" applyBorder="1" applyAlignment="1"/>
    <xf numFmtId="0" fontId="13" fillId="0" borderId="11" xfId="0" applyNumberFormat="1" applyFont="1" applyBorder="1" applyAlignment="1"/>
    <xf numFmtId="0" fontId="13" fillId="0" borderId="10" xfId="0" applyNumberFormat="1" applyFont="1" applyBorder="1" applyAlignment="1"/>
    <xf numFmtId="0" fontId="13" fillId="0" borderId="0" xfId="0" applyNumberFormat="1" applyFont="1" applyBorder="1" applyAlignment="1"/>
    <xf numFmtId="0" fontId="12" fillId="0" borderId="2" xfId="0" applyNumberFormat="1" applyFont="1" applyBorder="1" applyAlignment="1"/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49" fontId="19" fillId="3" borderId="1" xfId="0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2" fontId="14" fillId="0" borderId="4" xfId="0" applyNumberFormat="1" applyFont="1" applyBorder="1" applyAlignment="1"/>
    <xf numFmtId="2" fontId="14" fillId="0" borderId="7" xfId="0" applyNumberFormat="1" applyFont="1" applyBorder="1" applyAlignment="1"/>
    <xf numFmtId="2" fontId="14" fillId="0" borderId="17" xfId="0" applyNumberFormat="1" applyFont="1" applyBorder="1" applyAlignment="1"/>
    <xf numFmtId="2" fontId="14" fillId="0" borderId="16" xfId="0" applyNumberFormat="1" applyFont="1" applyBorder="1" applyAlignment="1"/>
    <xf numFmtId="2" fontId="16" fillId="0" borderId="10" xfId="0" applyNumberFormat="1" applyFont="1" applyBorder="1" applyAlignment="1"/>
    <xf numFmtId="2" fontId="16" fillId="0" borderId="18" xfId="0" applyNumberFormat="1" applyFont="1" applyBorder="1" applyAlignment="1"/>
    <xf numFmtId="0" fontId="14" fillId="0" borderId="17" xfId="0" applyNumberFormat="1" applyFont="1" applyBorder="1" applyAlignment="1">
      <alignment horizontal="right"/>
    </xf>
    <xf numFmtId="0" fontId="14" fillId="0" borderId="16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2" fontId="0" fillId="0" borderId="0" xfId="0" applyNumberFormat="1"/>
    <xf numFmtId="0" fontId="23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2" fontId="11" fillId="0" borderId="9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top" wrapText="1"/>
    </xf>
    <xf numFmtId="0" fontId="22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5" fillId="0" borderId="30" xfId="0" applyFont="1" applyBorder="1" applyAlignment="1">
      <alignment vertical="center"/>
    </xf>
    <xf numFmtId="0" fontId="0" fillId="0" borderId="30" xfId="0" applyBorder="1"/>
    <xf numFmtId="0" fontId="23" fillId="0" borderId="30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2" fontId="11" fillId="0" borderId="29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4" fillId="5" borderId="3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13" fillId="0" borderId="0" xfId="0" applyNumberFormat="1" applyFont="1" applyAlignment="1">
      <alignment horizontal="right" vertical="center"/>
    </xf>
    <xf numFmtId="165" fontId="0" fillId="0" borderId="0" xfId="0" applyNumberFormat="1"/>
    <xf numFmtId="0" fontId="22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65" fontId="0" fillId="0" borderId="31" xfId="0" applyNumberFormat="1" applyBorder="1"/>
    <xf numFmtId="0" fontId="27" fillId="0" borderId="0" xfId="0" applyFont="1"/>
    <xf numFmtId="0" fontId="0" fillId="0" borderId="5" xfId="0" applyFont="1" applyBorder="1"/>
    <xf numFmtId="0" fontId="4" fillId="5" borderId="35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0" fillId="0" borderId="17" xfId="0" applyFont="1" applyBorder="1"/>
    <xf numFmtId="0" fontId="0" fillId="0" borderId="16" xfId="0" applyFont="1" applyBorder="1"/>
    <xf numFmtId="0" fontId="0" fillId="0" borderId="3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top"/>
    </xf>
    <xf numFmtId="0" fontId="23" fillId="0" borderId="2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textRotation="45"/>
    </xf>
    <xf numFmtId="0" fontId="21" fillId="0" borderId="27" xfId="0" applyFont="1" applyBorder="1" applyAlignment="1">
      <alignment horizontal="center" vertical="center" textRotation="45"/>
    </xf>
    <xf numFmtId="0" fontId="21" fillId="0" borderId="28" xfId="0" applyFont="1" applyBorder="1" applyAlignment="1">
      <alignment horizontal="center" vertical="center" textRotation="45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/>
    <xf numFmtId="0" fontId="28" fillId="0" borderId="0" xfId="0" quotePrefix="1" applyFont="1" applyAlignment="1"/>
    <xf numFmtId="0" fontId="29" fillId="4" borderId="0" xfId="0" applyFont="1" applyFill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5">
    <dxf>
      <font>
        <color theme="0"/>
      </font>
    </dxf>
    <dxf>
      <font>
        <color theme="0"/>
      </font>
      <border>
        <left/>
        <right/>
        <top/>
        <bottom/>
      </border>
    </dxf>
    <dxf>
      <font>
        <b/>
        <i val="0"/>
      </font>
      <border>
        <left/>
        <right/>
        <top style="thin">
          <color auto="1"/>
        </top>
        <vertical/>
        <horizontal/>
      </border>
    </dxf>
    <dxf>
      <font>
        <color theme="0"/>
      </font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3300"/>
      <color rgb="FFCC0000"/>
      <color rgb="FFC0C0C0"/>
      <color rgb="FF01E9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theme="8" tint="-0.499984740745262"/>
  </sheetPr>
  <dimension ref="B1:T4"/>
  <sheetViews>
    <sheetView showGridLines="0" showZeros="0" showOutlineSymbols="0" workbookViewId="0">
      <selection activeCell="B4" sqref="B4"/>
    </sheetView>
  </sheetViews>
  <sheetFormatPr defaultRowHeight="12.75" x14ac:dyDescent="0.2"/>
  <cols>
    <col min="1" max="1" width="4.7109375" bestFit="1" customWidth="1"/>
    <col min="2" max="2" width="34" customWidth="1"/>
    <col min="3" max="8" width="9.5703125" style="1" bestFit="1" customWidth="1"/>
    <col min="9" max="9" width="2.85546875" style="4" bestFit="1" customWidth="1"/>
    <col min="10" max="10" width="3.5703125" customWidth="1"/>
    <col min="11" max="11" width="5.28515625" style="3" bestFit="1" customWidth="1"/>
    <col min="12" max="12" width="4.42578125" style="4" bestFit="1" customWidth="1"/>
    <col min="13" max="13" width="2.140625" bestFit="1" customWidth="1"/>
    <col min="14" max="14" width="2.85546875" style="23" bestFit="1" customWidth="1"/>
    <col min="15" max="15" width="2.140625" style="22" bestFit="1" customWidth="1"/>
    <col min="16" max="16" width="5.28515625" style="22" bestFit="1" customWidth="1"/>
    <col min="17" max="17" width="9.140625" style="22"/>
    <col min="18" max="18" width="4.42578125" style="22" bestFit="1" customWidth="1"/>
    <col min="19" max="19" width="2.140625" style="22" bestFit="1" customWidth="1"/>
    <col min="20" max="20" width="5.28515625" style="22" bestFit="1" customWidth="1"/>
  </cols>
  <sheetData>
    <row r="1" spans="2:20" s="6" customFormat="1" ht="15.75" x14ac:dyDescent="0.25">
      <c r="B1" s="15"/>
      <c r="C1" s="16"/>
      <c r="D1" s="1"/>
      <c r="E1" s="1"/>
      <c r="F1" s="1"/>
      <c r="G1" s="1"/>
      <c r="H1" s="1"/>
      <c r="I1" s="5"/>
      <c r="J1" s="2"/>
      <c r="K1" s="3"/>
      <c r="L1" s="5"/>
      <c r="M1" s="2"/>
      <c r="N1" s="23"/>
      <c r="O1" s="22"/>
      <c r="P1" s="22"/>
      <c r="Q1" s="22"/>
      <c r="R1" s="22"/>
      <c r="S1" s="22"/>
      <c r="T1" s="22"/>
    </row>
    <row r="2" spans="2:20" s="6" customFormat="1" ht="15.75" x14ac:dyDescent="0.25">
      <c r="B2" s="20" t="s">
        <v>1</v>
      </c>
      <c r="C2" s="17"/>
      <c r="D2" s="1"/>
      <c r="E2" s="1"/>
      <c r="F2" s="1"/>
      <c r="G2" s="1"/>
      <c r="H2" s="1"/>
      <c r="I2" s="5"/>
      <c r="J2" s="2"/>
      <c r="K2" s="3"/>
      <c r="L2" s="5"/>
      <c r="M2" s="2"/>
      <c r="N2" s="23"/>
      <c r="O2" s="22"/>
      <c r="P2" s="22"/>
      <c r="Q2" s="22"/>
      <c r="R2" s="22"/>
      <c r="S2" s="22"/>
      <c r="T2" s="22"/>
    </row>
    <row r="3" spans="2:20" s="6" customFormat="1" ht="15.75" x14ac:dyDescent="0.25">
      <c r="B3" s="19" t="s">
        <v>0</v>
      </c>
      <c r="C3" s="18">
        <v>40</v>
      </c>
      <c r="D3" s="1"/>
      <c r="E3" s="1"/>
      <c r="F3" s="1"/>
      <c r="G3" s="1"/>
      <c r="H3" s="1"/>
      <c r="I3" s="5"/>
      <c r="J3" s="2"/>
      <c r="K3" s="3"/>
      <c r="L3" s="5"/>
      <c r="M3" s="2"/>
      <c r="N3" s="23"/>
      <c r="O3" s="22"/>
      <c r="P3" s="22"/>
      <c r="Q3" s="22"/>
      <c r="R3" s="22"/>
      <c r="S3" s="22"/>
      <c r="T3" s="22"/>
    </row>
    <row r="4" spans="2:20" s="6" customFormat="1" ht="15.75" x14ac:dyDescent="0.25">
      <c r="B4" s="19" t="s">
        <v>2</v>
      </c>
      <c r="C4" s="21">
        <v>0.13</v>
      </c>
      <c r="D4" s="1"/>
      <c r="E4" s="1"/>
      <c r="F4" s="1"/>
      <c r="G4" s="1"/>
      <c r="H4" s="1"/>
      <c r="I4" s="5"/>
      <c r="J4" s="2"/>
      <c r="K4" s="3"/>
      <c r="L4" s="5"/>
      <c r="M4" s="2"/>
      <c r="N4" s="23"/>
      <c r="O4" s="22"/>
      <c r="P4" s="22"/>
      <c r="Q4" s="22"/>
      <c r="R4" s="22"/>
      <c r="S4" s="22"/>
      <c r="T4" s="22"/>
    </row>
  </sheetData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2" type="noConversion"/>
  <pageMargins left="0.75" right="0.36" top="0.7" bottom="1" header="0.5" footer="0.5"/>
  <pageSetup paperSize="9" scale="95" orientation="landscape" horizontalDpi="180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28"/>
  <sheetViews>
    <sheetView showZeros="0" showOutlineSymbols="0" zoomScaleNormal="100" zoomScaleSheetLayoutView="85" workbookViewId="0">
      <pane xSplit="9" ySplit="1" topLeftCell="Y11" activePane="bottomRight" state="frozenSplit"/>
      <selection activeCell="B29" sqref="B29"/>
      <selection pane="topRight" activeCell="B29" sqref="B29"/>
      <selection pane="bottomLeft" activeCell="B29" sqref="B29"/>
      <selection pane="bottomRight" activeCell="D30" sqref="D30"/>
    </sheetView>
  </sheetViews>
  <sheetFormatPr defaultRowHeight="12.75" x14ac:dyDescent="0.2"/>
  <cols>
    <col min="1" max="3" width="3" style="9" bestFit="1" customWidth="1"/>
    <col min="4" max="4" width="5" style="9" bestFit="1" customWidth="1"/>
    <col min="5" max="5" width="3.85546875" style="67" bestFit="1" customWidth="1"/>
    <col min="6" max="6" width="31.42578125" style="73" customWidth="1"/>
    <col min="7" max="7" width="14.42578125" style="11" bestFit="1" customWidth="1"/>
    <col min="8" max="8" width="3" style="12" bestFit="1" customWidth="1"/>
    <col min="9" max="9" width="2.5703125" style="14" bestFit="1" customWidth="1"/>
    <col min="10" max="10" width="3.5703125" style="13" bestFit="1" customWidth="1"/>
    <col min="11" max="11" width="5.140625" style="13" bestFit="1" customWidth="1"/>
    <col min="12" max="12" width="10" style="13" bestFit="1" customWidth="1"/>
    <col min="13" max="13" width="6.5703125" style="10" customWidth="1"/>
    <col min="14" max="14" width="6.85546875" style="10" customWidth="1"/>
    <col min="15" max="15" width="7" style="9" bestFit="1" customWidth="1"/>
    <col min="16" max="16" width="10" style="10" bestFit="1" customWidth="1"/>
    <col min="17" max="17" width="3.140625" style="13" bestFit="1" customWidth="1"/>
    <col min="18" max="23" width="3.140625" style="10" bestFit="1" customWidth="1"/>
    <col min="24" max="24" width="8.85546875" style="10" bestFit="1" customWidth="1"/>
    <col min="25" max="26" width="7.7109375" style="10" bestFit="1" customWidth="1"/>
    <col min="27" max="27" width="8.85546875" style="10" bestFit="1" customWidth="1"/>
    <col min="28" max="28" width="3" style="10" bestFit="1" customWidth="1"/>
    <col min="29" max="29" width="10" style="10" bestFit="1" customWidth="1"/>
    <col min="30" max="16384" width="9.140625" style="9"/>
  </cols>
  <sheetData>
    <row r="1" spans="1:34" s="7" customFormat="1" ht="21.75" customHeight="1" x14ac:dyDescent="0.2">
      <c r="E1" s="75" t="s">
        <v>12</v>
      </c>
      <c r="F1" s="74" t="s">
        <v>35</v>
      </c>
      <c r="G1" s="75" t="s">
        <v>36</v>
      </c>
      <c r="H1" s="76" t="s">
        <v>13</v>
      </c>
      <c r="I1" s="76" t="s">
        <v>14</v>
      </c>
      <c r="J1" s="75" t="s">
        <v>37</v>
      </c>
      <c r="K1" s="75" t="s">
        <v>38</v>
      </c>
      <c r="L1" s="76" t="s">
        <v>39</v>
      </c>
      <c r="M1" s="76" t="s">
        <v>62</v>
      </c>
      <c r="N1" s="76" t="s">
        <v>63</v>
      </c>
      <c r="O1" s="75" t="s">
        <v>40</v>
      </c>
      <c r="P1" s="76" t="s">
        <v>15</v>
      </c>
      <c r="Q1" s="76">
        <v>10</v>
      </c>
      <c r="R1" s="76">
        <v>41</v>
      </c>
      <c r="S1" s="76">
        <v>46</v>
      </c>
      <c r="T1" s="76">
        <v>50</v>
      </c>
      <c r="U1" s="76">
        <v>50</v>
      </c>
      <c r="V1" s="76">
        <v>50</v>
      </c>
      <c r="W1" s="76">
        <v>71</v>
      </c>
      <c r="X1" s="76" t="s">
        <v>41</v>
      </c>
      <c r="Y1" s="76" t="s">
        <v>42</v>
      </c>
      <c r="Z1" s="76" t="s">
        <v>43</v>
      </c>
      <c r="AA1" s="76" t="s">
        <v>16</v>
      </c>
      <c r="AB1" s="76" t="s">
        <v>13</v>
      </c>
      <c r="AC1" s="76" t="s">
        <v>14</v>
      </c>
      <c r="AD1" s="121" t="str">
        <f ca="1">RIGHT(CELL("имяфайла",C1),LEN(CELL("имяфайла",D1))-FIND("]",CELL("имяфайла",C1),1))</f>
        <v>01.2012</v>
      </c>
      <c r="AE1" s="121"/>
    </row>
    <row r="2" spans="1:34" s="8" customFormat="1" x14ac:dyDescent="0.2">
      <c r="A2" s="35">
        <f>IF(E2*AC2*NOT(COUNTIF(F$1:F1,F2)),MAX(A$1:A1)+1,)</f>
        <v>0</v>
      </c>
      <c r="B2" s="35">
        <f>IF(E2*AC2,SUMPRODUCT((D$2:D2=D2)*(E$2:E2*AC$2:AC2&gt;0)),0)</f>
        <v>0</v>
      </c>
      <c r="C2" s="8">
        <f>IF(E2*AC2,MAX(C$1:C1)+1,)</f>
        <v>0</v>
      </c>
      <c r="D2" s="8">
        <f>IF(COUNTA(F2:P2)=1,(INT(MAX(D$1:D1)/1000)+1)*1000,D1)</f>
        <v>1000</v>
      </c>
      <c r="E2" s="61"/>
      <c r="F2" s="122" t="s">
        <v>34</v>
      </c>
      <c r="G2" s="123"/>
      <c r="H2" s="123"/>
      <c r="I2" s="123"/>
      <c r="J2" s="24"/>
      <c r="K2" s="24"/>
      <c r="L2" s="25"/>
      <c r="M2" s="26"/>
      <c r="N2" s="26"/>
      <c r="O2" s="26"/>
      <c r="P2" s="27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4" s="35" customFormat="1" x14ac:dyDescent="0.2">
      <c r="A3" s="35">
        <f>IF(E3*AC3*NOT(COUNTIF(F$1:F2,F3)),MAX(A$1:A2)+1,)</f>
        <v>1</v>
      </c>
      <c r="B3" s="35">
        <f>IF(E3*AC3,SUMPRODUCT((D$2:D3=D3)*(E$2:E3*AC$2:AC3&gt;0)),0)</f>
        <v>1</v>
      </c>
      <c r="C3" s="8">
        <f>IF(E3*AC3,MAX(C$1:C2)+1,)</f>
        <v>1</v>
      </c>
      <c r="D3" s="8">
        <f>IF(COUNTA(F3:P3)=1,(INT(MAX(D$1:D2)/1000)+1)*1000,D2)</f>
        <v>1000</v>
      </c>
      <c r="E3" s="60">
        <v>1</v>
      </c>
      <c r="F3" s="68" t="s">
        <v>20</v>
      </c>
      <c r="G3" s="29" t="s">
        <v>3</v>
      </c>
      <c r="H3" s="30"/>
      <c r="I3" s="83"/>
      <c r="J3" s="54">
        <v>25</v>
      </c>
      <c r="K3" s="54">
        <v>50</v>
      </c>
      <c r="L3" s="31">
        <v>235.3</v>
      </c>
      <c r="M3" s="31"/>
      <c r="N3" s="31"/>
      <c r="O3" s="31"/>
      <c r="P3" s="79">
        <f t="shared" ref="P3:P13" si="0">SUM(L3:O3)</f>
        <v>235.3</v>
      </c>
      <c r="Q3" s="77"/>
      <c r="R3" s="31"/>
      <c r="S3" s="32"/>
      <c r="T3" s="31"/>
      <c r="U3" s="31"/>
      <c r="V3" s="31"/>
      <c r="W3" s="31"/>
      <c r="X3" s="33">
        <f>ROUND(IF(P3-N3&gt;Тарифы!$C$3,IF(P3-N3&gt;100,(P3-N3-((P3-N3)/100)-100)*0.13+4.8,((P3-N3-((P3-N3)/100)-Тарифы!$C$3)*0.08)),),2)</f>
        <v>22.08</v>
      </c>
      <c r="Y3" s="31">
        <f t="shared" ref="Y3:Y13" si="1">ROUND((P3-N3)/100,2)</f>
        <v>2.35</v>
      </c>
      <c r="Z3" s="31">
        <f>ROUND((P3-N3)/100,2)</f>
        <v>2.35</v>
      </c>
      <c r="AA3" s="79">
        <f t="shared" ref="AA3:AA7" si="2">SUM(Q3:Z3)</f>
        <v>26.78</v>
      </c>
      <c r="AB3" s="77">
        <f t="shared" ref="AB3:AB13" si="3">ROUND(ABS(IF((P3-AA3+I3-H3)&lt;0,P3-AA3+I3-H3,0)),2)</f>
        <v>0</v>
      </c>
      <c r="AC3" s="34">
        <f t="shared" ref="AC3:AC13" si="4">ROUND(IF((P3-AA3+I3-H3)&gt;0,P3-AA3+I3-H3,0),2)</f>
        <v>208.52</v>
      </c>
    </row>
    <row r="4" spans="1:34" s="35" customFormat="1" x14ac:dyDescent="0.2">
      <c r="A4" s="35">
        <f>IF(E4*AC4*NOT(COUNTIF(F$1:F3,F4)),MAX(A$1:A3)+1,)</f>
        <v>2</v>
      </c>
      <c r="B4" s="35">
        <f>IF(E4*AC4,SUMPRODUCT((D$2:D4=D4)*(E$2:E4*AC$2:AC4&gt;0)),0)</f>
        <v>2</v>
      </c>
      <c r="C4" s="8">
        <f>IF(E4*AC4,MAX(C$1:C3)+1,)</f>
        <v>2</v>
      </c>
      <c r="D4" s="8">
        <f>IF(COUNTA(F4:P4)=1,(INT(MAX(D$1:D3)/1000)+1)*1000,D3)</f>
        <v>1000</v>
      </c>
      <c r="E4" s="60">
        <v>2</v>
      </c>
      <c r="F4" s="68" t="s">
        <v>21</v>
      </c>
      <c r="G4" s="29" t="s">
        <v>26</v>
      </c>
      <c r="H4" s="30"/>
      <c r="I4" s="83"/>
      <c r="J4" s="54">
        <v>25</v>
      </c>
      <c r="K4" s="54">
        <f t="shared" ref="K4:K28" si="5">SUM(J4*8)</f>
        <v>200</v>
      </c>
      <c r="L4" s="31">
        <v>197.34</v>
      </c>
      <c r="M4" s="31"/>
      <c r="N4" s="31"/>
      <c r="O4" s="31">
        <v>45.6</v>
      </c>
      <c r="P4" s="79">
        <f t="shared" si="0"/>
        <v>242.94</v>
      </c>
      <c r="Q4" s="77"/>
      <c r="R4" s="31"/>
      <c r="S4" s="31"/>
      <c r="T4" s="31"/>
      <c r="U4" s="31"/>
      <c r="V4" s="31"/>
      <c r="W4" s="33"/>
      <c r="X4" s="33">
        <f>ROUND(IF(P4-N4&gt;Тарифы!$C$3,IF(P4-N4&gt;100,(P4-N4-((P4-N4)/100)-100)*0.13+4.8,((P4-N4-((P4-N4)/100)-Тарифы!$C$3)*0.08)),),2)</f>
        <v>23.07</v>
      </c>
      <c r="Y4" s="31">
        <f t="shared" si="1"/>
        <v>2.4300000000000002</v>
      </c>
      <c r="Z4" s="31">
        <f t="shared" ref="Z4:Z19" si="6">ROUND((P4-N4)/100,2)</f>
        <v>2.4300000000000002</v>
      </c>
      <c r="AA4" s="79">
        <f t="shared" si="2"/>
        <v>27.93</v>
      </c>
      <c r="AB4" s="77">
        <f t="shared" si="3"/>
        <v>0</v>
      </c>
      <c r="AC4" s="34">
        <f t="shared" si="4"/>
        <v>215.01</v>
      </c>
    </row>
    <row r="5" spans="1:34" s="35" customFormat="1" x14ac:dyDescent="0.2">
      <c r="A5" s="35">
        <f>IF(E5*AC5*NOT(COUNTIF(F$1:F4,F5)),MAX(A$1:A4)+1,)</f>
        <v>3</v>
      </c>
      <c r="B5" s="35">
        <f>IF(E5*AC5,SUMPRODUCT((D$2:D5=D5)*(E$2:E5*AC$2:AC5&gt;0)),0)</f>
        <v>3</v>
      </c>
      <c r="C5" s="8">
        <f>IF(E5*AC5,MAX(C$1:C4)+1,)</f>
        <v>3</v>
      </c>
      <c r="D5" s="8">
        <f>IF(COUNTA(F5:P5)=1,(INT(MAX(D$1:D4)/1000)+1)*1000,D4)</f>
        <v>1000</v>
      </c>
      <c r="E5" s="60">
        <v>3</v>
      </c>
      <c r="F5" s="68" t="s">
        <v>22</v>
      </c>
      <c r="G5" s="29" t="s">
        <v>27</v>
      </c>
      <c r="H5" s="30"/>
      <c r="I5" s="83"/>
      <c r="J5" s="54">
        <v>25</v>
      </c>
      <c r="K5" s="54">
        <f t="shared" si="5"/>
        <v>200</v>
      </c>
      <c r="L5" s="31">
        <v>197.4</v>
      </c>
      <c r="M5" s="31"/>
      <c r="N5" s="31"/>
      <c r="O5" s="31"/>
      <c r="P5" s="79">
        <f t="shared" si="0"/>
        <v>197.4</v>
      </c>
      <c r="Q5" s="77"/>
      <c r="R5" s="31"/>
      <c r="S5" s="31"/>
      <c r="T5" s="31"/>
      <c r="U5" s="31"/>
      <c r="V5" s="31"/>
      <c r="W5" s="31"/>
      <c r="X5" s="33">
        <f>ROUND(IF(P5-N5&gt;Тарифы!$C$3,IF(P5-N5&gt;100,(P5-N5-((P5-N5)/100)-100)*0.13+4.8,((P5-N5-((P5-N5)/100)-Тарифы!$C$3)*0.08)),),2)</f>
        <v>17.21</v>
      </c>
      <c r="Y5" s="31">
        <f t="shared" si="1"/>
        <v>1.97</v>
      </c>
      <c r="Z5" s="31">
        <f t="shared" si="6"/>
        <v>1.97</v>
      </c>
      <c r="AA5" s="79">
        <f t="shared" si="2"/>
        <v>21.15</v>
      </c>
      <c r="AB5" s="77">
        <f t="shared" si="3"/>
        <v>0</v>
      </c>
      <c r="AC5" s="34">
        <f t="shared" si="4"/>
        <v>176.25</v>
      </c>
    </row>
    <row r="6" spans="1:34" s="35" customFormat="1" x14ac:dyDescent="0.2">
      <c r="A6" s="35">
        <f>IF(E6*AC6*NOT(COUNTIF(F$1:F5,F6)),MAX(A$1:A5)+1,)</f>
        <v>4</v>
      </c>
      <c r="B6" s="35">
        <f>IF(E6*AC6,SUMPRODUCT((D$2:D6=D6)*(E$2:E6*AC$2:AC6&gt;0)),0)</f>
        <v>4</v>
      </c>
      <c r="C6" s="8">
        <f>IF(E6*AC6,MAX(C$1:C5)+1,)</f>
        <v>4</v>
      </c>
      <c r="D6" s="8">
        <f>IF(COUNTA(F6:P6)=1,(INT(MAX(D$1:D5)/1000)+1)*1000,D5)</f>
        <v>1000</v>
      </c>
      <c r="E6" s="60">
        <v>4</v>
      </c>
      <c r="F6" s="68" t="s">
        <v>23</v>
      </c>
      <c r="G6" s="29" t="s">
        <v>28</v>
      </c>
      <c r="H6" s="30"/>
      <c r="I6" s="83"/>
      <c r="J6" s="54">
        <v>25</v>
      </c>
      <c r="K6" s="54">
        <f t="shared" si="5"/>
        <v>200</v>
      </c>
      <c r="L6" s="31">
        <v>197.34</v>
      </c>
      <c r="M6" s="31"/>
      <c r="N6" s="31"/>
      <c r="O6" s="31">
        <v>45.6</v>
      </c>
      <c r="P6" s="79">
        <f t="shared" si="0"/>
        <v>242.94</v>
      </c>
      <c r="Q6" s="77"/>
      <c r="R6" s="31"/>
      <c r="S6" s="31"/>
      <c r="T6" s="31"/>
      <c r="U6" s="31"/>
      <c r="V6" s="31"/>
      <c r="W6" s="31"/>
      <c r="X6" s="33">
        <f>ROUND(IF(P6-N6&gt;Тарифы!$C$3,IF(P6-N6&gt;100,(P6-N6-((P6-N6)/100)-100)*0.13+4.8,((P6-N6-((P6-N6)/100)-Тарифы!$C$3)*0.08)),),2)</f>
        <v>23.07</v>
      </c>
      <c r="Y6" s="31">
        <f t="shared" si="1"/>
        <v>2.4300000000000002</v>
      </c>
      <c r="Z6" s="31">
        <f t="shared" si="6"/>
        <v>2.4300000000000002</v>
      </c>
      <c r="AA6" s="79">
        <f t="shared" si="2"/>
        <v>27.93</v>
      </c>
      <c r="AB6" s="77">
        <f t="shared" si="3"/>
        <v>0</v>
      </c>
      <c r="AC6" s="34">
        <f t="shared" si="4"/>
        <v>215.01</v>
      </c>
    </row>
    <row r="7" spans="1:34" s="35" customFormat="1" x14ac:dyDescent="0.2">
      <c r="A7" s="35">
        <f>IF(E7*AC7*NOT(COUNTIF(F$1:F6,F7)),MAX(A$1:A6)+1,)</f>
        <v>5</v>
      </c>
      <c r="B7" s="35">
        <f>IF(E7*AC7,SUMPRODUCT((D$2:D7=D7)*(E$2:E7*AC$2:AC7&gt;0)),0)</f>
        <v>5</v>
      </c>
      <c r="C7" s="8">
        <f>IF(E7*AC7,MAX(C$1:C6)+1,)</f>
        <v>5</v>
      </c>
      <c r="D7" s="8">
        <f>IF(COUNTA(F7:P7)=1,(INT(MAX(D$1:D6)/1000)+1)*1000,D6)</f>
        <v>1000</v>
      </c>
      <c r="E7" s="60">
        <v>5</v>
      </c>
      <c r="F7" s="68" t="s">
        <v>18</v>
      </c>
      <c r="G7" s="29" t="s">
        <v>29</v>
      </c>
      <c r="H7" s="30"/>
      <c r="I7" s="83">
        <v>0</v>
      </c>
      <c r="J7" s="54">
        <v>25</v>
      </c>
      <c r="K7" s="54">
        <f t="shared" si="5"/>
        <v>200</v>
      </c>
      <c r="L7" s="33">
        <v>98.67</v>
      </c>
      <c r="M7" s="31"/>
      <c r="N7" s="31"/>
      <c r="O7" s="31"/>
      <c r="P7" s="79">
        <f t="shared" si="0"/>
        <v>98.67</v>
      </c>
      <c r="Q7" s="77"/>
      <c r="R7" s="31"/>
      <c r="S7" s="31"/>
      <c r="T7" s="31"/>
      <c r="U7" s="31"/>
      <c r="V7" s="31"/>
      <c r="W7" s="31"/>
      <c r="X7" s="33">
        <f>ROUND(IF(P7-N7&gt;Тарифы!$C$3,IF(P7-N7&gt;100,(P7-N7-((P7-N7)/100)-100)*0.13+4.8,((P7-N7-((P7-N7)/100)-Тарифы!$C$3)*0.08)),),2)</f>
        <v>4.6100000000000003</v>
      </c>
      <c r="Y7" s="31">
        <f t="shared" si="1"/>
        <v>0.99</v>
      </c>
      <c r="Z7" s="31">
        <f t="shared" si="6"/>
        <v>0.99</v>
      </c>
      <c r="AA7" s="79">
        <f t="shared" si="2"/>
        <v>6.5900000000000007</v>
      </c>
      <c r="AB7" s="77">
        <f t="shared" si="3"/>
        <v>0</v>
      </c>
      <c r="AC7" s="34">
        <f t="shared" si="4"/>
        <v>92.08</v>
      </c>
    </row>
    <row r="8" spans="1:34" s="35" customFormat="1" x14ac:dyDescent="0.2">
      <c r="A8" s="35">
        <f>IF(E8*AC8*NOT(COUNTIF(F$1:F7,F8)),MAX(A$1:A7)+1,)</f>
        <v>6</v>
      </c>
      <c r="B8" s="35">
        <f>IF(E8*AC8,SUMPRODUCT((D$2:D8=D8)*(E$2:E8*AC$2:AC8&gt;0)),0)</f>
        <v>6</v>
      </c>
      <c r="C8" s="8">
        <f>IF(E8*AC8,MAX(C$1:C7)+1,)</f>
        <v>6</v>
      </c>
      <c r="D8" s="8">
        <f>IF(COUNTA(F8:P8)=1,(INT(MAX(D$1:D7)/1000)+1)*1000,D7)</f>
        <v>1000</v>
      </c>
      <c r="E8" s="60">
        <v>6</v>
      </c>
      <c r="F8" s="68" t="s">
        <v>24</v>
      </c>
      <c r="G8" s="29" t="s">
        <v>30</v>
      </c>
      <c r="H8" s="30"/>
      <c r="I8" s="83"/>
      <c r="J8" s="54">
        <v>25</v>
      </c>
      <c r="K8" s="54">
        <f t="shared" si="5"/>
        <v>200</v>
      </c>
      <c r="L8" s="31">
        <v>104</v>
      </c>
      <c r="M8" s="31"/>
      <c r="N8" s="31"/>
      <c r="O8" s="31"/>
      <c r="P8" s="79">
        <f t="shared" si="0"/>
        <v>104</v>
      </c>
      <c r="Q8" s="77"/>
      <c r="R8" s="31"/>
      <c r="S8" s="31"/>
      <c r="T8" s="31"/>
      <c r="U8" s="31"/>
      <c r="V8" s="31"/>
      <c r="W8" s="31"/>
      <c r="X8" s="33">
        <f>ROUND(IF(P8-N8&gt;Тарифы!$C$3,IF(P8-N8&gt;100,(P8-N8-((P8-N8)/100)-100)*0.13+4.8,((P8-N8-((P8-N8)/100)-Тарифы!$C$3)*0.08)),),2)</f>
        <v>5.18</v>
      </c>
      <c r="Y8" s="31">
        <f t="shared" si="1"/>
        <v>1.04</v>
      </c>
      <c r="Z8" s="31">
        <f t="shared" si="6"/>
        <v>1.04</v>
      </c>
      <c r="AA8" s="79">
        <f t="shared" ref="AA8:AA27" si="7">SUM(Q8:Z8)</f>
        <v>7.26</v>
      </c>
      <c r="AB8" s="77">
        <f t="shared" si="3"/>
        <v>0</v>
      </c>
      <c r="AC8" s="34">
        <f t="shared" si="4"/>
        <v>96.74</v>
      </c>
    </row>
    <row r="9" spans="1:34" s="35" customFormat="1" x14ac:dyDescent="0.2">
      <c r="A9" s="35">
        <f>IF(E9*AC9*NOT(COUNTIF(F$1:F8,F9)),MAX(A$1:A8)+1,)</f>
        <v>7</v>
      </c>
      <c r="B9" s="35">
        <f>IF(E9*AC9,SUMPRODUCT((D$2:D9=D9)*(E$2:E9*AC$2:AC9&gt;0)),0)</f>
        <v>7</v>
      </c>
      <c r="C9" s="8">
        <f>IF(E9*AC9,MAX(C$1:C8)+1,)</f>
        <v>7</v>
      </c>
      <c r="D9" s="8">
        <f>IF(COUNTA(F9:P9)=1,(INT(MAX(D$1:D8)/1000)+1)*1000,D8)</f>
        <v>1000</v>
      </c>
      <c r="E9" s="60">
        <v>7</v>
      </c>
      <c r="F9" s="68" t="s">
        <v>4</v>
      </c>
      <c r="G9" s="29" t="s">
        <v>31</v>
      </c>
      <c r="H9" s="30"/>
      <c r="I9" s="83"/>
      <c r="J9" s="54">
        <v>19</v>
      </c>
      <c r="K9" s="54">
        <f t="shared" si="5"/>
        <v>152</v>
      </c>
      <c r="L9" s="31">
        <v>79</v>
      </c>
      <c r="M9" s="31"/>
      <c r="N9" s="31"/>
      <c r="O9" s="31"/>
      <c r="P9" s="79">
        <f t="shared" si="0"/>
        <v>79</v>
      </c>
      <c r="Q9" s="77"/>
      <c r="R9" s="31"/>
      <c r="S9" s="31"/>
      <c r="T9" s="31"/>
      <c r="U9" s="31"/>
      <c r="V9" s="31"/>
      <c r="W9" s="31"/>
      <c r="X9" s="33">
        <f>ROUND(IF(P9-N9&gt;Тарифы!$C$3,IF(P9-N9&gt;100,(P9-N9-((P9-N9)/100)-100)*0.13+4.8,((P9-N9-((P9-N9)/100)-Тарифы!$C$3)*0.08)),),2)</f>
        <v>3.06</v>
      </c>
      <c r="Y9" s="31">
        <f t="shared" si="1"/>
        <v>0.79</v>
      </c>
      <c r="Z9" s="31">
        <f t="shared" si="6"/>
        <v>0.79</v>
      </c>
      <c r="AA9" s="79">
        <f t="shared" si="7"/>
        <v>4.6400000000000006</v>
      </c>
      <c r="AB9" s="77">
        <f t="shared" si="3"/>
        <v>0</v>
      </c>
      <c r="AC9" s="34">
        <f t="shared" si="4"/>
        <v>74.36</v>
      </c>
    </row>
    <row r="10" spans="1:34" s="35" customFormat="1" x14ac:dyDescent="0.2">
      <c r="A10" s="35">
        <f>IF(E10*AC10*NOT(COUNTIF(F$1:F9,F10)),MAX(A$1:A9)+1,)</f>
        <v>8</v>
      </c>
      <c r="B10" s="35">
        <f>IF(E10*AC10,SUMPRODUCT((D$2:D10=D10)*(E$2:E10*AC$2:AC10&gt;0)),0)</f>
        <v>8</v>
      </c>
      <c r="C10" s="8">
        <f>IF(E10*AC10,MAX(C$1:C9)+1,)</f>
        <v>8</v>
      </c>
      <c r="D10" s="8">
        <f>IF(COUNTA(F10:P10)=1,(INT(MAX(D$1:D9)/1000)+1)*1000,D9)</f>
        <v>1000</v>
      </c>
      <c r="E10" s="60">
        <v>8</v>
      </c>
      <c r="F10" s="68" t="s">
        <v>5</v>
      </c>
      <c r="G10" s="29" t="s">
        <v>32</v>
      </c>
      <c r="H10" s="30"/>
      <c r="I10" s="83"/>
      <c r="J10" s="54">
        <v>25</v>
      </c>
      <c r="K10" s="54">
        <f t="shared" si="5"/>
        <v>200</v>
      </c>
      <c r="L10" s="31">
        <v>104</v>
      </c>
      <c r="M10" s="31"/>
      <c r="N10" s="31"/>
      <c r="O10" s="31"/>
      <c r="P10" s="79">
        <f t="shared" si="0"/>
        <v>104</v>
      </c>
      <c r="Q10" s="77"/>
      <c r="R10" s="31"/>
      <c r="S10" s="31"/>
      <c r="T10" s="31"/>
      <c r="U10" s="31"/>
      <c r="V10" s="31"/>
      <c r="W10" s="31"/>
      <c r="X10" s="33">
        <f>ROUND(IF(P10-N10&gt;Тарифы!$C$3,IF(P10-N10&gt;100,(P10-N10-((P10-N10)/100)-100)*0.13+4.8,((P10-N10-((P10-N10)/100)-Тарифы!$C$3)*0.08)),),2)</f>
        <v>5.18</v>
      </c>
      <c r="Y10" s="31">
        <f t="shared" si="1"/>
        <v>1.04</v>
      </c>
      <c r="Z10" s="31">
        <f t="shared" si="6"/>
        <v>1.04</v>
      </c>
      <c r="AA10" s="79">
        <f t="shared" si="7"/>
        <v>7.26</v>
      </c>
      <c r="AB10" s="77">
        <f t="shared" si="3"/>
        <v>0</v>
      </c>
      <c r="AC10" s="34">
        <f t="shared" si="4"/>
        <v>96.74</v>
      </c>
    </row>
    <row r="11" spans="1:34" s="35" customFormat="1" x14ac:dyDescent="0.2">
      <c r="A11" s="35">
        <f>IF(E11*AC11*NOT(COUNTIF(F$1:F10,F11)),MAX(A$1:A10)+1,)</f>
        <v>9</v>
      </c>
      <c r="B11" s="35">
        <f>IF(E11*AC11,SUMPRODUCT((D$2:D11=D11)*(E$2:E11*AC$2:AC11&gt;0)),0)</f>
        <v>9</v>
      </c>
      <c r="C11" s="8">
        <f>IF(E11*AC11,MAX(C$1:C10)+1,)</f>
        <v>9</v>
      </c>
      <c r="D11" s="8">
        <f>IF(COUNTA(F11:P11)=1,(INT(MAX(D$1:D10)/1000)+1)*1000,D10)</f>
        <v>1000</v>
      </c>
      <c r="E11" s="60">
        <v>9</v>
      </c>
      <c r="F11" s="68" t="s">
        <v>6</v>
      </c>
      <c r="G11" s="29" t="s">
        <v>32</v>
      </c>
      <c r="H11" s="30"/>
      <c r="I11" s="83"/>
      <c r="J11" s="54">
        <v>25</v>
      </c>
      <c r="K11" s="54">
        <f t="shared" si="5"/>
        <v>200</v>
      </c>
      <c r="L11" s="31">
        <v>104</v>
      </c>
      <c r="M11" s="31"/>
      <c r="N11" s="31"/>
      <c r="O11" s="31"/>
      <c r="P11" s="79">
        <f t="shared" si="0"/>
        <v>104</v>
      </c>
      <c r="Q11" s="77"/>
      <c r="R11" s="31"/>
      <c r="S11" s="31"/>
      <c r="T11" s="31"/>
      <c r="U11" s="31"/>
      <c r="V11" s="31"/>
      <c r="W11" s="31"/>
      <c r="X11" s="33">
        <f>ROUND(IF(P11-N11&gt;Тарифы!$C$3,IF(P11-N11&gt;100,(P11-N11-((P11-N11)/100)-100)*0.13+4.8,((P11-N11-((P11-N11)/100)-Тарифы!$C$3)*0.08)),),2)</f>
        <v>5.18</v>
      </c>
      <c r="Y11" s="31">
        <f t="shared" si="1"/>
        <v>1.04</v>
      </c>
      <c r="Z11" s="31">
        <f t="shared" si="6"/>
        <v>1.04</v>
      </c>
      <c r="AA11" s="79">
        <f t="shared" si="7"/>
        <v>7.26</v>
      </c>
      <c r="AB11" s="77">
        <f t="shared" si="3"/>
        <v>0</v>
      </c>
      <c r="AC11" s="34">
        <f t="shared" si="4"/>
        <v>96.74</v>
      </c>
    </row>
    <row r="12" spans="1:34" s="35" customFormat="1" x14ac:dyDescent="0.2">
      <c r="A12" s="35">
        <f>IF(E12*AC12*NOT(COUNTIF(F$1:F11,F12)),MAX(A$1:A11)+1,)</f>
        <v>10</v>
      </c>
      <c r="B12" s="35">
        <f>IF(E12*AC12,SUMPRODUCT((D$2:D12=D12)*(E$2:E12*AC$2:AC12&gt;0)),0)</f>
        <v>10</v>
      </c>
      <c r="C12" s="8">
        <f>IF(E12*AC12,MAX(C$1:C11)+1,)</f>
        <v>10</v>
      </c>
      <c r="D12" s="8">
        <f>IF(COUNTA(F12:P12)=1,(INT(MAX(D$1:D11)/1000)+1)*1000,D11)</f>
        <v>1000</v>
      </c>
      <c r="E12" s="60">
        <v>10</v>
      </c>
      <c r="F12" s="68" t="s">
        <v>17</v>
      </c>
      <c r="G12" s="29" t="s">
        <v>33</v>
      </c>
      <c r="H12" s="30"/>
      <c r="I12" s="83"/>
      <c r="J12" s="54">
        <v>25</v>
      </c>
      <c r="K12" s="54">
        <f t="shared" si="5"/>
        <v>200</v>
      </c>
      <c r="L12" s="31">
        <v>131.1</v>
      </c>
      <c r="M12" s="31"/>
      <c r="N12" s="31"/>
      <c r="O12" s="31"/>
      <c r="P12" s="79">
        <f t="shared" si="0"/>
        <v>131.1</v>
      </c>
      <c r="Q12" s="77"/>
      <c r="R12" s="31"/>
      <c r="S12" s="31"/>
      <c r="T12" s="31"/>
      <c r="U12" s="31"/>
      <c r="V12" s="31"/>
      <c r="W12" s="31"/>
      <c r="X12" s="33">
        <f>ROUND(IF(P12-N12&gt;Тарифы!$C$3,IF(P12-N12&gt;100,(P12-N12-((P12-N12)/100)-100)*0.13+4.8,((P12-N12-((P12-N12)/100)-Тарифы!$C$3)*0.08)),),2)</f>
        <v>8.67</v>
      </c>
      <c r="Y12" s="31">
        <f t="shared" si="1"/>
        <v>1.31</v>
      </c>
      <c r="Z12" s="31">
        <f t="shared" si="6"/>
        <v>1.31</v>
      </c>
      <c r="AA12" s="79">
        <f t="shared" si="7"/>
        <v>11.290000000000001</v>
      </c>
      <c r="AB12" s="77">
        <f t="shared" si="3"/>
        <v>0</v>
      </c>
      <c r="AC12" s="34">
        <f t="shared" si="4"/>
        <v>119.81</v>
      </c>
    </row>
    <row r="13" spans="1:34" s="35" customFormat="1" x14ac:dyDescent="0.2">
      <c r="A13" s="35">
        <f>IF(E13*AC13*NOT(COUNTIF(F$1:F12,F13)),MAX(A$1:A12)+1,)</f>
        <v>11</v>
      </c>
      <c r="B13" s="35">
        <f>IF(E13*AC13,SUMPRODUCT((D$2:D13=D13)*(E$2:E13*AC$2:AC13&gt;0)),0)</f>
        <v>11</v>
      </c>
      <c r="C13" s="8">
        <f>IF(E13*AC13,MAX(C$1:C12)+1,)</f>
        <v>11</v>
      </c>
      <c r="D13" s="8">
        <f>IF(COUNTA(F13:P13)=1,(INT(MAX(D$1:D12)/1000)+1)*1000,D12)</f>
        <v>1000</v>
      </c>
      <c r="E13" s="62">
        <v>11</v>
      </c>
      <c r="F13" s="69" t="s">
        <v>7</v>
      </c>
      <c r="G13" s="29" t="s">
        <v>33</v>
      </c>
      <c r="H13" s="36"/>
      <c r="I13" s="84"/>
      <c r="J13" s="55">
        <v>25</v>
      </c>
      <c r="K13" s="55">
        <f t="shared" si="5"/>
        <v>200</v>
      </c>
      <c r="L13" s="37">
        <v>197.4</v>
      </c>
      <c r="M13" s="37"/>
      <c r="N13" s="37"/>
      <c r="O13" s="37"/>
      <c r="P13" s="80">
        <f t="shared" si="0"/>
        <v>197.4</v>
      </c>
      <c r="Q13" s="78"/>
      <c r="R13" s="37"/>
      <c r="S13" s="37"/>
      <c r="T13" s="37"/>
      <c r="U13" s="37"/>
      <c r="V13" s="37"/>
      <c r="W13" s="37"/>
      <c r="X13" s="38">
        <f>ROUND(IF(P13-N13&gt;Тарифы!$C$3,IF(P13-N13&gt;100,(P13-N13-((P13-N13)/100)-100)*0.13+4.8,((P13-N13-((P13-N13)/100)-Тарифы!$C$3)*0.08)),),2)</f>
        <v>17.21</v>
      </c>
      <c r="Y13" s="37">
        <f t="shared" si="1"/>
        <v>1.97</v>
      </c>
      <c r="Z13" s="37">
        <f t="shared" si="6"/>
        <v>1.97</v>
      </c>
      <c r="AA13" s="80">
        <f t="shared" si="7"/>
        <v>21.15</v>
      </c>
      <c r="AB13" s="78">
        <f t="shared" si="3"/>
        <v>0</v>
      </c>
      <c r="AC13" s="39">
        <f t="shared" si="4"/>
        <v>176.25</v>
      </c>
    </row>
    <row r="14" spans="1:34" s="43" customFormat="1" x14ac:dyDescent="0.2">
      <c r="A14" s="35">
        <f>IF(E14*AC14*NOT(COUNTIF(F$1:F13,F14)),MAX(A$1:A13)+1,)</f>
        <v>0</v>
      </c>
      <c r="B14" s="35">
        <f>IF(E14*AC14,SUMPRODUCT((D$2:D14=D14)*(E$2:E14*AC$2:AC14&gt;0)),0)</f>
        <v>0</v>
      </c>
      <c r="C14" s="8">
        <f>IF(E14*AC14,MAX(C$1:C13)+1,)</f>
        <v>0</v>
      </c>
      <c r="D14" s="8">
        <f>IF(COUNTA(F14:P14)=1,(INT(MAX(D$1:D13)/1000)+1)*1000,D13)</f>
        <v>1000</v>
      </c>
      <c r="E14" s="63"/>
      <c r="F14" s="70" t="s">
        <v>25</v>
      </c>
      <c r="G14" s="40"/>
      <c r="H14" s="41">
        <f t="shared" ref="H14:I14" si="8">SUM(H3:H13)</f>
        <v>0</v>
      </c>
      <c r="I14" s="82">
        <f t="shared" si="8"/>
        <v>0</v>
      </c>
      <c r="J14" s="56"/>
      <c r="K14" s="57"/>
      <c r="L14" s="41">
        <f>SUM(L3:L13)</f>
        <v>1645.55</v>
      </c>
      <c r="M14" s="41">
        <f t="shared" ref="M14:N14" si="9">SUM(M3:M13)</f>
        <v>0</v>
      </c>
      <c r="N14" s="41">
        <f t="shared" si="9"/>
        <v>0</v>
      </c>
      <c r="O14" s="41">
        <f>SUM(O3:O13)</f>
        <v>91.2</v>
      </c>
      <c r="P14" s="82">
        <f>SUM(P3:P13)</f>
        <v>1736.75</v>
      </c>
      <c r="Q14" s="81">
        <f t="shared" ref="Q14:AA14" si="10">SUM(Q3:Q13)</f>
        <v>0</v>
      </c>
      <c r="R14" s="41">
        <f t="shared" si="10"/>
        <v>0</v>
      </c>
      <c r="S14" s="41">
        <f t="shared" si="10"/>
        <v>0</v>
      </c>
      <c r="T14" s="41">
        <f t="shared" si="10"/>
        <v>0</v>
      </c>
      <c r="U14" s="41">
        <f t="shared" si="10"/>
        <v>0</v>
      </c>
      <c r="V14" s="41">
        <f t="shared" si="10"/>
        <v>0</v>
      </c>
      <c r="W14" s="41">
        <f t="shared" si="10"/>
        <v>0</v>
      </c>
      <c r="X14" s="41">
        <f t="shared" si="10"/>
        <v>134.52000000000001</v>
      </c>
      <c r="Y14" s="41">
        <f t="shared" si="10"/>
        <v>17.36</v>
      </c>
      <c r="Z14" s="41">
        <f t="shared" si="10"/>
        <v>17.36</v>
      </c>
      <c r="AA14" s="82">
        <f t="shared" si="10"/>
        <v>169.23999999999998</v>
      </c>
      <c r="AB14" s="42">
        <f>SUM(AB3:AB13)</f>
        <v>0</v>
      </c>
      <c r="AC14" s="42">
        <f>SUM(AC3:AC13)</f>
        <v>1567.51</v>
      </c>
      <c r="AG14" s="35"/>
      <c r="AH14" s="35"/>
    </row>
    <row r="15" spans="1:34" s="43" customFormat="1" x14ac:dyDescent="0.2">
      <c r="A15" s="35">
        <f>IF(E15*AC15*NOT(COUNTIF(F$1:F14,F15)),MAX(A$1:A14)+1,)</f>
        <v>0</v>
      </c>
      <c r="B15" s="35">
        <f>IF(E15*AC15,SUMPRODUCT((D$2:D15=D15)*(E$2:E15*AC$2:AC15&gt;0)),0)</f>
        <v>0</v>
      </c>
      <c r="C15" s="8">
        <f>IF(E15*AC15,MAX(C$1:C14)+1,)</f>
        <v>0</v>
      </c>
      <c r="D15" s="8">
        <f>IF(COUNTA(F15:P15)=1,(INT(MAX(D$1:D14)/1000)+1)*1000,D14)</f>
        <v>1000</v>
      </c>
      <c r="E15" s="64"/>
      <c r="F15" s="71"/>
      <c r="G15" s="44"/>
      <c r="H15" s="45"/>
      <c r="I15" s="45"/>
      <c r="J15" s="58"/>
      <c r="K15" s="58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34" s="35" customFormat="1" ht="12.75" customHeight="1" x14ac:dyDescent="0.2">
      <c r="A16" s="35">
        <f>IF(E16*AC16*NOT(COUNTIF(F$1:F15,F16)),MAX(A$1:A15)+1,)</f>
        <v>0</v>
      </c>
      <c r="B16" s="35">
        <f>IF(E16*AC16,SUMPRODUCT((D$2:D16=D16)*(E$2:E16*AC$2:AC16&gt;0)),0)</f>
        <v>0</v>
      </c>
      <c r="C16" s="8">
        <f>IF(E16*AC16,MAX(C$1:C15)+1,)</f>
        <v>0</v>
      </c>
      <c r="D16" s="8">
        <f>IF(COUNTA(F16:P16)=1,(INT(MAX(D$1:D15)/1000)+1)*1000,D15)</f>
        <v>2000</v>
      </c>
      <c r="E16" s="65"/>
      <c r="F16" s="122" t="s">
        <v>45</v>
      </c>
      <c r="G16" s="123"/>
      <c r="H16" s="123"/>
      <c r="I16" s="123"/>
      <c r="J16" s="28"/>
      <c r="K16" s="28"/>
      <c r="L16" s="48"/>
      <c r="M16" s="47"/>
      <c r="N16" s="47"/>
      <c r="O16" s="47"/>
      <c r="P16" s="49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s="35" customFormat="1" x14ac:dyDescent="0.2">
      <c r="A17" s="35">
        <f>IF(E17*AC17*NOT(COUNTIF(F$1:F16,F17)),MAX(A$1:A16)+1,)</f>
        <v>12</v>
      </c>
      <c r="B17" s="35">
        <f>IF(E17*AC17,SUMPRODUCT((D$2:D17=D17)*(E$2:E17*AC$2:AC17&gt;0)),0)</f>
        <v>1</v>
      </c>
      <c r="C17" s="8">
        <f>IF(E17*AC17,MAX(C$1:C16)+1,)</f>
        <v>12</v>
      </c>
      <c r="D17" s="8">
        <f>IF(COUNTA(F17:P17)=1,(INT(MAX(D$1:D16)/1000)+1)*1000,D16)</f>
        <v>2000</v>
      </c>
      <c r="E17" s="60">
        <v>1</v>
      </c>
      <c r="F17" s="68" t="s">
        <v>44</v>
      </c>
      <c r="G17" s="29" t="s">
        <v>52</v>
      </c>
      <c r="H17" s="30"/>
      <c r="I17" s="83"/>
      <c r="J17" s="54">
        <v>25</v>
      </c>
      <c r="K17" s="54">
        <f t="shared" si="5"/>
        <v>200</v>
      </c>
      <c r="L17" s="31">
        <v>131.05000000000001</v>
      </c>
      <c r="M17" s="31"/>
      <c r="N17" s="31"/>
      <c r="O17" s="31"/>
      <c r="P17" s="79">
        <f>SUM(L17:O17)</f>
        <v>131.05000000000001</v>
      </c>
      <c r="Q17" s="77"/>
      <c r="R17" s="31"/>
      <c r="S17" s="32"/>
      <c r="T17" s="31"/>
      <c r="U17" s="31"/>
      <c r="V17" s="31"/>
      <c r="W17" s="31"/>
      <c r="X17" s="33">
        <f>ROUND(IF(P17-N17&gt;Тарифы!$C$3,IF(P17-N17&gt;100,(P17-N17-((P17-N17)/100)-100)*0.13+4.8,((P17-N17-((P17-N17)/100)-Тарифы!$C$3)*0.08)),),2)</f>
        <v>8.67</v>
      </c>
      <c r="Y17" s="31">
        <f>ROUND((P17-N17)/100,2)</f>
        <v>1.31</v>
      </c>
      <c r="Z17" s="31">
        <f t="shared" si="6"/>
        <v>1.31</v>
      </c>
      <c r="AA17" s="79">
        <f t="shared" si="7"/>
        <v>11.290000000000001</v>
      </c>
      <c r="AB17" s="77">
        <f>ROUND(ABS(IF((P17-AA17+I17-H17)&lt;0,P17-AA17+I17-H17,0)),2)</f>
        <v>0</v>
      </c>
      <c r="AC17" s="34">
        <f>ROUND(IF((P17-AA17+I17-H17)&gt;0,P17-AA17+I17-H17,0),2)</f>
        <v>119.76</v>
      </c>
    </row>
    <row r="18" spans="1:29" s="35" customFormat="1" x14ac:dyDescent="0.2">
      <c r="A18" s="35">
        <f>IF(E18*AC18*NOT(COUNTIF(F$1:F17,F18)),MAX(A$1:A17)+1,)</f>
        <v>0</v>
      </c>
      <c r="B18" s="35">
        <f>IF(E18*AC18,SUMPRODUCT((D$2:D18=D18)*(E$2:E18*AC$2:AC18&gt;0)),0)</f>
        <v>2</v>
      </c>
      <c r="C18" s="8">
        <f>IF(E18*AC18,MAX(C$1:C17)+1,)</f>
        <v>13</v>
      </c>
      <c r="D18" s="8">
        <f>IF(COUNTA(F18:P18)=1,(INT(MAX(D$1:D17)/1000)+1)*1000,D17)</f>
        <v>2000</v>
      </c>
      <c r="E18" s="60">
        <v>2</v>
      </c>
      <c r="F18" s="68" t="s">
        <v>24</v>
      </c>
      <c r="G18" s="29" t="s">
        <v>68</v>
      </c>
      <c r="H18" s="30"/>
      <c r="I18" s="83"/>
      <c r="J18" s="54">
        <v>25</v>
      </c>
      <c r="K18" s="54">
        <f t="shared" si="5"/>
        <v>200</v>
      </c>
      <c r="L18" s="31">
        <v>148</v>
      </c>
      <c r="M18" s="31"/>
      <c r="N18" s="31"/>
      <c r="O18" s="31"/>
      <c r="P18" s="79">
        <f>SUM(L18:O18)</f>
        <v>148</v>
      </c>
      <c r="Q18" s="77"/>
      <c r="R18" s="31"/>
      <c r="S18" s="32"/>
      <c r="T18" s="31"/>
      <c r="U18" s="31"/>
      <c r="V18" s="31"/>
      <c r="W18" s="31"/>
      <c r="X18" s="33">
        <f>ROUND(IF(P18-N18&gt;Тарифы!$C$3,IF(P18-N18&gt;100,(P18-N18-((P18-N18)/100)-100)*0.13+4.8,((P18-N18-((P18-N18)/100)-Тарифы!$C$3)*0.08)),),2)</f>
        <v>10.85</v>
      </c>
      <c r="Y18" s="31">
        <f>ROUND((P18-N18)/100,2)</f>
        <v>1.48</v>
      </c>
      <c r="Z18" s="31">
        <f t="shared" si="6"/>
        <v>1.48</v>
      </c>
      <c r="AA18" s="79">
        <f t="shared" si="7"/>
        <v>13.81</v>
      </c>
      <c r="AB18" s="77">
        <f>ROUND(ABS(IF((P18-AA18+I18-H18)&lt;0,P18-AA18+I18-H18,0)),2)</f>
        <v>0</v>
      </c>
      <c r="AC18" s="34">
        <f>ROUND(IF((P18-AA18+I18-H18)&gt;0,P18-AA18+I18-H18,0),2)</f>
        <v>134.19</v>
      </c>
    </row>
    <row r="19" spans="1:29" s="35" customFormat="1" x14ac:dyDescent="0.2">
      <c r="A19" s="35">
        <f>IF(E19*AC19*NOT(COUNTIF(F$1:F18,F19)),MAX(A$1:A18)+1,)</f>
        <v>13</v>
      </c>
      <c r="B19" s="35">
        <f>IF(E19*AC19,SUMPRODUCT((D$2:D19=D19)*(E$2:E19*AC$2:AC19&gt;0)),0)</f>
        <v>3</v>
      </c>
      <c r="C19" s="8">
        <f>IF(E19*AC19,MAX(C$1:C18)+1,)</f>
        <v>14</v>
      </c>
      <c r="D19" s="8">
        <f>IF(COUNTA(F19:P19)=1,(INT(MAX(D$1:D18)/1000)+1)*1000,D18)</f>
        <v>2000</v>
      </c>
      <c r="E19" s="60">
        <v>3</v>
      </c>
      <c r="F19" s="68" t="s">
        <v>8</v>
      </c>
      <c r="G19" s="29" t="s">
        <v>68</v>
      </c>
      <c r="H19" s="30"/>
      <c r="I19" s="83"/>
      <c r="J19" s="54">
        <v>25</v>
      </c>
      <c r="K19" s="54">
        <f t="shared" si="5"/>
        <v>200</v>
      </c>
      <c r="L19" s="31">
        <v>104</v>
      </c>
      <c r="M19" s="31"/>
      <c r="N19" s="31"/>
      <c r="O19" s="31"/>
      <c r="P19" s="79">
        <f>SUM(L19:O19)</f>
        <v>104</v>
      </c>
      <c r="Q19" s="77"/>
      <c r="R19" s="31"/>
      <c r="S19" s="32"/>
      <c r="T19" s="31"/>
      <c r="U19" s="31"/>
      <c r="V19" s="31"/>
      <c r="W19" s="31"/>
      <c r="X19" s="33">
        <f>ROUND(IF(P19-N19&gt;Тарифы!$C$3,IF(P19-N19&gt;100,(P19-N19-((P19-N19)/100)-100)*0.13+4.8,((P19-N19-((P19-N19)/100)-Тарифы!$C$3)*0.08)),),2)</f>
        <v>5.18</v>
      </c>
      <c r="Y19" s="31">
        <f>ROUND((P19-N19)/100,2)</f>
        <v>1.04</v>
      </c>
      <c r="Z19" s="31">
        <f t="shared" si="6"/>
        <v>1.04</v>
      </c>
      <c r="AA19" s="79">
        <f t="shared" si="7"/>
        <v>7.26</v>
      </c>
      <c r="AB19" s="77">
        <f>ROUND(ABS(IF((P19-AA19+I19-H19)&lt;0,P19-AA19+I19-H19,0)),2)</f>
        <v>0</v>
      </c>
      <c r="AC19" s="34">
        <f>ROUND(IF((P19-AA19+I19-H19)&gt;0,P19-AA19+I19-H19,0),2)</f>
        <v>96.74</v>
      </c>
    </row>
    <row r="20" spans="1:29" s="43" customFormat="1" x14ac:dyDescent="0.2">
      <c r="A20" s="35">
        <f>IF(E20*AC20*NOT(COUNTIF(F$1:F19,F20)),MAX(A$1:A19)+1,)</f>
        <v>0</v>
      </c>
      <c r="B20" s="35">
        <f>IF(E20*AC20,SUMPRODUCT((D$2:D20=D20)*(E$2:E20*AC$2:AC20&gt;0)),0)</f>
        <v>0</v>
      </c>
      <c r="C20" s="8">
        <f>IF(E20*AC20,MAX(C$1:C19)+1,)</f>
        <v>0</v>
      </c>
      <c r="D20" s="8">
        <f>IF(COUNTA(F20:P20)=1,(INT(MAX(D$1:D19)/1000)+1)*1000,D19)</f>
        <v>2000</v>
      </c>
      <c r="E20" s="63"/>
      <c r="F20" s="70" t="s">
        <v>53</v>
      </c>
      <c r="G20" s="40"/>
      <c r="H20" s="41">
        <f t="shared" ref="H20:I20" si="11">SUM(H17:H19)</f>
        <v>0</v>
      </c>
      <c r="I20" s="82">
        <f t="shared" si="11"/>
        <v>0</v>
      </c>
      <c r="J20" s="56"/>
      <c r="K20" s="57">
        <f t="shared" si="5"/>
        <v>0</v>
      </c>
      <c r="L20" s="41">
        <f>SUM(L17:L19)</f>
        <v>383.05</v>
      </c>
      <c r="M20" s="41">
        <f t="shared" ref="M20:AC20" si="12">SUM(M17:M19)</f>
        <v>0</v>
      </c>
      <c r="N20" s="41">
        <f t="shared" si="12"/>
        <v>0</v>
      </c>
      <c r="O20" s="41">
        <f t="shared" si="12"/>
        <v>0</v>
      </c>
      <c r="P20" s="82">
        <f t="shared" si="12"/>
        <v>383.05</v>
      </c>
      <c r="Q20" s="81">
        <f t="shared" si="12"/>
        <v>0</v>
      </c>
      <c r="R20" s="41">
        <f t="shared" si="12"/>
        <v>0</v>
      </c>
      <c r="S20" s="41">
        <f t="shared" si="12"/>
        <v>0</v>
      </c>
      <c r="T20" s="41">
        <f t="shared" si="12"/>
        <v>0</v>
      </c>
      <c r="U20" s="41">
        <f t="shared" si="12"/>
        <v>0</v>
      </c>
      <c r="V20" s="41">
        <f t="shared" si="12"/>
        <v>0</v>
      </c>
      <c r="W20" s="41">
        <f t="shared" si="12"/>
        <v>0</v>
      </c>
      <c r="X20" s="41">
        <f t="shared" si="12"/>
        <v>24.7</v>
      </c>
      <c r="Y20" s="41">
        <f t="shared" si="12"/>
        <v>3.83</v>
      </c>
      <c r="Z20" s="41">
        <f t="shared" si="12"/>
        <v>3.83</v>
      </c>
      <c r="AA20" s="82">
        <f t="shared" si="12"/>
        <v>32.36</v>
      </c>
      <c r="AB20" s="81">
        <f t="shared" si="12"/>
        <v>0</v>
      </c>
      <c r="AC20" s="42">
        <f t="shared" si="12"/>
        <v>350.69</v>
      </c>
    </row>
    <row r="21" spans="1:29" s="35" customFormat="1" x14ac:dyDescent="0.2">
      <c r="A21" s="35">
        <f>IF(E21*AC21*NOT(COUNTIF(F$1:F20,F21)),MAX(A$1:A20)+1,)</f>
        <v>0</v>
      </c>
      <c r="B21" s="35">
        <f>IF(E21*AC21,SUMPRODUCT((D$2:D21=D21)*(E$2:E21*AC$2:AC21&gt;0)),0)</f>
        <v>0</v>
      </c>
      <c r="C21" s="8">
        <f>IF(E21*AC21,MAX(C$1:C20)+1,)</f>
        <v>0</v>
      </c>
      <c r="D21" s="8">
        <f>IF(COUNTA(F21:P21)=1,(INT(MAX(D$1:D20)/1000)+1)*1000,D20)</f>
        <v>2000</v>
      </c>
      <c r="E21" s="66"/>
      <c r="F21" s="72"/>
      <c r="G21" s="50"/>
      <c r="H21" s="51"/>
      <c r="I21" s="51"/>
      <c r="J21" s="59"/>
      <c r="K21" s="5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3"/>
      <c r="Y21" s="52"/>
      <c r="Z21" s="52"/>
      <c r="AA21" s="52"/>
      <c r="AB21" s="52"/>
      <c r="AC21" s="52"/>
    </row>
    <row r="22" spans="1:29" s="35" customFormat="1" ht="12.75" customHeight="1" x14ac:dyDescent="0.2">
      <c r="A22" s="35">
        <f>IF(E22*AC22*NOT(COUNTIF(F$1:F21,F22)),MAX(A$1:A21)+1,)</f>
        <v>0</v>
      </c>
      <c r="B22" s="35">
        <f>IF(E22*AC22,SUMPRODUCT((D$2:D22=D22)*(E$2:E22*AC$2:AC22&gt;0)),0)</f>
        <v>0</v>
      </c>
      <c r="C22" s="8">
        <f>IF(E22*AC22,MAX(C$1:C21)+1,)</f>
        <v>0</v>
      </c>
      <c r="D22" s="8">
        <f>IF(COUNTA(F22:P22)=1,(INT(MAX(D$1:D21)/1000)+1)*1000,D21)</f>
        <v>3000</v>
      </c>
      <c r="E22" s="65"/>
      <c r="F22" s="122" t="s">
        <v>46</v>
      </c>
      <c r="G22" s="123"/>
      <c r="H22" s="123"/>
      <c r="I22" s="123"/>
      <c r="J22" s="28"/>
      <c r="K22" s="28"/>
      <c r="L22" s="48"/>
      <c r="M22" s="47"/>
      <c r="N22" s="47"/>
      <c r="O22" s="47"/>
      <c r="P22" s="49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29" s="35" customFormat="1" x14ac:dyDescent="0.2">
      <c r="A23" s="35">
        <f>IF(E23*AC23*NOT(COUNTIF(F$1:F22,F23)),MAX(A$1:A22)+1,)</f>
        <v>14</v>
      </c>
      <c r="B23" s="35">
        <f>IF(E23*AC23,SUMPRODUCT((D$2:D23=D23)*(E$2:E23*AC$2:AC23&gt;0)),0)</f>
        <v>1</v>
      </c>
      <c r="C23" s="8">
        <f>IF(E23*AC23,MAX(C$1:C22)+1,)</f>
        <v>15</v>
      </c>
      <c r="D23" s="8">
        <f>IF(COUNTA(F23:P23)=1,(INT(MAX(D$1:D22)/1000)+1)*1000,D22)</f>
        <v>3000</v>
      </c>
      <c r="E23" s="60">
        <v>1</v>
      </c>
      <c r="F23" s="68" t="s">
        <v>11</v>
      </c>
      <c r="G23" s="29" t="s">
        <v>51</v>
      </c>
      <c r="H23" s="30"/>
      <c r="I23" s="83"/>
      <c r="J23" s="54">
        <v>25</v>
      </c>
      <c r="K23" s="54">
        <f t="shared" si="5"/>
        <v>200</v>
      </c>
      <c r="L23" s="31">
        <v>197.34</v>
      </c>
      <c r="M23" s="31"/>
      <c r="N23" s="31"/>
      <c r="O23" s="31"/>
      <c r="P23" s="79">
        <f>SUM(L23:O23)</f>
        <v>197.34</v>
      </c>
      <c r="Q23" s="77"/>
      <c r="R23" s="31"/>
      <c r="S23" s="32"/>
      <c r="T23" s="31"/>
      <c r="U23" s="31"/>
      <c r="V23" s="31"/>
      <c r="W23" s="31"/>
      <c r="X23" s="33">
        <f>ROUND(IF(P23-N23&gt;Тарифы!$C$3,IF(P23-N23&gt;100,(P23-N23-((P23-N23)/100)-100)*0.13+4.8,((P23-N23-((P23-N23)/100)-Тарифы!$C$3)*0.08)),),2)</f>
        <v>17.2</v>
      </c>
      <c r="Y23" s="31">
        <f>ROUND((P23-N23)/100,2)</f>
        <v>1.97</v>
      </c>
      <c r="Z23" s="31">
        <f t="shared" ref="Z23:Z27" si="13">ROUND((P23-N23)/100,2)</f>
        <v>1.97</v>
      </c>
      <c r="AA23" s="79">
        <f t="shared" si="7"/>
        <v>21.139999999999997</v>
      </c>
      <c r="AB23" s="77">
        <f>ROUND(ABS(IF((P23-AA23+I23-H23)&lt;0,P23-AA23+I23-H23,0)),2)</f>
        <v>0</v>
      </c>
      <c r="AC23" s="34">
        <f>ROUND(IF((P23-AA23+I23-H23)&gt;0,P23-AA23+I23-H23,0),2)</f>
        <v>176.2</v>
      </c>
    </row>
    <row r="24" spans="1:29" s="35" customFormat="1" x14ac:dyDescent="0.2">
      <c r="A24" s="35">
        <f>IF(E24*AC24*NOT(COUNTIF(F$1:F23,F24)),MAX(A$1:A23)+1,)</f>
        <v>15</v>
      </c>
      <c r="B24" s="35">
        <f>IF(E24*AC24,SUMPRODUCT((D$2:D24=D24)*(E$2:E24*AC$2:AC24&gt;0)),0)</f>
        <v>2</v>
      </c>
      <c r="C24" s="8">
        <f>IF(E24*AC24,MAX(C$1:C23)+1,)</f>
        <v>16</v>
      </c>
      <c r="D24" s="8">
        <f>IF(COUNTA(F24:P24)=1,(INT(MAX(D$1:D23)/1000)+1)*1000,D23)</f>
        <v>3000</v>
      </c>
      <c r="E24" s="60">
        <v>2</v>
      </c>
      <c r="F24" s="68" t="s">
        <v>50</v>
      </c>
      <c r="G24" s="29" t="s">
        <v>47</v>
      </c>
      <c r="H24" s="30"/>
      <c r="I24" s="83"/>
      <c r="J24" s="54">
        <v>25</v>
      </c>
      <c r="K24" s="54">
        <f t="shared" si="5"/>
        <v>200</v>
      </c>
      <c r="L24" s="31">
        <v>131.05000000000001</v>
      </c>
      <c r="M24" s="31"/>
      <c r="N24" s="31"/>
      <c r="O24" s="31"/>
      <c r="P24" s="79">
        <f>SUM(L24:O24)</f>
        <v>131.05000000000001</v>
      </c>
      <c r="Q24" s="77"/>
      <c r="R24" s="31"/>
      <c r="S24" s="32"/>
      <c r="T24" s="31"/>
      <c r="U24" s="31"/>
      <c r="V24" s="31"/>
      <c r="W24" s="31"/>
      <c r="X24" s="33">
        <f>ROUND(IF(P24-N24&gt;Тарифы!$C$3,IF(P24-N24&gt;100,(P24-N24-((P24-N24)/100)-100)*0.13+4.8,((P24-N24-((P24-N24)/100)-Тарифы!$C$3)*0.08)),),2)</f>
        <v>8.67</v>
      </c>
      <c r="Y24" s="31">
        <f>ROUND((P24-N24)/100,2)</f>
        <v>1.31</v>
      </c>
      <c r="Z24" s="31">
        <f t="shared" si="13"/>
        <v>1.31</v>
      </c>
      <c r="AA24" s="79">
        <f t="shared" si="7"/>
        <v>11.290000000000001</v>
      </c>
      <c r="AB24" s="77">
        <f>ROUND(ABS(IF((P24-AA24+I24-H24)&lt;0,P24-AA24+I24-H24,0)),2)</f>
        <v>0</v>
      </c>
      <c r="AC24" s="34">
        <f>ROUND(IF((P24-AA24+I24-H24)&gt;0,P24-AA24+I24-H24,0),2)</f>
        <v>119.76</v>
      </c>
    </row>
    <row r="25" spans="1:29" s="35" customFormat="1" x14ac:dyDescent="0.2">
      <c r="A25" s="35">
        <f>IF(E25*AC25*NOT(COUNTIF(F$1:F24,F25)),MAX(A$1:A24)+1,)</f>
        <v>16</v>
      </c>
      <c r="B25" s="35">
        <f>IF(E25*AC25,SUMPRODUCT((D$2:D25=D25)*(E$2:E25*AC$2:AC25&gt;0)),0)</f>
        <v>3</v>
      </c>
      <c r="C25" s="8">
        <f>IF(E25*AC25,MAX(C$1:C24)+1,)</f>
        <v>17</v>
      </c>
      <c r="D25" s="8">
        <f>IF(COUNTA(F25:P25)=1,(INT(MAX(D$1:D24)/1000)+1)*1000,D24)</f>
        <v>3000</v>
      </c>
      <c r="E25" s="60">
        <v>3</v>
      </c>
      <c r="F25" s="68" t="s">
        <v>19</v>
      </c>
      <c r="G25" s="29" t="s">
        <v>48</v>
      </c>
      <c r="H25" s="30"/>
      <c r="I25" s="83"/>
      <c r="J25" s="54">
        <v>25</v>
      </c>
      <c r="K25" s="54">
        <f t="shared" si="5"/>
        <v>200</v>
      </c>
      <c r="L25" s="31">
        <v>131.05000000000001</v>
      </c>
      <c r="M25" s="31"/>
      <c r="N25" s="31"/>
      <c r="O25" s="31"/>
      <c r="P25" s="79">
        <f>SUM(L25:O25)</f>
        <v>131.05000000000001</v>
      </c>
      <c r="Q25" s="77"/>
      <c r="R25" s="31"/>
      <c r="S25" s="32"/>
      <c r="T25" s="31"/>
      <c r="U25" s="31"/>
      <c r="V25" s="31"/>
      <c r="W25" s="31"/>
      <c r="X25" s="33">
        <f>ROUND(IF(P25-N25&gt;Тарифы!$C$3,IF(P25-N25&gt;100,(P25-N25-((P25-N25)/100)-100)*0.13+4.8,((P25-N25-((P25-N25)/100)-Тарифы!$C$3)*0.08)),),2)</f>
        <v>8.67</v>
      </c>
      <c r="Y25" s="31">
        <f>ROUND((P25-N25)/100,2)</f>
        <v>1.31</v>
      </c>
      <c r="Z25" s="31">
        <f t="shared" si="13"/>
        <v>1.31</v>
      </c>
      <c r="AA25" s="79">
        <f t="shared" si="7"/>
        <v>11.290000000000001</v>
      </c>
      <c r="AB25" s="77">
        <f>ROUND(ABS(IF((P25-AA25+I25-H25)&lt;0,P25-AA25+I25-H25,0)),2)</f>
        <v>0</v>
      </c>
      <c r="AC25" s="34">
        <f>ROUND(IF((P25-AA25+I25-H25)&gt;0,P25-AA25+I25-H25,0),2)</f>
        <v>119.76</v>
      </c>
    </row>
    <row r="26" spans="1:29" s="35" customFormat="1" x14ac:dyDescent="0.2">
      <c r="A26" s="35">
        <f>IF(E26*AC26*NOT(COUNTIF(F$1:F25,F26)),MAX(A$1:A25)+1,)</f>
        <v>17</v>
      </c>
      <c r="B26" s="35">
        <f>IF(E26*AC26,SUMPRODUCT((D$2:D26=D26)*(E$2:E26*AC$2:AC26&gt;0)),0)</f>
        <v>4</v>
      </c>
      <c r="C26" s="8">
        <f>IF(E26*AC26,MAX(C$1:C25)+1,)</f>
        <v>18</v>
      </c>
      <c r="D26" s="8">
        <f>IF(COUNTA(F26:P26)=1,(INT(MAX(D$1:D25)/1000)+1)*1000,D25)</f>
        <v>3000</v>
      </c>
      <c r="E26" s="60">
        <v>4</v>
      </c>
      <c r="F26" s="68" t="s">
        <v>9</v>
      </c>
      <c r="G26" s="29" t="s">
        <v>49</v>
      </c>
      <c r="H26" s="30"/>
      <c r="I26" s="83"/>
      <c r="J26" s="54">
        <v>25</v>
      </c>
      <c r="K26" s="54">
        <f t="shared" si="5"/>
        <v>200</v>
      </c>
      <c r="L26" s="31">
        <v>104</v>
      </c>
      <c r="M26" s="31"/>
      <c r="N26" s="31"/>
      <c r="O26" s="31"/>
      <c r="P26" s="79">
        <f>SUM(L26:O26)</f>
        <v>104</v>
      </c>
      <c r="Q26" s="77"/>
      <c r="R26" s="31"/>
      <c r="S26" s="32"/>
      <c r="T26" s="31"/>
      <c r="U26" s="31"/>
      <c r="V26" s="31"/>
      <c r="W26" s="31"/>
      <c r="X26" s="33">
        <f>ROUND(IF(P26-N26&gt;Тарифы!$C$3,IF(P26-N26&gt;100,(P26-N26-((P26-N26)/100)-100)*0.13+4.8,((P26-N26-((P26-N26)/100)-Тарифы!$C$3)*0.08)),),2)</f>
        <v>5.18</v>
      </c>
      <c r="Y26" s="31">
        <f>ROUND((P26-N26)/100,2)</f>
        <v>1.04</v>
      </c>
      <c r="Z26" s="31">
        <f t="shared" si="13"/>
        <v>1.04</v>
      </c>
      <c r="AA26" s="79">
        <f t="shared" si="7"/>
        <v>7.26</v>
      </c>
      <c r="AB26" s="77">
        <f>ROUND(ABS(IF((P26-AA26+I26-H26)&lt;0,P26-AA26+I26-H26,0)),2)</f>
        <v>0</v>
      </c>
      <c r="AC26" s="34">
        <f>ROUND(IF((P26-AA26+I26-H26)&gt;0,P26-AA26+I26-H26,0),2)</f>
        <v>96.74</v>
      </c>
    </row>
    <row r="27" spans="1:29" s="35" customFormat="1" x14ac:dyDescent="0.2">
      <c r="A27" s="35">
        <f>IF(E27*AC27*NOT(COUNTIF(F$1:F26,F27)),MAX(A$1:A26)+1,)</f>
        <v>0</v>
      </c>
      <c r="B27" s="35">
        <f>IF(E27*AC27,SUMPRODUCT((D$2:D27=D27)*(E$2:E27*AC$2:AC27&gt;0)),0)</f>
        <v>0</v>
      </c>
      <c r="C27" s="8">
        <f>IF(E27*AC27,MAX(C$1:C26)+1,)</f>
        <v>0</v>
      </c>
      <c r="D27" s="8">
        <f>IF(COUNTA(F27:P27)=1,(INT(MAX(D$1:D26)/1000)+1)*1000,D26)</f>
        <v>3000</v>
      </c>
      <c r="E27" s="60">
        <v>5</v>
      </c>
      <c r="F27" s="68" t="s">
        <v>10</v>
      </c>
      <c r="G27" s="29" t="s">
        <v>47</v>
      </c>
      <c r="H27" s="30"/>
      <c r="I27" s="83"/>
      <c r="J27" s="54"/>
      <c r="K27" s="54">
        <f t="shared" si="5"/>
        <v>0</v>
      </c>
      <c r="L27" s="31"/>
      <c r="M27" s="31"/>
      <c r="N27" s="31"/>
      <c r="O27" s="31"/>
      <c r="P27" s="79">
        <f>SUM(L27:O27)</f>
        <v>0</v>
      </c>
      <c r="Q27" s="77"/>
      <c r="R27" s="31"/>
      <c r="S27" s="32"/>
      <c r="T27" s="31"/>
      <c r="U27" s="31"/>
      <c r="V27" s="31"/>
      <c r="W27" s="31">
        <f t="shared" ref="W27" si="14">IF(P27&gt;40,ROUND((P27-(P27/100)-100)*0.13+4.8,2),0)</f>
        <v>0</v>
      </c>
      <c r="X27" s="33">
        <f>ROUND(IF(P27-N27&gt;Тарифы!$C$3,IF(P27-N27&gt;100,(P27-N27-((P27-N27)/100)-100)*0.13+4.8,((P27-N27-((P27-N27)/100)-Тарифы!$C$3)*0.08)),),2)</f>
        <v>0</v>
      </c>
      <c r="Y27" s="31">
        <f>ROUND((P27-N27)/100,2)</f>
        <v>0</v>
      </c>
      <c r="Z27" s="31">
        <f t="shared" si="13"/>
        <v>0</v>
      </c>
      <c r="AA27" s="79">
        <f t="shared" si="7"/>
        <v>0</v>
      </c>
      <c r="AB27" s="77">
        <f>ROUND(ABS(IF((P27-AA27+I27-H27)&lt;0,P27-AA27+I27-H27,0)),2)</f>
        <v>0</v>
      </c>
      <c r="AC27" s="34">
        <f>ROUND(IF((P27-AA27+I27-H27)&gt;0,P27-AA27+I27-H27,0),2)</f>
        <v>0</v>
      </c>
    </row>
    <row r="28" spans="1:29" s="43" customFormat="1" x14ac:dyDescent="0.2">
      <c r="A28" s="35">
        <f>IF(E28*AC28*NOT(COUNTIF(F$1:F27,F28)),MAX(A$1:A27)+1,)</f>
        <v>0</v>
      </c>
      <c r="B28" s="35">
        <f>IF(E28*AC28,SUMPRODUCT((D$2:D28=D28)*(E$2:E28*AC$2:AC28&gt;0)),0)</f>
        <v>0</v>
      </c>
      <c r="C28" s="8">
        <f>IF(E28*AC28,MAX(C$1:C27)+1,)</f>
        <v>0</v>
      </c>
      <c r="D28" s="8">
        <f>IF(COUNTA(F28:P28)=1,(INT(MAX(D$1:D27)/1000)+1)*1000,D27)</f>
        <v>3000</v>
      </c>
      <c r="E28" s="63"/>
      <c r="F28" s="70" t="s">
        <v>53</v>
      </c>
      <c r="G28" s="40"/>
      <c r="H28" s="41">
        <f t="shared" ref="H28:I28" si="15">SUM(H23:H27)</f>
        <v>0</v>
      </c>
      <c r="I28" s="82">
        <f t="shared" si="15"/>
        <v>0</v>
      </c>
      <c r="J28" s="56"/>
      <c r="K28" s="57">
        <f t="shared" si="5"/>
        <v>0</v>
      </c>
      <c r="L28" s="41">
        <f>SUM(L23:L27)</f>
        <v>563.44000000000005</v>
      </c>
      <c r="M28" s="41">
        <f t="shared" ref="M28:AC28" si="16">SUM(M23:M27)</f>
        <v>0</v>
      </c>
      <c r="N28" s="41">
        <f t="shared" si="16"/>
        <v>0</v>
      </c>
      <c r="O28" s="41">
        <f t="shared" si="16"/>
        <v>0</v>
      </c>
      <c r="P28" s="82">
        <f t="shared" si="16"/>
        <v>563.44000000000005</v>
      </c>
      <c r="Q28" s="81">
        <f t="shared" si="16"/>
        <v>0</v>
      </c>
      <c r="R28" s="41">
        <f t="shared" si="16"/>
        <v>0</v>
      </c>
      <c r="S28" s="41">
        <f t="shared" si="16"/>
        <v>0</v>
      </c>
      <c r="T28" s="41">
        <f t="shared" si="16"/>
        <v>0</v>
      </c>
      <c r="U28" s="41">
        <f t="shared" si="16"/>
        <v>0</v>
      </c>
      <c r="V28" s="41">
        <f t="shared" si="16"/>
        <v>0</v>
      </c>
      <c r="W28" s="41">
        <f t="shared" si="16"/>
        <v>0</v>
      </c>
      <c r="X28" s="41">
        <f t="shared" si="16"/>
        <v>39.72</v>
      </c>
      <c r="Y28" s="41">
        <f t="shared" si="16"/>
        <v>5.63</v>
      </c>
      <c r="Z28" s="41">
        <f t="shared" si="16"/>
        <v>5.63</v>
      </c>
      <c r="AA28" s="82">
        <f t="shared" si="16"/>
        <v>50.98</v>
      </c>
      <c r="AB28" s="81">
        <f t="shared" si="16"/>
        <v>0</v>
      </c>
      <c r="AC28" s="42">
        <f t="shared" si="16"/>
        <v>512.45999999999992</v>
      </c>
    </row>
  </sheetData>
  <scenarios current="0" show="0" sqref="D2">
    <scenario name="ееееееее" locked="1" count="1" user="Оператор" comment="Автор: Оператор , 09.01.03_x000a_Автор изменений: Оператор , 09.01.03">
      <inputCells r="F27" val="Оrилов Оrилбой"/>
    </scenario>
    <scenario name="апавап" locked="1" count="1" user="Оператор" comment="Автор: Оператор , 09.01.03">
      <inputCells r="F4" val="Шарипов Фирeз"/>
    </scenario>
  </scenarios>
  <sortState ref="E2:CY228">
    <sortCondition ref="E228"/>
  </sortState>
  <mergeCells count="3">
    <mergeCell ref="F2:I2"/>
    <mergeCell ref="F16:I16"/>
    <mergeCell ref="F22:I22"/>
  </mergeCells>
  <phoneticPr fontId="2" type="noConversion"/>
  <conditionalFormatting sqref="F3:F28">
    <cfRule type="expression" dxfId="4" priority="6">
      <formula>COUNTIF($F$3:$F$28,$F3)&gt;1</formula>
    </cfRule>
  </conditionalFormatting>
  <dataValidations disablePrompts="1" count="1">
    <dataValidation type="whole" allowBlank="1" showInputMessage="1" showErrorMessage="1" errorTitle="Неправильное значение!" error="Вы должны ввести целое число в диапазоне 1-24" sqref="J3:J28">
      <formula1>1</formula1>
      <formula2>25</formula2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7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zoomScale="85" zoomScaleNormal="85" zoomScaleSheetLayoutView="85" workbookViewId="0">
      <selection activeCell="O11" sqref="O11"/>
    </sheetView>
  </sheetViews>
  <sheetFormatPr defaultRowHeight="12.75" x14ac:dyDescent="0.2"/>
  <cols>
    <col min="1" max="1" width="10" customWidth="1"/>
    <col min="2" max="2" width="10.42578125" customWidth="1"/>
    <col min="3" max="3" width="9" bestFit="1" customWidth="1"/>
    <col min="4" max="4" width="12.28515625" style="1" customWidth="1"/>
    <col min="5" max="5" width="7.85546875" customWidth="1"/>
    <col min="6" max="6" width="3.7109375" customWidth="1"/>
    <col min="7" max="7" width="3.7109375" style="6" customWidth="1"/>
    <col min="8" max="9" width="10.42578125" style="6" customWidth="1"/>
    <col min="10" max="10" width="9" style="6" bestFit="1" customWidth="1"/>
    <col min="11" max="11" width="12.28515625" style="1" customWidth="1"/>
    <col min="12" max="12" width="7.85546875" style="6" customWidth="1"/>
  </cols>
  <sheetData>
    <row r="1" spans="1:12" s="6" customFormat="1" x14ac:dyDescent="0.2">
      <c r="A1" s="109">
        <f>INT(ROW()/14)*2+1+(COLUMN()&gt;6)</f>
        <v>1</v>
      </c>
      <c r="B1" s="98"/>
      <c r="C1" s="98"/>
      <c r="D1" s="101"/>
      <c r="E1" s="98"/>
      <c r="F1" s="98"/>
      <c r="G1" s="99"/>
      <c r="H1" s="109">
        <f>INT(ROW()/14)*2+1+(COLUMN()&gt;6)</f>
        <v>2</v>
      </c>
      <c r="I1" s="98"/>
      <c r="J1" s="98"/>
      <c r="K1" s="101"/>
      <c r="L1" s="98"/>
    </row>
    <row r="2" spans="1:12" ht="14.25" x14ac:dyDescent="0.2">
      <c r="A2" s="111" t="s">
        <v>54</v>
      </c>
      <c r="B2" s="111"/>
      <c r="C2" s="111"/>
      <c r="D2" s="111"/>
      <c r="E2" s="111"/>
      <c r="F2" s="91"/>
      <c r="G2" s="93"/>
      <c r="H2" s="126" t="s">
        <v>54</v>
      </c>
      <c r="I2" s="126"/>
      <c r="J2" s="126"/>
      <c r="K2" s="126"/>
      <c r="L2" s="126"/>
    </row>
    <row r="3" spans="1:12" ht="14.25" customHeight="1" x14ac:dyDescent="0.2">
      <c r="A3" s="110" t="str">
        <f ca="1">CONCATENATE("Карточка расшифровки зарплаты за ",'01.2012'!$AD$1)</f>
        <v>Карточка расшифровки зарплаты за 01.2012</v>
      </c>
      <c r="B3" s="110"/>
      <c r="C3" s="110"/>
      <c r="D3" s="110"/>
      <c r="E3" s="110"/>
      <c r="F3" s="91"/>
      <c r="G3" s="93"/>
      <c r="H3" s="127" t="str">
        <f ca="1">CONCATENATE("Карточка расшифровки зарплаты за ",'01.2012'!$AD$1)</f>
        <v>Карточка расшифровки зарплаты за 01.2012</v>
      </c>
      <c r="I3" s="127"/>
      <c r="J3" s="127"/>
      <c r="K3" s="127"/>
      <c r="L3" s="127"/>
    </row>
    <row r="4" spans="1:12" s="6" customFormat="1" ht="11.1" customHeight="1" x14ac:dyDescent="0.2">
      <c r="A4" s="85"/>
      <c r="B4" s="85"/>
      <c r="C4" s="85"/>
      <c r="D4" s="22"/>
      <c r="E4" s="85"/>
      <c r="F4" s="85"/>
      <c r="G4" s="94"/>
      <c r="H4" s="85"/>
      <c r="I4" s="85"/>
      <c r="J4" s="85"/>
      <c r="K4" s="22"/>
      <c r="L4" s="85"/>
    </row>
    <row r="5" spans="1:12" s="6" customFormat="1" ht="11.1" customHeight="1" x14ac:dyDescent="0.2">
      <c r="B5" s="108"/>
      <c r="C5" s="108"/>
      <c r="D5" s="108"/>
      <c r="E5" s="108" t="str">
        <f>VLOOKUP(VLOOKUP(A1,'01.2012'!$C$2:$AC$28,2,0),'01.2012'!$D$2:$F$28,3,0)</f>
        <v>УПРАВЛЕНИЕ</v>
      </c>
      <c r="F5" s="85"/>
      <c r="G5" s="94"/>
      <c r="H5" s="128" t="str">
        <f>VLOOKUP(VLOOKUP(H1,'01.2012'!$C$2:$AC$28,2,0),'01.2012'!$D$2:$F$28,3,0)</f>
        <v>УПРАВЛЕНИЕ</v>
      </c>
      <c r="I5" s="128"/>
      <c r="J5" s="128"/>
      <c r="K5" s="128"/>
      <c r="L5" s="128"/>
    </row>
    <row r="6" spans="1:12" ht="12.75" customHeight="1" x14ac:dyDescent="0.2">
      <c r="A6" s="105" t="s">
        <v>55</v>
      </c>
      <c r="B6" s="105"/>
      <c r="D6" s="106"/>
      <c r="E6" s="106" t="str">
        <f>VLOOKUP(A1,'01.2012'!$C$2:$AC$28,4,0)</f>
        <v>Наимов Сафар</v>
      </c>
      <c r="F6" s="88"/>
      <c r="G6" s="95"/>
      <c r="H6" s="129" t="s">
        <v>55</v>
      </c>
      <c r="I6" s="129"/>
      <c r="J6" s="130" t="str">
        <f>VLOOKUP(H1,'01.2012'!$C$2:$AC$28,4,0)</f>
        <v>Муратов Акбар</v>
      </c>
      <c r="K6" s="130"/>
      <c r="L6" s="130"/>
    </row>
    <row r="7" spans="1:12" ht="18.75" customHeight="1" x14ac:dyDescent="0.2">
      <c r="A7" s="92" t="s">
        <v>36</v>
      </c>
      <c r="C7" s="107"/>
      <c r="D7" s="107"/>
      <c r="E7" s="107" t="str">
        <f>VLOOKUP(A1,'01.2012'!$C$2:$AC$28,5,0)</f>
        <v>ректор</v>
      </c>
      <c r="F7" s="88"/>
      <c r="G7" s="95"/>
      <c r="H7" s="92" t="s">
        <v>36</v>
      </c>
      <c r="I7" s="131" t="str">
        <f>VLOOKUP(H1,'01.2012'!$C$2:$AC$28,5,0)</f>
        <v>зам.рек.по НЧ</v>
      </c>
      <c r="J7" s="131"/>
      <c r="K7" s="131"/>
      <c r="L7" s="131"/>
    </row>
    <row r="8" spans="1:12" ht="12.75" customHeight="1" x14ac:dyDescent="0.2">
      <c r="A8" s="132" t="s">
        <v>56</v>
      </c>
      <c r="B8" s="134" t="s">
        <v>57</v>
      </c>
      <c r="C8" s="136" t="s">
        <v>58</v>
      </c>
      <c r="D8" s="134" t="s">
        <v>69</v>
      </c>
      <c r="E8" s="139"/>
      <c r="F8" s="6"/>
      <c r="G8" s="96"/>
      <c r="H8" s="132" t="s">
        <v>56</v>
      </c>
      <c r="I8" s="134" t="s">
        <v>57</v>
      </c>
      <c r="J8" s="136" t="s">
        <v>58</v>
      </c>
      <c r="K8" s="134" t="s">
        <v>59</v>
      </c>
      <c r="L8" s="139"/>
    </row>
    <row r="9" spans="1:12" s="6" customFormat="1" ht="13.5" x14ac:dyDescent="0.2">
      <c r="A9" s="133"/>
      <c r="B9" s="135"/>
      <c r="C9" s="137"/>
      <c r="D9" s="138"/>
      <c r="E9" s="140"/>
      <c r="F9" s="87"/>
      <c r="G9" s="97"/>
      <c r="H9" s="133"/>
      <c r="I9" s="135"/>
      <c r="J9" s="137"/>
      <c r="K9" s="138"/>
      <c r="L9" s="140"/>
    </row>
    <row r="10" spans="1:12" ht="15" customHeight="1" x14ac:dyDescent="0.2">
      <c r="A10" s="100">
        <f>IF(VLOOKUP(A1,'01.2012'!$C$2:$AC$28,7,0)&lt;1,-VLOOKUP(A1,'01.2012'!$C$2:$AC$28,6,0),VLOOKUP(A1,'01.2012'!$C$2:$AC$28,7,0))</f>
        <v>0</v>
      </c>
      <c r="B10" s="89">
        <f>VLOOKUP(A1,'01.2012'!$C$2:$AC$28,14,0)</f>
        <v>235.3</v>
      </c>
      <c r="C10" s="90">
        <f>VLOOKUP(A1,'01.2012'!$C$2:$AC$28,22,0)</f>
        <v>22.08</v>
      </c>
      <c r="D10" s="89">
        <f>VLOOKUP(A1,'01.2012'!$C$2:$AC$28,27,0)</f>
        <v>208.52</v>
      </c>
      <c r="E10" s="141"/>
      <c r="F10" s="6"/>
      <c r="G10" s="96"/>
      <c r="H10" s="100">
        <f>IF(VLOOKUP(H1,'01.2012'!$C$2:$AC$28,7,0)&lt;1,-VLOOKUP(H1,'01.2012'!$C$2:$AC$28,6,0),VLOOKUP(H1,'01.2012'!$C$2:$AC$28,7,0))</f>
        <v>0</v>
      </c>
      <c r="I10" s="89">
        <f>VLOOKUP(H1,'01.2012'!$C$2:$AC$28,14,0)</f>
        <v>242.94</v>
      </c>
      <c r="J10" s="90">
        <f>VLOOKUP(H1,'01.2012'!$C$2:$AC$28,22,0)</f>
        <v>23.07</v>
      </c>
      <c r="K10" s="89">
        <f>VLOOKUP(H1,'01.2012'!$C$2:$AC$28,27,0)</f>
        <v>215.01</v>
      </c>
      <c r="L10" s="141"/>
    </row>
    <row r="11" spans="1:12" x14ac:dyDescent="0.2">
      <c r="A11" s="6"/>
      <c r="B11" s="6"/>
      <c r="C11" s="6"/>
      <c r="E11" s="86"/>
      <c r="F11" s="6"/>
      <c r="G11" s="96"/>
      <c r="L11" s="86"/>
    </row>
    <row r="12" spans="1:12" x14ac:dyDescent="0.2">
      <c r="A12" s="103" t="s">
        <v>60</v>
      </c>
      <c r="B12" s="103"/>
      <c r="C12" s="6"/>
      <c r="E12" s="6"/>
      <c r="F12" s="6"/>
      <c r="G12" s="96"/>
      <c r="H12" s="124" t="s">
        <v>60</v>
      </c>
      <c r="I12" s="124"/>
    </row>
    <row r="13" spans="1:12" ht="17.25" customHeight="1" x14ac:dyDescent="0.2">
      <c r="A13" s="104" t="s">
        <v>61</v>
      </c>
      <c r="B13" s="104"/>
      <c r="C13" s="6"/>
      <c r="E13" s="6"/>
      <c r="F13" s="6"/>
      <c r="G13" s="96"/>
      <c r="H13" s="125" t="s">
        <v>61</v>
      </c>
      <c r="I13" s="125"/>
    </row>
    <row r="14" spans="1:12" x14ac:dyDescent="0.2">
      <c r="A14" s="6"/>
      <c r="B14" s="6"/>
      <c r="C14" s="6"/>
      <c r="E14" s="6"/>
      <c r="F14" s="6"/>
      <c r="G14" s="96"/>
    </row>
    <row r="15" spans="1:12" ht="12.75" customHeight="1" x14ac:dyDescent="0.2">
      <c r="A15" s="112">
        <f t="shared" ref="A15" si="0">INT(ROW()/14)*2+1+(COLUMN()&gt;6)</f>
        <v>3</v>
      </c>
      <c r="B15" s="98"/>
      <c r="C15" s="98"/>
      <c r="D15" s="101"/>
      <c r="E15" s="98"/>
      <c r="F15" s="98"/>
      <c r="G15" s="99"/>
      <c r="H15" s="112">
        <f t="shared" ref="H15" si="1">INT(ROW()/14)*2+1+(COLUMN()&gt;6)</f>
        <v>4</v>
      </c>
      <c r="I15" s="98"/>
      <c r="J15" s="98"/>
      <c r="K15" s="101"/>
      <c r="L15" s="98"/>
    </row>
    <row r="16" spans="1:12" s="6" customFormat="1" ht="14.25" customHeight="1" x14ac:dyDescent="0.2">
      <c r="A16" s="126" t="s">
        <v>54</v>
      </c>
      <c r="B16" s="126"/>
      <c r="C16" s="126"/>
      <c r="D16" s="126"/>
      <c r="E16" s="126"/>
      <c r="F16" s="91"/>
      <c r="G16" s="93"/>
      <c r="H16" s="126" t="s">
        <v>54</v>
      </c>
      <c r="I16" s="126"/>
      <c r="J16" s="126"/>
      <c r="K16" s="126"/>
      <c r="L16" s="126"/>
    </row>
    <row r="17" spans="1:12" s="6" customFormat="1" ht="14.25" customHeight="1" x14ac:dyDescent="0.2">
      <c r="A17" s="127" t="str">
        <f ca="1">CONCATENATE("Карточка расшифровки зарплаты за ",'01.2012'!$AD$1)</f>
        <v>Карточка расшифровки зарплаты за 01.2012</v>
      </c>
      <c r="B17" s="127"/>
      <c r="C17" s="127"/>
      <c r="D17" s="127"/>
      <c r="E17" s="127"/>
      <c r="F17" s="91"/>
      <c r="G17" s="93"/>
      <c r="H17" s="127" t="str">
        <f ca="1">CONCATENATE("Карточка расшифровки зарплаты за ",'01.2012'!$AD$1)</f>
        <v>Карточка расшифровки зарплаты за 01.2012</v>
      </c>
      <c r="I17" s="127"/>
      <c r="J17" s="127"/>
      <c r="K17" s="127"/>
      <c r="L17" s="127"/>
    </row>
    <row r="18" spans="1:12" ht="11.1" customHeight="1" x14ac:dyDescent="0.2">
      <c r="A18" s="85"/>
      <c r="B18" s="85"/>
      <c r="C18" s="85"/>
      <c r="D18" s="22"/>
      <c r="E18" s="85"/>
      <c r="F18" s="85"/>
      <c r="G18" s="94"/>
      <c r="H18" s="85"/>
      <c r="I18" s="85"/>
      <c r="J18" s="85"/>
      <c r="K18" s="22"/>
      <c r="L18" s="85"/>
    </row>
    <row r="19" spans="1:12" s="6" customFormat="1" ht="11.1" customHeight="1" x14ac:dyDescent="0.2">
      <c r="A19" s="128" t="str">
        <f>VLOOKUP(VLOOKUP(A15,'01.2012'!$C$2:$AC$28,2,0),'01.2012'!$D$2:$F$28,3,0)</f>
        <v>УПРАВЛЕНИЕ</v>
      </c>
      <c r="B19" s="128"/>
      <c r="C19" s="128"/>
      <c r="D19" s="128"/>
      <c r="E19" s="128"/>
      <c r="F19" s="85"/>
      <c r="G19" s="94"/>
      <c r="H19" s="128" t="str">
        <f>VLOOKUP(VLOOKUP(H15,'01.2012'!$C$2:$AC$28,2,0),'01.2012'!$D$2:$F$28,3,0)</f>
        <v>УПРАВЛЕНИЕ</v>
      </c>
      <c r="I19" s="128"/>
      <c r="J19" s="128"/>
      <c r="K19" s="128"/>
      <c r="L19" s="128"/>
    </row>
    <row r="20" spans="1:12" ht="12.75" customHeight="1" x14ac:dyDescent="0.2">
      <c r="A20" s="129" t="s">
        <v>55</v>
      </c>
      <c r="B20" s="129"/>
      <c r="C20" s="130" t="str">
        <f>VLOOKUP(A15,'01.2012'!$C$2:$AC$28,4,0)</f>
        <v>Сафаров Собир</v>
      </c>
      <c r="D20" s="130"/>
      <c r="E20" s="130"/>
      <c r="F20" s="88"/>
      <c r="G20" s="95"/>
      <c r="H20" s="129" t="s">
        <v>55</v>
      </c>
      <c r="I20" s="129"/>
      <c r="J20" s="130" t="str">
        <f>VLOOKUP(H15,'01.2012'!$C$2:$AC$28,4,0)</f>
        <v>Сабуров Хотам</v>
      </c>
      <c r="K20" s="130"/>
      <c r="L20" s="130"/>
    </row>
    <row r="21" spans="1:12" s="6" customFormat="1" ht="18.75" customHeight="1" x14ac:dyDescent="0.2">
      <c r="A21" s="92" t="s">
        <v>36</v>
      </c>
      <c r="B21" s="131" t="str">
        <f>VLOOKUP(A15,'01.2012'!$C$2:$AC$28,5,0)</f>
        <v>зам.рек по восп.</v>
      </c>
      <c r="C21" s="131"/>
      <c r="D21" s="131"/>
      <c r="E21" s="131"/>
      <c r="F21" s="88"/>
      <c r="G21" s="95"/>
      <c r="H21" s="92" t="s">
        <v>36</v>
      </c>
      <c r="I21" s="131" t="str">
        <f>VLOOKUP(H15,'01.2012'!$C$2:$AC$28,5,0)</f>
        <v>зам.рек.по экон.</v>
      </c>
      <c r="J21" s="131"/>
      <c r="K21" s="131"/>
      <c r="L21" s="131"/>
    </row>
    <row r="22" spans="1:12" ht="12.75" customHeight="1" x14ac:dyDescent="0.2">
      <c r="A22" s="132" t="s">
        <v>56</v>
      </c>
      <c r="B22" s="134" t="s">
        <v>57</v>
      </c>
      <c r="C22" s="136" t="s">
        <v>58</v>
      </c>
      <c r="D22" s="134" t="s">
        <v>59</v>
      </c>
      <c r="E22" s="139"/>
      <c r="F22" s="6"/>
      <c r="G22" s="96"/>
      <c r="H22" s="132" t="s">
        <v>56</v>
      </c>
      <c r="I22" s="134" t="s">
        <v>57</v>
      </c>
      <c r="J22" s="136" t="s">
        <v>58</v>
      </c>
      <c r="K22" s="134" t="s">
        <v>59</v>
      </c>
      <c r="L22" s="139"/>
    </row>
    <row r="23" spans="1:12" ht="13.5" customHeight="1" x14ac:dyDescent="0.2">
      <c r="A23" s="133"/>
      <c r="B23" s="135"/>
      <c r="C23" s="137"/>
      <c r="D23" s="138"/>
      <c r="E23" s="140"/>
      <c r="F23" s="87"/>
      <c r="G23" s="97"/>
      <c r="H23" s="133"/>
      <c r="I23" s="135"/>
      <c r="J23" s="137"/>
      <c r="K23" s="138"/>
      <c r="L23" s="140"/>
    </row>
    <row r="24" spans="1:12" ht="15" customHeight="1" x14ac:dyDescent="0.2">
      <c r="A24" s="100">
        <f>IF(VLOOKUP(A15,'01.2012'!$C$2:$AC$28,7,0)&lt;1,-VLOOKUP(A15,'01.2012'!$C$2:$AC$28,6,0),VLOOKUP(A15,'01.2012'!$C$2:$AC$28,7,0))</f>
        <v>0</v>
      </c>
      <c r="B24" s="89">
        <f>VLOOKUP(A15,'01.2012'!$C$2:$AC$28,14,0)</f>
        <v>197.4</v>
      </c>
      <c r="C24" s="90">
        <f>VLOOKUP(A15,'01.2012'!$C$2:$AC$28,22,0)</f>
        <v>17.21</v>
      </c>
      <c r="D24" s="89">
        <f>VLOOKUP(A15,'01.2012'!$C$2:$AC$28,27,0)</f>
        <v>176.25</v>
      </c>
      <c r="E24" s="141"/>
      <c r="F24" s="6"/>
      <c r="G24" s="96"/>
      <c r="H24" s="100">
        <f>IF(VLOOKUP(H15,'01.2012'!$C$2:$AC$28,7,0)&lt;1,-VLOOKUP(H15,'01.2012'!$C$2:$AC$28,6,0),VLOOKUP(H15,'01.2012'!$C$2:$AC$28,7,0))</f>
        <v>0</v>
      </c>
      <c r="I24" s="89">
        <f>VLOOKUP(H15,'01.2012'!$C$2:$AC$28,14,0)</f>
        <v>242.94</v>
      </c>
      <c r="J24" s="90">
        <f>VLOOKUP(H15,'01.2012'!$C$2:$AC$28,22,0)</f>
        <v>23.07</v>
      </c>
      <c r="K24" s="89">
        <f>VLOOKUP(H15,'01.2012'!$C$2:$AC$28,27,0)</f>
        <v>215.01</v>
      </c>
      <c r="L24" s="141"/>
    </row>
    <row r="25" spans="1:12" ht="12.75" customHeight="1" x14ac:dyDescent="0.2">
      <c r="A25" s="6"/>
      <c r="B25" s="6"/>
      <c r="C25" s="6"/>
      <c r="E25" s="86"/>
      <c r="F25" s="6"/>
      <c r="G25" s="96"/>
      <c r="L25" s="86"/>
    </row>
    <row r="26" spans="1:12" ht="12.75" customHeight="1" x14ac:dyDescent="0.2">
      <c r="A26" s="124" t="s">
        <v>60</v>
      </c>
      <c r="B26" s="124"/>
      <c r="C26" s="6"/>
      <c r="E26" s="6"/>
      <c r="F26" s="6"/>
      <c r="G26" s="96"/>
      <c r="H26" s="124" t="s">
        <v>60</v>
      </c>
      <c r="I26" s="124"/>
    </row>
    <row r="27" spans="1:12" ht="12.75" customHeight="1" x14ac:dyDescent="0.2">
      <c r="A27" s="125" t="s">
        <v>61</v>
      </c>
      <c r="B27" s="125"/>
      <c r="C27" s="6"/>
      <c r="E27" s="6"/>
      <c r="F27" s="6"/>
      <c r="G27" s="96"/>
      <c r="H27" s="125" t="s">
        <v>61</v>
      </c>
      <c r="I27" s="125"/>
    </row>
    <row r="28" spans="1:12" ht="12.75" customHeight="1" x14ac:dyDescent="0.2">
      <c r="A28" s="6"/>
      <c r="B28" s="6"/>
      <c r="C28" s="6"/>
      <c r="E28" s="6"/>
      <c r="F28" s="6"/>
      <c r="G28" s="96"/>
    </row>
    <row r="29" spans="1:12" ht="12.75" customHeight="1" x14ac:dyDescent="0.2">
      <c r="A29" s="109">
        <f t="shared" ref="A29" si="2">INT(ROW()/14)*2+1+(COLUMN()&gt;6)</f>
        <v>5</v>
      </c>
      <c r="B29" s="98"/>
      <c r="C29" s="98"/>
      <c r="D29" s="101"/>
      <c r="E29" s="98"/>
      <c r="F29" s="98"/>
      <c r="G29" s="99"/>
      <c r="H29" s="109">
        <f t="shared" ref="H29" si="3">INT(ROW()/14)*2+1+(COLUMN()&gt;6)</f>
        <v>6</v>
      </c>
      <c r="I29" s="98"/>
      <c r="J29" s="98"/>
      <c r="K29" s="101"/>
      <c r="L29" s="98"/>
    </row>
    <row r="30" spans="1:12" s="6" customFormat="1" ht="14.25" customHeight="1" x14ac:dyDescent="0.2">
      <c r="A30" s="126" t="s">
        <v>54</v>
      </c>
      <c r="B30" s="126"/>
      <c r="C30" s="126"/>
      <c r="D30" s="126"/>
      <c r="E30" s="126"/>
      <c r="F30" s="91"/>
      <c r="G30" s="93"/>
      <c r="H30" s="126" t="s">
        <v>54</v>
      </c>
      <c r="I30" s="126"/>
      <c r="J30" s="126"/>
      <c r="K30" s="126"/>
      <c r="L30" s="126"/>
    </row>
    <row r="31" spans="1:12" s="6" customFormat="1" ht="14.25" customHeight="1" x14ac:dyDescent="0.2">
      <c r="A31" s="127" t="str">
        <f ca="1">CONCATENATE("Карточка расшифровки зарплаты за ",'01.2012'!$AD$1)</f>
        <v>Карточка расшифровки зарплаты за 01.2012</v>
      </c>
      <c r="B31" s="127"/>
      <c r="C31" s="127"/>
      <c r="D31" s="127"/>
      <c r="E31" s="127"/>
      <c r="F31" s="91"/>
      <c r="G31" s="93"/>
      <c r="H31" s="127" t="str">
        <f ca="1">CONCATENATE("Карточка расшифровки зарплаты за ",'01.2012'!$AD$1)</f>
        <v>Карточка расшифровки зарплаты за 01.2012</v>
      </c>
      <c r="I31" s="127"/>
      <c r="J31" s="127"/>
      <c r="K31" s="127"/>
      <c r="L31" s="127"/>
    </row>
    <row r="32" spans="1:12" s="6" customFormat="1" ht="11.1" customHeight="1" x14ac:dyDescent="0.2">
      <c r="A32" s="85"/>
      <c r="B32" s="85"/>
      <c r="C32" s="85"/>
      <c r="D32" s="22"/>
      <c r="E32" s="85"/>
      <c r="F32" s="85"/>
      <c r="G32" s="94"/>
      <c r="H32" s="85"/>
      <c r="I32" s="85"/>
      <c r="J32" s="85"/>
      <c r="K32" s="22"/>
      <c r="L32" s="85"/>
    </row>
    <row r="33" spans="1:12" s="6" customFormat="1" ht="11.1" customHeight="1" x14ac:dyDescent="0.2">
      <c r="A33" s="128" t="str">
        <f>VLOOKUP(VLOOKUP(A29,'01.2012'!$C$2:$AC$28,2,0),'01.2012'!$D$2:$F$28,3,0)</f>
        <v>УПРАВЛЕНИЕ</v>
      </c>
      <c r="B33" s="128"/>
      <c r="C33" s="128"/>
      <c r="D33" s="128"/>
      <c r="E33" s="128"/>
      <c r="F33" s="85"/>
      <c r="G33" s="94"/>
      <c r="H33" s="128" t="str">
        <f>VLOOKUP(VLOOKUP(H29,'01.2012'!$C$2:$AC$28,2,0),'01.2012'!$D$2:$F$28,3,0)</f>
        <v>УПРАВЛЕНИЕ</v>
      </c>
      <c r="I33" s="128"/>
      <c r="J33" s="128"/>
      <c r="K33" s="128"/>
      <c r="L33" s="128"/>
    </row>
    <row r="34" spans="1:12" s="6" customFormat="1" ht="12.75" customHeight="1" x14ac:dyDescent="0.2">
      <c r="A34" s="129" t="s">
        <v>55</v>
      </c>
      <c r="B34" s="129"/>
      <c r="C34" s="130" t="str">
        <f>VLOOKUP(A29,'01.2012'!$C$2:$AC$28,4,0)</f>
        <v>Саидов Абдуманон</v>
      </c>
      <c r="D34" s="130"/>
      <c r="E34" s="130"/>
      <c r="F34" s="88"/>
      <c r="G34" s="95"/>
      <c r="H34" s="129" t="s">
        <v>55</v>
      </c>
      <c r="I34" s="129"/>
      <c r="J34" s="130" t="str">
        <f>VLOOKUP(H29,'01.2012'!$C$2:$AC$28,4,0)</f>
        <v>Давлатов Талиб</v>
      </c>
      <c r="K34" s="130"/>
      <c r="L34" s="130"/>
    </row>
    <row r="35" spans="1:12" s="6" customFormat="1" ht="18.75" customHeight="1" x14ac:dyDescent="0.2">
      <c r="A35" s="92" t="s">
        <v>36</v>
      </c>
      <c r="B35" s="131" t="str">
        <f>VLOOKUP(A29,'01.2012'!$C$2:$AC$28,5,0)</f>
        <v>советник</v>
      </c>
      <c r="C35" s="131"/>
      <c r="D35" s="131"/>
      <c r="E35" s="131"/>
      <c r="F35" s="88"/>
      <c r="G35" s="95"/>
      <c r="H35" s="92" t="s">
        <v>36</v>
      </c>
      <c r="I35" s="131" t="str">
        <f>VLOOKUP(H29,'01.2012'!$C$2:$AC$28,5,0)</f>
        <v>нач.штаба</v>
      </c>
      <c r="J35" s="131"/>
      <c r="K35" s="131"/>
      <c r="L35" s="131"/>
    </row>
    <row r="36" spans="1:12" ht="12.75" customHeight="1" x14ac:dyDescent="0.2">
      <c r="A36" s="132" t="s">
        <v>56</v>
      </c>
      <c r="B36" s="134" t="s">
        <v>57</v>
      </c>
      <c r="C36" s="136" t="s">
        <v>58</v>
      </c>
      <c r="D36" s="134" t="s">
        <v>59</v>
      </c>
      <c r="E36" s="139"/>
      <c r="F36" s="6"/>
      <c r="G36" s="96"/>
      <c r="H36" s="132" t="s">
        <v>56</v>
      </c>
      <c r="I36" s="134" t="s">
        <v>57</v>
      </c>
      <c r="J36" s="136" t="s">
        <v>58</v>
      </c>
      <c r="K36" s="134" t="s">
        <v>59</v>
      </c>
      <c r="L36" s="139"/>
    </row>
    <row r="37" spans="1:12" ht="13.5" customHeight="1" x14ac:dyDescent="0.2">
      <c r="A37" s="133"/>
      <c r="B37" s="135"/>
      <c r="C37" s="137"/>
      <c r="D37" s="138"/>
      <c r="E37" s="140"/>
      <c r="F37" s="87"/>
      <c r="G37" s="97"/>
      <c r="H37" s="133"/>
      <c r="I37" s="135"/>
      <c r="J37" s="137"/>
      <c r="K37" s="138"/>
      <c r="L37" s="140"/>
    </row>
    <row r="38" spans="1:12" ht="15" customHeight="1" x14ac:dyDescent="0.2">
      <c r="A38" s="100">
        <f>IF(VLOOKUP(A29,'01.2012'!$C$2:$AC$28,7,0)&lt;1,-VLOOKUP(A29,'01.2012'!$C$2:$AC$28,6,0),VLOOKUP(A29,'01.2012'!$C$2:$AC$28,7,0))</f>
        <v>0</v>
      </c>
      <c r="B38" s="89">
        <f>VLOOKUP(A29,'01.2012'!$C$2:$AC$28,14,0)</f>
        <v>98.67</v>
      </c>
      <c r="C38" s="90">
        <f>VLOOKUP(A29,'01.2012'!$C$2:$AC$28,22,0)</f>
        <v>4.6100000000000003</v>
      </c>
      <c r="D38" s="89">
        <f>VLOOKUP(A29,'01.2012'!$C$2:$AC$28,27,0)</f>
        <v>92.08</v>
      </c>
      <c r="E38" s="141"/>
      <c r="F38" s="6"/>
      <c r="G38" s="96"/>
      <c r="H38" s="100">
        <f>IF(VLOOKUP(H29,'01.2012'!$C$2:$AC$28,7,0)&lt;1,-VLOOKUP(H29,'01.2012'!$C$2:$AC$28,6,0),VLOOKUP(H29,'01.2012'!$C$2:$AC$28,7,0))</f>
        <v>0</v>
      </c>
      <c r="I38" s="89">
        <f>VLOOKUP(H29,'01.2012'!$C$2:$AC$28,14,0)</f>
        <v>104</v>
      </c>
      <c r="J38" s="90">
        <f>VLOOKUP(H29,'01.2012'!$C$2:$AC$28,22,0)</f>
        <v>5.18</v>
      </c>
      <c r="K38" s="89">
        <f>VLOOKUP(H29,'01.2012'!$C$2:$AC$28,27,0)</f>
        <v>96.74</v>
      </c>
      <c r="L38" s="141"/>
    </row>
    <row r="39" spans="1:12" ht="12.75" customHeight="1" x14ac:dyDescent="0.2">
      <c r="A39" s="6"/>
      <c r="B39" s="6"/>
      <c r="C39" s="6"/>
      <c r="E39" s="86"/>
      <c r="F39" s="6"/>
      <c r="G39" s="96"/>
      <c r="L39" s="86"/>
    </row>
    <row r="40" spans="1:12" ht="12.75" customHeight="1" x14ac:dyDescent="0.2">
      <c r="A40" s="124" t="s">
        <v>60</v>
      </c>
      <c r="B40" s="124"/>
      <c r="C40" s="6"/>
      <c r="E40" s="6"/>
      <c r="F40" s="6"/>
      <c r="G40" s="96"/>
      <c r="H40" s="124" t="s">
        <v>60</v>
      </c>
      <c r="I40" s="124"/>
    </row>
    <row r="41" spans="1:12" ht="12.75" customHeight="1" x14ac:dyDescent="0.2">
      <c r="A41" s="125" t="s">
        <v>61</v>
      </c>
      <c r="B41" s="125"/>
      <c r="C41" s="6"/>
      <c r="E41" s="6"/>
      <c r="F41" s="6"/>
      <c r="G41" s="96"/>
      <c r="H41" s="125" t="s">
        <v>61</v>
      </c>
      <c r="I41" s="125"/>
    </row>
    <row r="42" spans="1:12" x14ac:dyDescent="0.2">
      <c r="A42" s="6"/>
      <c r="B42" s="6"/>
      <c r="C42" s="6"/>
      <c r="E42" s="6"/>
      <c r="F42" s="6"/>
      <c r="G42" s="96"/>
    </row>
    <row r="43" spans="1:12" x14ac:dyDescent="0.2">
      <c r="A43" s="109">
        <f t="shared" ref="A43" si="4">INT(ROW()/14)*2+1+(COLUMN()&gt;6)</f>
        <v>7</v>
      </c>
      <c r="B43" s="98"/>
      <c r="C43" s="98"/>
      <c r="D43" s="101"/>
      <c r="E43" s="98"/>
      <c r="F43" s="98"/>
      <c r="G43" s="99"/>
      <c r="H43" s="109">
        <f t="shared" ref="H43" si="5">INT(ROW()/14)*2+1+(COLUMN()&gt;6)</f>
        <v>8</v>
      </c>
      <c r="I43" s="98"/>
      <c r="J43" s="98"/>
      <c r="K43" s="101"/>
      <c r="L43" s="98"/>
    </row>
    <row r="44" spans="1:12" s="6" customFormat="1" ht="14.25" x14ac:dyDescent="0.2">
      <c r="A44" s="126" t="s">
        <v>54</v>
      </c>
      <c r="B44" s="126"/>
      <c r="C44" s="126"/>
      <c r="D44" s="126"/>
      <c r="E44" s="126"/>
      <c r="F44" s="91"/>
      <c r="G44" s="93"/>
      <c r="H44" s="126" t="s">
        <v>54</v>
      </c>
      <c r="I44" s="126"/>
      <c r="J44" s="126"/>
      <c r="K44" s="126"/>
      <c r="L44" s="126"/>
    </row>
    <row r="45" spans="1:12" s="6" customFormat="1" ht="14.25" x14ac:dyDescent="0.2">
      <c r="A45" s="127" t="str">
        <f ca="1">CONCATENATE("Карточка расшифровки зарплаты за ",'01.2012'!$AD$1)</f>
        <v>Карточка расшифровки зарплаты за 01.2012</v>
      </c>
      <c r="B45" s="127"/>
      <c r="C45" s="127"/>
      <c r="D45" s="127"/>
      <c r="E45" s="127"/>
      <c r="F45" s="91"/>
      <c r="G45" s="93"/>
      <c r="H45" s="127" t="str">
        <f ca="1">CONCATENATE("Карточка расшифровки зарплаты за ",'01.2012'!$AD$1)</f>
        <v>Карточка расшифровки зарплаты за 01.2012</v>
      </c>
      <c r="I45" s="127"/>
      <c r="J45" s="127"/>
      <c r="K45" s="127"/>
      <c r="L45" s="127"/>
    </row>
    <row r="46" spans="1:12" s="6" customFormat="1" ht="11.1" customHeight="1" x14ac:dyDescent="0.2">
      <c r="A46" s="85"/>
      <c r="B46" s="85"/>
      <c r="C46" s="85"/>
      <c r="D46" s="22"/>
      <c r="E46" s="85"/>
      <c r="F46" s="85"/>
      <c r="G46" s="94"/>
      <c r="H46" s="85"/>
      <c r="I46" s="85"/>
      <c r="J46" s="85"/>
      <c r="K46" s="22"/>
      <c r="L46" s="85"/>
    </row>
    <row r="47" spans="1:12" s="6" customFormat="1" ht="11.1" customHeight="1" x14ac:dyDescent="0.2">
      <c r="A47" s="128" t="str">
        <f>VLOOKUP(VLOOKUP(A43,'01.2012'!$C$2:$AC$28,2,0),'01.2012'!$D$2:$F$28,3,0)</f>
        <v>УПРАВЛЕНИЕ</v>
      </c>
      <c r="B47" s="128"/>
      <c r="C47" s="128"/>
      <c r="D47" s="128"/>
      <c r="E47" s="128"/>
      <c r="F47" s="85"/>
      <c r="G47" s="94"/>
      <c r="H47" s="128" t="str">
        <f>VLOOKUP(VLOOKUP(H43,'01.2012'!$C$2:$AC$28,2,0),'01.2012'!$D$2:$F$28,3,0)</f>
        <v>УПРАВЛЕНИЕ</v>
      </c>
      <c r="I47" s="128"/>
      <c r="J47" s="128"/>
      <c r="K47" s="128"/>
      <c r="L47" s="128"/>
    </row>
    <row r="48" spans="1:12" s="6" customFormat="1" x14ac:dyDescent="0.2">
      <c r="A48" s="129" t="s">
        <v>55</v>
      </c>
      <c r="B48" s="129"/>
      <c r="C48" s="130" t="str">
        <f>VLOOKUP(A43,'01.2012'!$C$2:$AC$28,4,0)</f>
        <v>Матинов Холиддин</v>
      </c>
      <c r="D48" s="130"/>
      <c r="E48" s="130"/>
      <c r="F48" s="88"/>
      <c r="G48" s="95"/>
      <c r="H48" s="129" t="s">
        <v>55</v>
      </c>
      <c r="I48" s="129"/>
      <c r="J48" s="130" t="str">
        <f>VLOOKUP(H43,'01.2012'!$C$2:$AC$28,4,0)</f>
        <v>Наботов Насим</v>
      </c>
      <c r="K48" s="130"/>
      <c r="L48" s="130"/>
    </row>
    <row r="49" spans="1:12" s="6" customFormat="1" ht="18.75" customHeight="1" x14ac:dyDescent="0.2">
      <c r="A49" s="92" t="s">
        <v>36</v>
      </c>
      <c r="B49" s="131" t="str">
        <f>VLOOKUP(A43,'01.2012'!$C$2:$AC$28,5,0)</f>
        <v>пред.молод.</v>
      </c>
      <c r="C49" s="131"/>
      <c r="D49" s="131"/>
      <c r="E49" s="131"/>
      <c r="F49" s="88"/>
      <c r="G49" s="95"/>
      <c r="H49" s="92" t="s">
        <v>36</v>
      </c>
      <c r="I49" s="131" t="str">
        <f>VLOOKUP(H43,'01.2012'!$C$2:$AC$28,5,0)</f>
        <v>секретарь</v>
      </c>
      <c r="J49" s="131"/>
      <c r="K49" s="131"/>
      <c r="L49" s="131"/>
    </row>
    <row r="50" spans="1:12" ht="12.75" customHeight="1" x14ac:dyDescent="0.2">
      <c r="A50" s="132" t="s">
        <v>56</v>
      </c>
      <c r="B50" s="134" t="s">
        <v>57</v>
      </c>
      <c r="C50" s="136" t="s">
        <v>58</v>
      </c>
      <c r="D50" s="134" t="s">
        <v>59</v>
      </c>
      <c r="E50" s="139"/>
      <c r="F50" s="6"/>
      <c r="G50" s="96"/>
      <c r="H50" s="132" t="s">
        <v>56</v>
      </c>
      <c r="I50" s="134" t="s">
        <v>57</v>
      </c>
      <c r="J50" s="136" t="s">
        <v>58</v>
      </c>
      <c r="K50" s="134" t="s">
        <v>59</v>
      </c>
      <c r="L50" s="139"/>
    </row>
    <row r="51" spans="1:12" ht="13.5" x14ac:dyDescent="0.2">
      <c r="A51" s="133"/>
      <c r="B51" s="135"/>
      <c r="C51" s="137"/>
      <c r="D51" s="138"/>
      <c r="E51" s="140"/>
      <c r="F51" s="87"/>
      <c r="G51" s="97"/>
      <c r="H51" s="133"/>
      <c r="I51" s="135"/>
      <c r="J51" s="137"/>
      <c r="K51" s="138"/>
      <c r="L51" s="140"/>
    </row>
    <row r="52" spans="1:12" ht="15" customHeight="1" x14ac:dyDescent="0.2">
      <c r="A52" s="100">
        <f>IF(VLOOKUP(A43,'01.2012'!$C$2:$AC$28,7,0)&lt;1,-VLOOKUP(A43,'01.2012'!$C$2:$AC$28,6,0),VLOOKUP(A43,'01.2012'!$C$2:$AC$28,7,0))</f>
        <v>0</v>
      </c>
      <c r="B52" s="89">
        <f>VLOOKUP(A43,'01.2012'!$C$2:$AC$28,14,0)</f>
        <v>79</v>
      </c>
      <c r="C52" s="90">
        <f>VLOOKUP(A43,'01.2012'!$C$2:$AC$28,22,0)</f>
        <v>3.06</v>
      </c>
      <c r="D52" s="89">
        <f>VLOOKUP(A43,'01.2012'!$C$2:$AC$28,27,0)</f>
        <v>74.36</v>
      </c>
      <c r="E52" s="141"/>
      <c r="F52" s="6"/>
      <c r="G52" s="96"/>
      <c r="H52" s="100">
        <f>IF(VLOOKUP(H43,'01.2012'!$C$2:$AC$28,7,0)&lt;1,-VLOOKUP(H43,'01.2012'!$C$2:$AC$28,6,0),VLOOKUP(H43,'01.2012'!$C$2:$AC$28,7,0))</f>
        <v>0</v>
      </c>
      <c r="I52" s="89">
        <f>VLOOKUP(H43,'01.2012'!$C$2:$AC$28,14,0)</f>
        <v>104</v>
      </c>
      <c r="J52" s="90">
        <f>VLOOKUP(H43,'01.2012'!$C$2:$AC$28,22,0)</f>
        <v>5.18</v>
      </c>
      <c r="K52" s="89">
        <f>VLOOKUP(H43,'01.2012'!$C$2:$AC$28,27,0)</f>
        <v>96.74</v>
      </c>
      <c r="L52" s="141"/>
    </row>
    <row r="53" spans="1:12" x14ac:dyDescent="0.2">
      <c r="A53" s="6"/>
      <c r="B53" s="6"/>
      <c r="C53" s="6"/>
      <c r="E53" s="86"/>
      <c r="F53" s="6"/>
      <c r="G53" s="96"/>
      <c r="L53" s="86"/>
    </row>
    <row r="54" spans="1:12" x14ac:dyDescent="0.2">
      <c r="A54" s="124" t="s">
        <v>60</v>
      </c>
      <c r="B54" s="124"/>
      <c r="C54" s="6"/>
      <c r="E54" s="6"/>
      <c r="F54" s="6"/>
      <c r="G54" s="96"/>
      <c r="H54" s="124" t="s">
        <v>60</v>
      </c>
      <c r="I54" s="124"/>
    </row>
    <row r="55" spans="1:12" x14ac:dyDescent="0.2">
      <c r="A55" s="125" t="s">
        <v>61</v>
      </c>
      <c r="B55" s="125"/>
      <c r="C55" s="6"/>
      <c r="E55" s="6"/>
      <c r="F55" s="6"/>
      <c r="G55" s="96"/>
      <c r="H55" s="125" t="s">
        <v>61</v>
      </c>
      <c r="I55" s="125"/>
    </row>
    <row r="56" spans="1:12" x14ac:dyDescent="0.2">
      <c r="A56" s="6"/>
      <c r="B56" s="6"/>
      <c r="C56" s="6"/>
      <c r="E56" s="6"/>
      <c r="F56" s="6"/>
      <c r="G56" s="96"/>
    </row>
    <row r="57" spans="1:12" x14ac:dyDescent="0.2">
      <c r="A57" s="109">
        <f t="shared" ref="A57" si="6">INT(ROW()/14)*2+1+(COLUMN()&gt;6)</f>
        <v>9</v>
      </c>
      <c r="B57" s="98"/>
      <c r="C57" s="98"/>
      <c r="D57" s="101"/>
      <c r="E57" s="98"/>
      <c r="F57" s="98"/>
      <c r="G57" s="99"/>
      <c r="H57" s="109">
        <f t="shared" ref="H57" si="7">INT(ROW()/14)*2+1+(COLUMN()&gt;6)</f>
        <v>10</v>
      </c>
      <c r="I57" s="98"/>
      <c r="J57" s="98"/>
      <c r="K57" s="101"/>
      <c r="L57" s="98"/>
    </row>
    <row r="58" spans="1:12" s="6" customFormat="1" ht="14.25" x14ac:dyDescent="0.2">
      <c r="A58" s="126" t="s">
        <v>54</v>
      </c>
      <c r="B58" s="126"/>
      <c r="C58" s="126"/>
      <c r="D58" s="126"/>
      <c r="E58" s="126"/>
      <c r="F58" s="91"/>
      <c r="G58" s="93"/>
      <c r="H58" s="126" t="s">
        <v>54</v>
      </c>
      <c r="I58" s="126"/>
      <c r="J58" s="126"/>
      <c r="K58" s="126"/>
      <c r="L58" s="126"/>
    </row>
    <row r="59" spans="1:12" s="6" customFormat="1" ht="14.25" x14ac:dyDescent="0.2">
      <c r="A59" s="127" t="str">
        <f ca="1">CONCATENATE("Карточка расшифровки зарплаты за ",'01.2012'!$AD$1)</f>
        <v>Карточка расшифровки зарплаты за 01.2012</v>
      </c>
      <c r="B59" s="127"/>
      <c r="C59" s="127"/>
      <c r="D59" s="127"/>
      <c r="E59" s="127"/>
      <c r="F59" s="91"/>
      <c r="G59" s="93"/>
      <c r="H59" s="127" t="str">
        <f ca="1">CONCATENATE("Карточка расшифровки зарплаты за ",'01.2012'!$AD$1)</f>
        <v>Карточка расшифровки зарплаты за 01.2012</v>
      </c>
      <c r="I59" s="127"/>
      <c r="J59" s="127"/>
      <c r="K59" s="127"/>
      <c r="L59" s="127"/>
    </row>
    <row r="60" spans="1:12" s="6" customFormat="1" ht="11.1" customHeight="1" x14ac:dyDescent="0.2">
      <c r="A60" s="85"/>
      <c r="B60" s="85"/>
      <c r="C60" s="85"/>
      <c r="D60" s="22"/>
      <c r="E60" s="85"/>
      <c r="F60" s="85"/>
      <c r="G60" s="94"/>
      <c r="H60" s="85"/>
      <c r="I60" s="85"/>
      <c r="J60" s="85"/>
      <c r="K60" s="22"/>
      <c r="L60" s="85"/>
    </row>
    <row r="61" spans="1:12" s="6" customFormat="1" ht="11.1" customHeight="1" x14ac:dyDescent="0.2">
      <c r="A61" s="128" t="str">
        <f>VLOOKUP(VLOOKUP(A57,'01.2012'!$C$2:$AC$28,2,0),'01.2012'!$D$2:$F$28,3,0)</f>
        <v>УПРАВЛЕНИЕ</v>
      </c>
      <c r="B61" s="128"/>
      <c r="C61" s="128"/>
      <c r="D61" s="128"/>
      <c r="E61" s="128"/>
      <c r="F61" s="85"/>
      <c r="G61" s="94"/>
      <c r="H61" s="128" t="str">
        <f>VLOOKUP(VLOOKUP(H57,'01.2012'!$C$2:$AC$28,2,0),'01.2012'!$D$2:$F$28,3,0)</f>
        <v>УПРАВЛЕНИЕ</v>
      </c>
      <c r="I61" s="128"/>
      <c r="J61" s="128"/>
      <c r="K61" s="128"/>
      <c r="L61" s="128"/>
    </row>
    <row r="62" spans="1:12" s="6" customFormat="1" x14ac:dyDescent="0.2">
      <c r="A62" s="129" t="s">
        <v>55</v>
      </c>
      <c r="B62" s="129"/>
      <c r="C62" s="130" t="str">
        <f>VLOOKUP(A57,'01.2012'!$C$2:$AC$28,4,0)</f>
        <v>Нуриддинов А</v>
      </c>
      <c r="D62" s="130"/>
      <c r="E62" s="130"/>
      <c r="F62" s="88"/>
      <c r="G62" s="95"/>
      <c r="H62" s="129" t="s">
        <v>55</v>
      </c>
      <c r="I62" s="129"/>
      <c r="J62" s="130" t="str">
        <f>VLOOKUP(H57,'01.2012'!$C$2:$AC$28,4,0)</f>
        <v>Солехов Файзулло</v>
      </c>
      <c r="K62" s="130"/>
      <c r="L62" s="130"/>
    </row>
    <row r="63" spans="1:12" s="6" customFormat="1" ht="18.75" customHeight="1" x14ac:dyDescent="0.2">
      <c r="A63" s="92" t="s">
        <v>36</v>
      </c>
      <c r="B63" s="131" t="str">
        <f>VLOOKUP(A57,'01.2012'!$C$2:$AC$28,5,0)</f>
        <v>секретарь</v>
      </c>
      <c r="C63" s="131"/>
      <c r="D63" s="131"/>
      <c r="E63" s="131"/>
      <c r="F63" s="88"/>
      <c r="G63" s="95"/>
      <c r="H63" s="92" t="s">
        <v>36</v>
      </c>
      <c r="I63" s="131" t="str">
        <f>VLOOKUP(H57,'01.2012'!$C$2:$AC$28,5,0)</f>
        <v>помощник</v>
      </c>
      <c r="J63" s="131"/>
      <c r="K63" s="131"/>
      <c r="L63" s="131"/>
    </row>
    <row r="64" spans="1:12" ht="12.75" customHeight="1" x14ac:dyDescent="0.2">
      <c r="A64" s="132" t="s">
        <v>56</v>
      </c>
      <c r="B64" s="134" t="s">
        <v>57</v>
      </c>
      <c r="C64" s="136" t="s">
        <v>58</v>
      </c>
      <c r="D64" s="134" t="s">
        <v>59</v>
      </c>
      <c r="E64" s="139"/>
      <c r="F64" s="6"/>
      <c r="G64" s="96"/>
      <c r="H64" s="132" t="s">
        <v>56</v>
      </c>
      <c r="I64" s="134" t="s">
        <v>57</v>
      </c>
      <c r="J64" s="136" t="s">
        <v>58</v>
      </c>
      <c r="K64" s="134" t="s">
        <v>59</v>
      </c>
      <c r="L64" s="139"/>
    </row>
    <row r="65" spans="1:12" ht="13.5" x14ac:dyDescent="0.2">
      <c r="A65" s="133"/>
      <c r="B65" s="135"/>
      <c r="C65" s="137"/>
      <c r="D65" s="138"/>
      <c r="E65" s="140"/>
      <c r="F65" s="87"/>
      <c r="G65" s="97"/>
      <c r="H65" s="133"/>
      <c r="I65" s="135"/>
      <c r="J65" s="137"/>
      <c r="K65" s="138"/>
      <c r="L65" s="140"/>
    </row>
    <row r="66" spans="1:12" ht="15" customHeight="1" x14ac:dyDescent="0.2">
      <c r="A66" s="100">
        <f>IF(VLOOKUP(A57,'01.2012'!$C$2:$AC$28,7,0)&lt;1,-VLOOKUP(A57,'01.2012'!$C$2:$AC$28,6,0),VLOOKUP(A57,'01.2012'!$C$2:$AC$28,7,0))</f>
        <v>0</v>
      </c>
      <c r="B66" s="89">
        <f>VLOOKUP(A57,'01.2012'!$C$2:$AC$28,14,0)</f>
        <v>104</v>
      </c>
      <c r="C66" s="90">
        <f>VLOOKUP(A57,'01.2012'!$C$2:$AC$28,22,0)</f>
        <v>5.18</v>
      </c>
      <c r="D66" s="89">
        <f>VLOOKUP(A57,'01.2012'!$C$2:$AC$28,27,0)</f>
        <v>96.74</v>
      </c>
      <c r="E66" s="141"/>
      <c r="F66" s="6"/>
      <c r="G66" s="96"/>
      <c r="H66" s="100">
        <f>IF(VLOOKUP(H57,'01.2012'!$C$2:$AC$28,7,0)&lt;1,-VLOOKUP(H57,'01.2012'!$C$2:$AC$28,6,0),VLOOKUP(H57,'01.2012'!$C$2:$AC$28,7,0))</f>
        <v>0</v>
      </c>
      <c r="I66" s="89">
        <f>VLOOKUP(H57,'01.2012'!$C$2:$AC$28,14,0)</f>
        <v>131.1</v>
      </c>
      <c r="J66" s="90">
        <f>VLOOKUP(H57,'01.2012'!$C$2:$AC$28,22,0)</f>
        <v>8.67</v>
      </c>
      <c r="K66" s="89">
        <f>VLOOKUP(H57,'01.2012'!$C$2:$AC$28,27,0)</f>
        <v>119.81</v>
      </c>
      <c r="L66" s="141"/>
    </row>
    <row r="67" spans="1:12" x14ac:dyDescent="0.2">
      <c r="A67" s="6"/>
      <c r="B67" s="6"/>
      <c r="C67" s="6"/>
      <c r="E67" s="86"/>
      <c r="F67" s="6"/>
      <c r="G67" s="96"/>
      <c r="L67" s="86"/>
    </row>
    <row r="68" spans="1:12" x14ac:dyDescent="0.2">
      <c r="A68" s="124" t="s">
        <v>60</v>
      </c>
      <c r="B68" s="124"/>
      <c r="C68" s="6"/>
      <c r="E68" s="6"/>
      <c r="F68" s="6"/>
      <c r="G68" s="96"/>
      <c r="H68" s="124" t="s">
        <v>60</v>
      </c>
      <c r="I68" s="124"/>
    </row>
    <row r="69" spans="1:12" x14ac:dyDescent="0.2">
      <c r="A69" s="125" t="s">
        <v>61</v>
      </c>
      <c r="B69" s="125"/>
      <c r="C69" s="6"/>
      <c r="E69" s="6"/>
      <c r="F69" s="6"/>
      <c r="G69" s="96"/>
      <c r="H69" s="125" t="s">
        <v>61</v>
      </c>
      <c r="I69" s="125"/>
    </row>
    <row r="70" spans="1:12" x14ac:dyDescent="0.2">
      <c r="A70" s="6"/>
      <c r="B70" s="6"/>
      <c r="C70" s="6"/>
      <c r="E70" s="6"/>
      <c r="F70" s="6"/>
      <c r="G70" s="96"/>
    </row>
    <row r="71" spans="1:12" x14ac:dyDescent="0.2">
      <c r="A71" s="109">
        <f t="shared" ref="A71" si="8">INT(ROW()/14)*2+1+(COLUMN()&gt;6)</f>
        <v>11</v>
      </c>
      <c r="B71" s="98"/>
      <c r="C71" s="98"/>
      <c r="D71" s="101"/>
      <c r="E71" s="98"/>
      <c r="F71" s="98"/>
      <c r="G71" s="99"/>
      <c r="H71" s="109">
        <f t="shared" ref="H71" si="9">INT(ROW()/14)*2+1+(COLUMN()&gt;6)</f>
        <v>12</v>
      </c>
      <c r="I71" s="98"/>
      <c r="J71" s="98"/>
      <c r="K71" s="101"/>
      <c r="L71" s="98"/>
    </row>
    <row r="72" spans="1:12" s="6" customFormat="1" ht="14.25" x14ac:dyDescent="0.2">
      <c r="A72" s="126" t="s">
        <v>54</v>
      </c>
      <c r="B72" s="126"/>
      <c r="C72" s="126"/>
      <c r="D72" s="126"/>
      <c r="E72" s="126"/>
      <c r="F72" s="91"/>
      <c r="G72" s="93"/>
      <c r="H72" s="126" t="s">
        <v>54</v>
      </c>
      <c r="I72" s="126"/>
      <c r="J72" s="126"/>
      <c r="K72" s="126"/>
      <c r="L72" s="126"/>
    </row>
    <row r="73" spans="1:12" s="6" customFormat="1" ht="14.25" x14ac:dyDescent="0.2">
      <c r="A73" s="127" t="str">
        <f ca="1">CONCATENATE("Карточка расшифровки зарплаты за ",'01.2012'!$AD$1)</f>
        <v>Карточка расшифровки зарплаты за 01.2012</v>
      </c>
      <c r="B73" s="127"/>
      <c r="C73" s="127"/>
      <c r="D73" s="127"/>
      <c r="E73" s="127"/>
      <c r="F73" s="91"/>
      <c r="G73" s="93"/>
      <c r="H73" s="127" t="str">
        <f ca="1">CONCATENATE("Карточка расшифровки зарплаты за ",'01.2012'!$AD$1)</f>
        <v>Карточка расшифровки зарплаты за 01.2012</v>
      </c>
      <c r="I73" s="127"/>
      <c r="J73" s="127"/>
      <c r="K73" s="127"/>
      <c r="L73" s="127"/>
    </row>
    <row r="74" spans="1:12" s="6" customFormat="1" ht="11.1" customHeight="1" x14ac:dyDescent="0.2">
      <c r="A74" s="85"/>
      <c r="B74" s="85"/>
      <c r="C74" s="85"/>
      <c r="D74" s="22"/>
      <c r="E74" s="85"/>
      <c r="F74" s="85"/>
      <c r="G74" s="94"/>
      <c r="H74" s="85"/>
      <c r="I74" s="85"/>
      <c r="J74" s="85"/>
      <c r="K74" s="22"/>
      <c r="L74" s="85"/>
    </row>
    <row r="75" spans="1:12" s="6" customFormat="1" ht="11.1" customHeight="1" x14ac:dyDescent="0.2">
      <c r="A75" s="128" t="str">
        <f>VLOOKUP(VLOOKUP(A71,'01.2012'!$C$2:$AC$28,2,0),'01.2012'!$D$2:$F$28,3,0)</f>
        <v>УПРАВЛЕНИЕ</v>
      </c>
      <c r="B75" s="128"/>
      <c r="C75" s="128"/>
      <c r="D75" s="128"/>
      <c r="E75" s="128"/>
      <c r="F75" s="85"/>
      <c r="G75" s="94"/>
      <c r="H75" s="128" t="str">
        <f>VLOOKUP(VLOOKUP(H71,'01.2012'!$C$2:$AC$28,2,0),'01.2012'!$D$2:$F$28,3,0)</f>
        <v>ОТДЕЛ КАДРОВ</v>
      </c>
      <c r="I75" s="128"/>
      <c r="J75" s="128"/>
      <c r="K75" s="128"/>
      <c r="L75" s="128"/>
    </row>
    <row r="76" spans="1:12" s="6" customFormat="1" x14ac:dyDescent="0.2">
      <c r="A76" s="129" t="s">
        <v>55</v>
      </c>
      <c r="B76" s="129"/>
      <c r="C76" s="130" t="str">
        <f>VLOOKUP(A71,'01.2012'!$C$2:$AC$28,4,0)</f>
        <v>Зиёев Идибек</v>
      </c>
      <c r="D76" s="130"/>
      <c r="E76" s="130"/>
      <c r="F76" s="88"/>
      <c r="G76" s="95"/>
      <c r="H76" s="129" t="s">
        <v>55</v>
      </c>
      <c r="I76" s="129"/>
      <c r="J76" s="130" t="str">
        <f>VLOOKUP(H71,'01.2012'!$C$2:$AC$28,4,0)</f>
        <v>Бободжонова Нарзия</v>
      </c>
      <c r="K76" s="130"/>
      <c r="L76" s="130"/>
    </row>
    <row r="77" spans="1:12" s="6" customFormat="1" ht="18.75" customHeight="1" x14ac:dyDescent="0.2">
      <c r="A77" s="92" t="s">
        <v>36</v>
      </c>
      <c r="B77" s="131" t="str">
        <f>VLOOKUP(A71,'01.2012'!$C$2:$AC$28,5,0)</f>
        <v>помощник</v>
      </c>
      <c r="C77" s="131"/>
      <c r="D77" s="131"/>
      <c r="E77" s="131"/>
      <c r="F77" s="88"/>
      <c r="G77" s="95"/>
      <c r="H77" s="92" t="s">
        <v>36</v>
      </c>
      <c r="I77" s="131" t="str">
        <f>VLOOKUP(H71,'01.2012'!$C$2:$AC$28,5,0)</f>
        <v>начальник</v>
      </c>
      <c r="J77" s="131"/>
      <c r="K77" s="131"/>
      <c r="L77" s="131"/>
    </row>
    <row r="78" spans="1:12" ht="12.75" customHeight="1" x14ac:dyDescent="0.2">
      <c r="A78" s="132" t="s">
        <v>56</v>
      </c>
      <c r="B78" s="134" t="s">
        <v>57</v>
      </c>
      <c r="C78" s="136" t="s">
        <v>58</v>
      </c>
      <c r="D78" s="134" t="s">
        <v>59</v>
      </c>
      <c r="E78" s="139"/>
      <c r="F78" s="6"/>
      <c r="G78" s="96"/>
      <c r="H78" s="132" t="s">
        <v>56</v>
      </c>
      <c r="I78" s="134" t="s">
        <v>57</v>
      </c>
      <c r="J78" s="136" t="s">
        <v>58</v>
      </c>
      <c r="K78" s="134" t="s">
        <v>59</v>
      </c>
      <c r="L78" s="139"/>
    </row>
    <row r="79" spans="1:12" ht="13.5" x14ac:dyDescent="0.2">
      <c r="A79" s="133"/>
      <c r="B79" s="135"/>
      <c r="C79" s="137"/>
      <c r="D79" s="138"/>
      <c r="E79" s="140"/>
      <c r="F79" s="87"/>
      <c r="G79" s="97"/>
      <c r="H79" s="133"/>
      <c r="I79" s="135"/>
      <c r="J79" s="137"/>
      <c r="K79" s="138"/>
      <c r="L79" s="140"/>
    </row>
    <row r="80" spans="1:12" ht="15" customHeight="1" x14ac:dyDescent="0.2">
      <c r="A80" s="100">
        <f>IF(VLOOKUP(A71,'01.2012'!$C$2:$AC$28,7,0)&lt;1,-VLOOKUP(A71,'01.2012'!$C$2:$AC$28,6,0),VLOOKUP(A71,'01.2012'!$C$2:$AC$28,7,0))</f>
        <v>0</v>
      </c>
      <c r="B80" s="89">
        <f>VLOOKUP(A71,'01.2012'!$C$2:$AC$28,14,0)</f>
        <v>197.4</v>
      </c>
      <c r="C80" s="90">
        <f>VLOOKUP(A71,'01.2012'!$C$2:$AC$28,22,0)</f>
        <v>17.21</v>
      </c>
      <c r="D80" s="89">
        <f>VLOOKUP(A71,'01.2012'!$C$2:$AC$28,27,0)</f>
        <v>176.25</v>
      </c>
      <c r="E80" s="141"/>
      <c r="F80" s="6"/>
      <c r="G80" s="96"/>
      <c r="H80" s="100">
        <f>IF(VLOOKUP(H71,'01.2012'!$C$2:$AC$28,7,0)&lt;1,-VLOOKUP(H71,'01.2012'!$C$2:$AC$28,6,0),VLOOKUP(H71,'01.2012'!$C$2:$AC$28,7,0))</f>
        <v>0</v>
      </c>
      <c r="I80" s="89">
        <f>VLOOKUP(H71,'01.2012'!$C$2:$AC$28,14,0)</f>
        <v>131.05000000000001</v>
      </c>
      <c r="J80" s="90">
        <f>VLOOKUP(H71,'01.2012'!$C$2:$AC$28,22,0)</f>
        <v>8.67</v>
      </c>
      <c r="K80" s="89">
        <f>VLOOKUP(H71,'01.2012'!$C$2:$AC$28,27,0)</f>
        <v>119.76</v>
      </c>
      <c r="L80" s="141"/>
    </row>
    <row r="81" spans="1:12" x14ac:dyDescent="0.2">
      <c r="A81" s="6"/>
      <c r="B81" s="6"/>
      <c r="C81" s="6"/>
      <c r="E81" s="86"/>
      <c r="F81" s="6"/>
      <c r="G81" s="96"/>
      <c r="L81" s="86"/>
    </row>
    <row r="82" spans="1:12" x14ac:dyDescent="0.2">
      <c r="A82" s="124" t="s">
        <v>60</v>
      </c>
      <c r="B82" s="124"/>
      <c r="C82" s="6"/>
      <c r="E82" s="6"/>
      <c r="F82" s="6"/>
      <c r="G82" s="96"/>
      <c r="H82" s="124" t="s">
        <v>60</v>
      </c>
      <c r="I82" s="124"/>
    </row>
    <row r="83" spans="1:12" x14ac:dyDescent="0.2">
      <c r="A83" s="125" t="s">
        <v>61</v>
      </c>
      <c r="B83" s="125"/>
      <c r="C83" s="6"/>
      <c r="E83" s="6"/>
      <c r="F83" s="6"/>
      <c r="G83" s="96"/>
      <c r="H83" s="125" t="s">
        <v>61</v>
      </c>
      <c r="I83" s="125"/>
    </row>
    <row r="84" spans="1:12" x14ac:dyDescent="0.2">
      <c r="A84" s="6"/>
      <c r="B84" s="6"/>
      <c r="C84" s="6"/>
      <c r="E84" s="6"/>
      <c r="F84" s="6"/>
      <c r="G84" s="96"/>
    </row>
    <row r="85" spans="1:12" x14ac:dyDescent="0.2">
      <c r="A85" s="109">
        <f t="shared" ref="A85" si="10">INT(ROW()/14)*2+1+(COLUMN()&gt;6)</f>
        <v>13</v>
      </c>
      <c r="B85" s="98"/>
      <c r="C85" s="98"/>
      <c r="D85" s="101"/>
      <c r="E85" s="98"/>
      <c r="F85" s="98"/>
      <c r="G85" s="99"/>
      <c r="H85" s="109">
        <f t="shared" ref="H85" si="11">INT(ROW()/14)*2+1+(COLUMN()&gt;6)</f>
        <v>14</v>
      </c>
      <c r="I85" s="98"/>
      <c r="J85" s="98"/>
      <c r="K85" s="101"/>
      <c r="L85" s="98"/>
    </row>
    <row r="86" spans="1:12" s="6" customFormat="1" ht="14.25" x14ac:dyDescent="0.2">
      <c r="A86" s="126" t="s">
        <v>54</v>
      </c>
      <c r="B86" s="126"/>
      <c r="C86" s="126"/>
      <c r="D86" s="126"/>
      <c r="E86" s="126"/>
      <c r="F86" s="91"/>
      <c r="G86" s="93"/>
      <c r="H86" s="126" t="s">
        <v>54</v>
      </c>
      <c r="I86" s="126"/>
      <c r="J86" s="126"/>
      <c r="K86" s="126"/>
      <c r="L86" s="126"/>
    </row>
    <row r="87" spans="1:12" s="6" customFormat="1" ht="14.25" x14ac:dyDescent="0.2">
      <c r="A87" s="127" t="str">
        <f ca="1">CONCATENATE("Карточка расшифровки зарплаты за ",'01.2012'!$AD$1)</f>
        <v>Карточка расшифровки зарплаты за 01.2012</v>
      </c>
      <c r="B87" s="127"/>
      <c r="C87" s="127"/>
      <c r="D87" s="127"/>
      <c r="E87" s="127"/>
      <c r="F87" s="91"/>
      <c r="G87" s="93"/>
      <c r="H87" s="127" t="str">
        <f ca="1">CONCATENATE("Карточка расшифровки зарплаты за ",'01.2012'!$AD$1)</f>
        <v>Карточка расшифровки зарплаты за 01.2012</v>
      </c>
      <c r="I87" s="127"/>
      <c r="J87" s="127"/>
      <c r="K87" s="127"/>
      <c r="L87" s="127"/>
    </row>
    <row r="88" spans="1:12" s="6" customFormat="1" ht="11.1" customHeight="1" x14ac:dyDescent="0.2">
      <c r="A88" s="85"/>
      <c r="B88" s="85"/>
      <c r="C88" s="85"/>
      <c r="D88" s="22"/>
      <c r="E88" s="85"/>
      <c r="F88" s="85"/>
      <c r="G88" s="94"/>
      <c r="H88" s="85"/>
      <c r="I88" s="85"/>
      <c r="J88" s="85"/>
      <c r="K88" s="22"/>
      <c r="L88" s="85"/>
    </row>
    <row r="89" spans="1:12" s="6" customFormat="1" ht="11.1" customHeight="1" x14ac:dyDescent="0.2">
      <c r="A89" s="128" t="str">
        <f>VLOOKUP(VLOOKUP(A85,'01.2012'!$C$2:$AC$28,2,0),'01.2012'!$D$2:$F$28,3,0)</f>
        <v>ОТДЕЛ КАДРОВ</v>
      </c>
      <c r="B89" s="128"/>
      <c r="C89" s="128"/>
      <c r="D89" s="128"/>
      <c r="E89" s="128"/>
      <c r="F89" s="85"/>
      <c r="G89" s="94"/>
      <c r="H89" s="128" t="str">
        <f>VLOOKUP(VLOOKUP(H85,'01.2012'!$C$2:$AC$28,2,0),'01.2012'!$D$2:$F$28,3,0)</f>
        <v>ОТДЕЛ КАДРОВ</v>
      </c>
      <c r="I89" s="128"/>
      <c r="J89" s="128"/>
      <c r="K89" s="128"/>
      <c r="L89" s="128"/>
    </row>
    <row r="90" spans="1:12" s="6" customFormat="1" x14ac:dyDescent="0.2">
      <c r="A90" s="129" t="s">
        <v>55</v>
      </c>
      <c r="B90" s="129"/>
      <c r="C90" s="130" t="str">
        <f>VLOOKUP(A85,'01.2012'!$C$2:$AC$28,4,0)</f>
        <v>Давлатов Талиб</v>
      </c>
      <c r="D90" s="130"/>
      <c r="E90" s="130"/>
      <c r="F90" s="88"/>
      <c r="G90" s="95"/>
      <c r="H90" s="129" t="s">
        <v>55</v>
      </c>
      <c r="I90" s="129"/>
      <c r="J90" s="130" t="str">
        <f>VLOOKUP(H85,'01.2012'!$C$2:$AC$28,4,0)</f>
        <v>Рахматова Зебо</v>
      </c>
      <c r="K90" s="130"/>
      <c r="L90" s="130"/>
    </row>
    <row r="91" spans="1:12" s="6" customFormat="1" ht="18.75" customHeight="1" x14ac:dyDescent="0.2">
      <c r="A91" s="92" t="s">
        <v>36</v>
      </c>
      <c r="B91" s="131" t="str">
        <f>VLOOKUP(A85,'01.2012'!$C$2:$AC$28,5,0)</f>
        <v>инженер ОК</v>
      </c>
      <c r="C91" s="131"/>
      <c r="D91" s="131"/>
      <c r="E91" s="131"/>
      <c r="F91" s="88"/>
      <c r="G91" s="95"/>
      <c r="H91" s="92" t="s">
        <v>36</v>
      </c>
      <c r="I91" s="131" t="str">
        <f>VLOOKUP(H85,'01.2012'!$C$2:$AC$28,5,0)</f>
        <v>инженер ОК</v>
      </c>
      <c r="J91" s="131"/>
      <c r="K91" s="131"/>
      <c r="L91" s="131"/>
    </row>
    <row r="92" spans="1:12" ht="12.75" customHeight="1" x14ac:dyDescent="0.2">
      <c r="A92" s="132" t="s">
        <v>56</v>
      </c>
      <c r="B92" s="134" t="s">
        <v>57</v>
      </c>
      <c r="C92" s="136" t="s">
        <v>58</v>
      </c>
      <c r="D92" s="134" t="s">
        <v>59</v>
      </c>
      <c r="E92" s="139"/>
      <c r="F92" s="6"/>
      <c r="G92" s="96"/>
      <c r="H92" s="132" t="s">
        <v>56</v>
      </c>
      <c r="I92" s="134" t="s">
        <v>57</v>
      </c>
      <c r="J92" s="136" t="s">
        <v>58</v>
      </c>
      <c r="K92" s="134" t="s">
        <v>59</v>
      </c>
      <c r="L92" s="139"/>
    </row>
    <row r="93" spans="1:12" ht="13.5" x14ac:dyDescent="0.2">
      <c r="A93" s="133"/>
      <c r="B93" s="135"/>
      <c r="C93" s="137"/>
      <c r="D93" s="138"/>
      <c r="E93" s="140"/>
      <c r="F93" s="87"/>
      <c r="G93" s="97"/>
      <c r="H93" s="133"/>
      <c r="I93" s="135"/>
      <c r="J93" s="137"/>
      <c r="K93" s="138"/>
      <c r="L93" s="140"/>
    </row>
    <row r="94" spans="1:12" ht="15" customHeight="1" x14ac:dyDescent="0.2">
      <c r="A94" s="100">
        <f>IF(VLOOKUP(A85,'01.2012'!$C$2:$AC$28,7,0)&lt;1,-VLOOKUP(A85,'01.2012'!$C$2:$AC$28,6,0),VLOOKUP(A85,'01.2012'!$C$2:$AC$28,7,0))</f>
        <v>0</v>
      </c>
      <c r="B94" s="89">
        <f>VLOOKUP(A85,'01.2012'!$C$2:$AC$28,14,0)</f>
        <v>148</v>
      </c>
      <c r="C94" s="90">
        <f>VLOOKUP(A85,'01.2012'!$C$2:$AC$28,22,0)</f>
        <v>10.85</v>
      </c>
      <c r="D94" s="89">
        <f>VLOOKUP(A85,'01.2012'!$C$2:$AC$28,27,0)</f>
        <v>134.19</v>
      </c>
      <c r="E94" s="141"/>
      <c r="F94" s="6"/>
      <c r="G94" s="96"/>
      <c r="H94" s="100">
        <f>IF(VLOOKUP(H85,'01.2012'!$C$2:$AC$28,7,0)&lt;1,-VLOOKUP(H85,'01.2012'!$C$2:$AC$28,6,0),VLOOKUP(H85,'01.2012'!$C$2:$AC$28,7,0))</f>
        <v>0</v>
      </c>
      <c r="I94" s="89">
        <f>VLOOKUP(H85,'01.2012'!$C$2:$AC$28,14,0)</f>
        <v>104</v>
      </c>
      <c r="J94" s="90">
        <f>VLOOKUP(H85,'01.2012'!$C$2:$AC$28,22,0)</f>
        <v>5.18</v>
      </c>
      <c r="K94" s="89">
        <f>VLOOKUP(H85,'01.2012'!$C$2:$AC$28,27,0)</f>
        <v>96.74</v>
      </c>
      <c r="L94" s="141"/>
    </row>
    <row r="95" spans="1:12" x14ac:dyDescent="0.2">
      <c r="A95" s="6"/>
      <c r="B95" s="6"/>
      <c r="C95" s="6"/>
      <c r="E95" s="86"/>
      <c r="F95" s="6"/>
      <c r="G95" s="96"/>
      <c r="L95" s="86"/>
    </row>
    <row r="96" spans="1:12" x14ac:dyDescent="0.2">
      <c r="A96" s="124" t="s">
        <v>60</v>
      </c>
      <c r="B96" s="124"/>
      <c r="C96" s="6"/>
      <c r="E96" s="6"/>
      <c r="F96" s="6"/>
      <c r="G96" s="96"/>
      <c r="H96" s="124" t="s">
        <v>60</v>
      </c>
      <c r="I96" s="124"/>
    </row>
    <row r="97" spans="1:12" x14ac:dyDescent="0.2">
      <c r="A97" s="125" t="s">
        <v>61</v>
      </c>
      <c r="B97" s="125"/>
      <c r="C97" s="6"/>
      <c r="E97" s="6"/>
      <c r="F97" s="6"/>
      <c r="G97" s="96"/>
      <c r="H97" s="125" t="s">
        <v>61</v>
      </c>
      <c r="I97" s="125"/>
    </row>
    <row r="98" spans="1:12" x14ac:dyDescent="0.2">
      <c r="A98" s="6"/>
      <c r="B98" s="6"/>
      <c r="C98" s="6"/>
      <c r="E98" s="6"/>
      <c r="F98" s="6"/>
      <c r="G98" s="96"/>
    </row>
    <row r="99" spans="1:12" x14ac:dyDescent="0.2">
      <c r="A99" s="109">
        <f t="shared" ref="A99" si="12">INT(ROW()/14)*2+1+(COLUMN()&gt;6)</f>
        <v>15</v>
      </c>
      <c r="B99" s="98"/>
      <c r="C99" s="98"/>
      <c r="D99" s="101"/>
      <c r="E99" s="98"/>
      <c r="F99" s="98"/>
      <c r="G99" s="99"/>
      <c r="H99" s="109">
        <f t="shared" ref="H99" si="13">INT(ROW()/14)*2+1+(COLUMN()&gt;6)</f>
        <v>16</v>
      </c>
      <c r="I99" s="98"/>
      <c r="J99" s="98"/>
      <c r="K99" s="101"/>
      <c r="L99" s="98"/>
    </row>
    <row r="100" spans="1:12" s="6" customFormat="1" ht="14.25" x14ac:dyDescent="0.2">
      <c r="A100" s="126" t="s">
        <v>54</v>
      </c>
      <c r="B100" s="126"/>
      <c r="C100" s="126"/>
      <c r="D100" s="126"/>
      <c r="E100" s="126"/>
      <c r="F100" s="91"/>
      <c r="G100" s="93"/>
      <c r="H100" s="126" t="s">
        <v>54</v>
      </c>
      <c r="I100" s="126"/>
      <c r="J100" s="126"/>
      <c r="K100" s="126"/>
      <c r="L100" s="126"/>
    </row>
    <row r="101" spans="1:12" s="6" customFormat="1" ht="14.25" x14ac:dyDescent="0.2">
      <c r="A101" s="127" t="str">
        <f ca="1">CONCATENATE("Карточка расшифровки зарплаты за ",'01.2012'!$AD$1)</f>
        <v>Карточка расшифровки зарплаты за 01.2012</v>
      </c>
      <c r="B101" s="127"/>
      <c r="C101" s="127"/>
      <c r="D101" s="127"/>
      <c r="E101" s="127"/>
      <c r="F101" s="91"/>
      <c r="G101" s="93"/>
      <c r="H101" s="127" t="str">
        <f ca="1">CONCATENATE("Карточка расшифровки зарплаты за ",'01.2012'!$AD$1)</f>
        <v>Карточка расшифровки зарплаты за 01.2012</v>
      </c>
      <c r="I101" s="127"/>
      <c r="J101" s="127"/>
      <c r="K101" s="127"/>
      <c r="L101" s="127"/>
    </row>
    <row r="102" spans="1:12" s="6" customFormat="1" ht="11.1" customHeight="1" x14ac:dyDescent="0.2">
      <c r="A102" s="85"/>
      <c r="B102" s="85"/>
      <c r="C102" s="85"/>
      <c r="D102" s="22"/>
      <c r="E102" s="85"/>
      <c r="F102" s="85"/>
      <c r="G102" s="94"/>
      <c r="H102" s="85"/>
      <c r="I102" s="85"/>
      <c r="J102" s="85"/>
      <c r="K102" s="22"/>
      <c r="L102" s="85"/>
    </row>
    <row r="103" spans="1:12" s="6" customFormat="1" ht="11.1" customHeight="1" x14ac:dyDescent="0.2">
      <c r="A103" s="128" t="str">
        <f>VLOOKUP(VLOOKUP(A99,'01.2012'!$C$2:$AC$28,2,0),'01.2012'!$D$2:$F$28,3,0)</f>
        <v>БУХГАЛТЕРИЯ И ФИНАНСЫ</v>
      </c>
      <c r="B103" s="128"/>
      <c r="C103" s="128"/>
      <c r="D103" s="128"/>
      <c r="E103" s="128"/>
      <c r="F103" s="85"/>
      <c r="G103" s="94"/>
      <c r="H103" s="128" t="str">
        <f>VLOOKUP(VLOOKUP(H99,'01.2012'!$C$2:$AC$28,2,0),'01.2012'!$D$2:$F$28,3,0)</f>
        <v>БУХГАЛТЕРИЯ И ФИНАНСЫ</v>
      </c>
      <c r="I103" s="128"/>
      <c r="J103" s="128"/>
      <c r="K103" s="128"/>
      <c r="L103" s="128"/>
    </row>
    <row r="104" spans="1:12" s="6" customFormat="1" x14ac:dyDescent="0.2">
      <c r="A104" s="129" t="s">
        <v>55</v>
      </c>
      <c r="B104" s="129"/>
      <c r="C104" s="130" t="str">
        <f>VLOOKUP(A99,'01.2012'!$C$2:$AC$28,4,0)</f>
        <v>Салимов Юсуф</v>
      </c>
      <c r="D104" s="130"/>
      <c r="E104" s="130"/>
      <c r="F104" s="88"/>
      <c r="G104" s="95"/>
      <c r="H104" s="129" t="s">
        <v>55</v>
      </c>
      <c r="I104" s="129"/>
      <c r="J104" s="130" t="str">
        <f>VLOOKUP(H99,'01.2012'!$C$2:$AC$28,4,0)</f>
        <v>Ахмадджонов Исмоил</v>
      </c>
      <c r="K104" s="130"/>
      <c r="L104" s="130"/>
    </row>
    <row r="105" spans="1:12" s="6" customFormat="1" ht="18.75" customHeight="1" x14ac:dyDescent="0.2">
      <c r="A105" s="92" t="s">
        <v>36</v>
      </c>
      <c r="B105" s="131" t="str">
        <f>VLOOKUP(A99,'01.2012'!$C$2:$AC$28,5,0)</f>
        <v>гл.бух</v>
      </c>
      <c r="C105" s="131"/>
      <c r="D105" s="131"/>
      <c r="E105" s="131"/>
      <c r="F105" s="88"/>
      <c r="G105" s="95"/>
      <c r="H105" s="92" t="s">
        <v>36</v>
      </c>
      <c r="I105" s="131" t="str">
        <f>VLOOKUP(H99,'01.2012'!$C$2:$AC$28,5,0)</f>
        <v>бухгалтер</v>
      </c>
      <c r="J105" s="131"/>
      <c r="K105" s="131"/>
      <c r="L105" s="131"/>
    </row>
    <row r="106" spans="1:12" ht="12.75" customHeight="1" x14ac:dyDescent="0.2">
      <c r="A106" s="132" t="s">
        <v>56</v>
      </c>
      <c r="B106" s="134" t="s">
        <v>57</v>
      </c>
      <c r="C106" s="136" t="s">
        <v>58</v>
      </c>
      <c r="D106" s="134" t="s">
        <v>59</v>
      </c>
      <c r="E106" s="139"/>
      <c r="F106" s="6"/>
      <c r="G106" s="96"/>
      <c r="H106" s="132" t="s">
        <v>56</v>
      </c>
      <c r="I106" s="134" t="s">
        <v>57</v>
      </c>
      <c r="J106" s="136" t="s">
        <v>58</v>
      </c>
      <c r="K106" s="134" t="s">
        <v>59</v>
      </c>
      <c r="L106" s="139"/>
    </row>
    <row r="107" spans="1:12" ht="13.5" x14ac:dyDescent="0.2">
      <c r="A107" s="133"/>
      <c r="B107" s="135"/>
      <c r="C107" s="137"/>
      <c r="D107" s="138"/>
      <c r="E107" s="140"/>
      <c r="F107" s="87"/>
      <c r="G107" s="97"/>
      <c r="H107" s="133"/>
      <c r="I107" s="135"/>
      <c r="J107" s="137"/>
      <c r="K107" s="138"/>
      <c r="L107" s="140"/>
    </row>
    <row r="108" spans="1:12" ht="15" customHeight="1" x14ac:dyDescent="0.2">
      <c r="A108" s="100">
        <f>IF(VLOOKUP(A99,'01.2012'!$C$2:$AC$28,7,0)&lt;1,-VLOOKUP(A99,'01.2012'!$C$2:$AC$28,6,0),VLOOKUP(A99,'01.2012'!$C$2:$AC$28,7,0))</f>
        <v>0</v>
      </c>
      <c r="B108" s="89">
        <f>VLOOKUP(A99,'01.2012'!$C$2:$AC$28,14,0)</f>
        <v>197.34</v>
      </c>
      <c r="C108" s="90">
        <f>VLOOKUP(A99,'01.2012'!$C$2:$AC$28,22,0)</f>
        <v>17.2</v>
      </c>
      <c r="D108" s="89">
        <f>VLOOKUP(A99,'01.2012'!$C$2:$AC$28,27,0)</f>
        <v>176.2</v>
      </c>
      <c r="E108" s="141"/>
      <c r="F108" s="6"/>
      <c r="G108" s="96"/>
      <c r="H108" s="100">
        <f>IF(VLOOKUP(H99,'01.2012'!$C$2:$AC$28,7,0)&lt;1,-VLOOKUP(H99,'01.2012'!$C$2:$AC$28,6,0),VLOOKUP(H99,'01.2012'!$C$2:$AC$28,7,0))</f>
        <v>0</v>
      </c>
      <c r="I108" s="89">
        <f>VLOOKUP(H99,'01.2012'!$C$2:$AC$28,14,0)</f>
        <v>131.05000000000001</v>
      </c>
      <c r="J108" s="90">
        <f>VLOOKUP(H99,'01.2012'!$C$2:$AC$28,22,0)</f>
        <v>8.67</v>
      </c>
      <c r="K108" s="89">
        <f>VLOOKUP(H99,'01.2012'!$C$2:$AC$28,27,0)</f>
        <v>119.76</v>
      </c>
      <c r="L108" s="141"/>
    </row>
    <row r="109" spans="1:12" x14ac:dyDescent="0.2">
      <c r="A109" s="6"/>
      <c r="B109" s="6"/>
      <c r="C109" s="6"/>
      <c r="E109" s="86"/>
      <c r="F109" s="6"/>
      <c r="G109" s="96"/>
      <c r="L109" s="86"/>
    </row>
    <row r="110" spans="1:12" x14ac:dyDescent="0.2">
      <c r="A110" s="124" t="s">
        <v>60</v>
      </c>
      <c r="B110" s="124"/>
      <c r="C110" s="6"/>
      <c r="E110" s="6"/>
      <c r="F110" s="6"/>
      <c r="G110" s="96"/>
      <c r="H110" s="124" t="s">
        <v>60</v>
      </c>
      <c r="I110" s="124"/>
    </row>
    <row r="111" spans="1:12" x14ac:dyDescent="0.2">
      <c r="A111" s="125" t="s">
        <v>61</v>
      </c>
      <c r="B111" s="125"/>
      <c r="C111" s="6"/>
      <c r="E111" s="6"/>
      <c r="F111" s="6"/>
      <c r="G111" s="96"/>
      <c r="H111" s="125" t="s">
        <v>61</v>
      </c>
      <c r="I111" s="125"/>
    </row>
    <row r="112" spans="1:12" x14ac:dyDescent="0.2">
      <c r="A112" s="6"/>
      <c r="B112" s="6"/>
      <c r="C112" s="6"/>
      <c r="E112" s="6"/>
      <c r="F112" s="6"/>
      <c r="G112" s="96"/>
    </row>
    <row r="113" spans="1:12" x14ac:dyDescent="0.2">
      <c r="A113" s="109">
        <f t="shared" ref="A113" si="14">INT(ROW()/14)*2+1+(COLUMN()&gt;6)</f>
        <v>17</v>
      </c>
      <c r="B113" s="98"/>
      <c r="C113" s="98"/>
      <c r="D113" s="101"/>
      <c r="E113" s="98"/>
      <c r="F113" s="98"/>
      <c r="G113" s="99"/>
      <c r="H113" s="109">
        <f t="shared" ref="H113" si="15">INT(ROW()/14)*2+1+(COLUMN()&gt;6)</f>
        <v>18</v>
      </c>
      <c r="I113" s="98"/>
      <c r="J113" s="98"/>
      <c r="K113" s="101"/>
      <c r="L113" s="98"/>
    </row>
    <row r="114" spans="1:12" s="6" customFormat="1" ht="14.25" x14ac:dyDescent="0.2">
      <c r="A114" s="126" t="s">
        <v>54</v>
      </c>
      <c r="B114" s="126"/>
      <c r="C114" s="126"/>
      <c r="D114" s="126"/>
      <c r="E114" s="126"/>
      <c r="F114" s="91"/>
      <c r="G114" s="93"/>
      <c r="H114" s="126" t="s">
        <v>54</v>
      </c>
      <c r="I114" s="126"/>
      <c r="J114" s="126"/>
      <c r="K114" s="126"/>
      <c r="L114" s="126"/>
    </row>
    <row r="115" spans="1:12" s="6" customFormat="1" ht="14.25" x14ac:dyDescent="0.2">
      <c r="A115" s="127" t="str">
        <f ca="1">CONCATENATE("Карточка расшифровки зарплаты за ",'01.2012'!$AD$1)</f>
        <v>Карточка расшифровки зарплаты за 01.2012</v>
      </c>
      <c r="B115" s="127"/>
      <c r="C115" s="127"/>
      <c r="D115" s="127"/>
      <c r="E115" s="127"/>
      <c r="F115" s="91"/>
      <c r="G115" s="93"/>
      <c r="H115" s="127" t="str">
        <f ca="1">CONCATENATE("Карточка расшифровки зарплаты за ",'01.2012'!$AD$1)</f>
        <v>Карточка расшифровки зарплаты за 01.2012</v>
      </c>
      <c r="I115" s="127"/>
      <c r="J115" s="127"/>
      <c r="K115" s="127"/>
      <c r="L115" s="127"/>
    </row>
    <row r="116" spans="1:12" s="6" customFormat="1" ht="11.1" customHeight="1" x14ac:dyDescent="0.2">
      <c r="A116" s="85"/>
      <c r="B116" s="85"/>
      <c r="C116" s="85"/>
      <c r="D116" s="22"/>
      <c r="E116" s="85"/>
      <c r="F116" s="85"/>
      <c r="G116" s="94"/>
      <c r="H116" s="85"/>
      <c r="I116" s="85"/>
      <c r="J116" s="85"/>
      <c r="K116" s="22"/>
      <c r="L116" s="85"/>
    </row>
    <row r="117" spans="1:12" s="6" customFormat="1" ht="11.1" customHeight="1" x14ac:dyDescent="0.2">
      <c r="A117" s="128" t="str">
        <f>VLOOKUP(VLOOKUP(A113,'01.2012'!$C$2:$AC$28,2,0),'01.2012'!$D$2:$F$28,3,0)</f>
        <v>БУХГАЛТЕРИЯ И ФИНАНСЫ</v>
      </c>
      <c r="B117" s="128"/>
      <c r="C117" s="128"/>
      <c r="D117" s="128"/>
      <c r="E117" s="128"/>
      <c r="F117" s="85"/>
      <c r="G117" s="94"/>
      <c r="H117" s="128" t="str">
        <f>VLOOKUP(VLOOKUP(H113,'01.2012'!$C$2:$AC$28,2,0),'01.2012'!$D$2:$F$28,3,0)</f>
        <v>БУХГАЛТЕРИЯ И ФИНАНСЫ</v>
      </c>
      <c r="I117" s="128"/>
      <c r="J117" s="128"/>
      <c r="K117" s="128"/>
      <c r="L117" s="128"/>
    </row>
    <row r="118" spans="1:12" s="6" customFormat="1" x14ac:dyDescent="0.2">
      <c r="A118" s="129" t="s">
        <v>55</v>
      </c>
      <c r="B118" s="129"/>
      <c r="C118" s="130" t="str">
        <f>VLOOKUP(A113,'01.2012'!$C$2:$AC$28,4,0)</f>
        <v>Каххорова Озода</v>
      </c>
      <c r="D118" s="130"/>
      <c r="E118" s="130"/>
      <c r="F118" s="88"/>
      <c r="G118" s="95"/>
      <c r="H118" s="129" t="s">
        <v>55</v>
      </c>
      <c r="I118" s="129"/>
      <c r="J118" s="130" t="str">
        <f>VLOOKUP(H113,'01.2012'!$C$2:$AC$28,4,0)</f>
        <v>Назаров Хабибулло</v>
      </c>
      <c r="K118" s="130"/>
      <c r="L118" s="130"/>
    </row>
    <row r="119" spans="1:12" s="6" customFormat="1" ht="18.75" customHeight="1" x14ac:dyDescent="0.2">
      <c r="A119" s="92" t="s">
        <v>36</v>
      </c>
      <c r="B119" s="131" t="str">
        <f>VLOOKUP(A113,'01.2012'!$C$2:$AC$28,5,0)</f>
        <v>экономист</v>
      </c>
      <c r="C119" s="131"/>
      <c r="D119" s="131"/>
      <c r="E119" s="131"/>
      <c r="F119" s="88"/>
      <c r="G119" s="95"/>
      <c r="H119" s="92" t="s">
        <v>36</v>
      </c>
      <c r="I119" s="131" t="str">
        <f>VLOOKUP(H113,'01.2012'!$C$2:$AC$28,5,0)</f>
        <v>кассир</v>
      </c>
      <c r="J119" s="131"/>
      <c r="K119" s="131"/>
      <c r="L119" s="131"/>
    </row>
    <row r="120" spans="1:12" ht="12.75" customHeight="1" x14ac:dyDescent="0.2">
      <c r="A120" s="132" t="s">
        <v>56</v>
      </c>
      <c r="B120" s="134" t="s">
        <v>57</v>
      </c>
      <c r="C120" s="136" t="s">
        <v>58</v>
      </c>
      <c r="D120" s="134" t="s">
        <v>59</v>
      </c>
      <c r="E120" s="139"/>
      <c r="F120" s="6"/>
      <c r="G120" s="96"/>
      <c r="H120" s="132" t="s">
        <v>56</v>
      </c>
      <c r="I120" s="134" t="s">
        <v>57</v>
      </c>
      <c r="J120" s="136" t="s">
        <v>58</v>
      </c>
      <c r="K120" s="134" t="s">
        <v>59</v>
      </c>
      <c r="L120" s="139"/>
    </row>
    <row r="121" spans="1:12" ht="13.5" x14ac:dyDescent="0.2">
      <c r="A121" s="133"/>
      <c r="B121" s="135"/>
      <c r="C121" s="137"/>
      <c r="D121" s="138"/>
      <c r="E121" s="140"/>
      <c r="F121" s="87"/>
      <c r="G121" s="97"/>
      <c r="H121" s="133"/>
      <c r="I121" s="135"/>
      <c r="J121" s="137"/>
      <c r="K121" s="138"/>
      <c r="L121" s="140"/>
    </row>
    <row r="122" spans="1:12" ht="15" customHeight="1" x14ac:dyDescent="0.2">
      <c r="A122" s="100">
        <f>IF(VLOOKUP(A113,'01.2012'!$C$2:$AC$28,7,0)&lt;1,-VLOOKUP(A113,'01.2012'!$C$2:$AC$28,6,0),VLOOKUP(A113,'01.2012'!$C$2:$AC$28,7,0))</f>
        <v>0</v>
      </c>
      <c r="B122" s="89">
        <f>VLOOKUP(A113,'01.2012'!$C$2:$AC$28,14,0)</f>
        <v>131.05000000000001</v>
      </c>
      <c r="C122" s="90">
        <f>VLOOKUP(A113,'01.2012'!$C$2:$AC$28,22,0)</f>
        <v>8.67</v>
      </c>
      <c r="D122" s="89">
        <f>VLOOKUP(A113,'01.2012'!$C$2:$AC$28,27,0)</f>
        <v>119.76</v>
      </c>
      <c r="E122" s="141"/>
      <c r="F122" s="6"/>
      <c r="G122" s="96"/>
      <c r="H122" s="100">
        <f>IF(VLOOKUP(H113,'01.2012'!$C$2:$AC$28,7,0)&lt;1,-VLOOKUP(H113,'01.2012'!$C$2:$AC$28,6,0),VLOOKUP(H113,'01.2012'!$C$2:$AC$28,7,0))</f>
        <v>0</v>
      </c>
      <c r="I122" s="89">
        <f>VLOOKUP(H113,'01.2012'!$C$2:$AC$28,14,0)</f>
        <v>104</v>
      </c>
      <c r="J122" s="90">
        <f>VLOOKUP(H113,'01.2012'!$C$2:$AC$28,22,0)</f>
        <v>5.18</v>
      </c>
      <c r="K122" s="89">
        <f>VLOOKUP(H113,'01.2012'!$C$2:$AC$28,27,0)</f>
        <v>96.74</v>
      </c>
      <c r="L122" s="141"/>
    </row>
    <row r="123" spans="1:12" x14ac:dyDescent="0.2">
      <c r="A123" s="6"/>
      <c r="B123" s="6"/>
      <c r="C123" s="6"/>
      <c r="E123" s="86"/>
      <c r="F123" s="6"/>
      <c r="G123" s="96"/>
      <c r="L123" s="86"/>
    </row>
    <row r="124" spans="1:12" x14ac:dyDescent="0.2">
      <c r="A124" s="124" t="s">
        <v>60</v>
      </c>
      <c r="B124" s="124"/>
      <c r="C124" s="6"/>
      <c r="E124" s="6"/>
      <c r="F124" s="6"/>
      <c r="G124" s="96"/>
      <c r="H124" s="124" t="s">
        <v>60</v>
      </c>
      <c r="I124" s="124"/>
    </row>
    <row r="125" spans="1:12" x14ac:dyDescent="0.2">
      <c r="A125" s="125" t="s">
        <v>61</v>
      </c>
      <c r="B125" s="125"/>
      <c r="C125" s="6"/>
      <c r="E125" s="6"/>
      <c r="F125" s="6"/>
      <c r="G125" s="96"/>
      <c r="H125" s="125" t="s">
        <v>61</v>
      </c>
      <c r="I125" s="125"/>
    </row>
    <row r="126" spans="1:12" x14ac:dyDescent="0.2">
      <c r="A126" s="6"/>
      <c r="B126" s="6"/>
      <c r="C126" s="6"/>
      <c r="E126" s="6"/>
      <c r="F126" s="6"/>
      <c r="G126" s="96"/>
    </row>
    <row r="127" spans="1:12" x14ac:dyDescent="0.2">
      <c r="A127" s="109">
        <f t="shared" ref="A127" si="16">INT(ROW()/14)*2+1+(COLUMN()&gt;6)</f>
        <v>19</v>
      </c>
      <c r="B127" s="98"/>
      <c r="C127" s="98"/>
      <c r="D127" s="101"/>
      <c r="E127" s="98"/>
      <c r="F127" s="98"/>
      <c r="G127" s="99"/>
      <c r="H127" s="109">
        <f t="shared" ref="H127" si="17">INT(ROW()/14)*2+1+(COLUMN()&gt;6)</f>
        <v>20</v>
      </c>
      <c r="I127" s="98"/>
      <c r="J127" s="98"/>
      <c r="K127" s="101"/>
      <c r="L127" s="98"/>
    </row>
    <row r="128" spans="1:12" s="6" customFormat="1" ht="14.25" x14ac:dyDescent="0.2">
      <c r="A128" s="126" t="s">
        <v>54</v>
      </c>
      <c r="B128" s="126"/>
      <c r="C128" s="126"/>
      <c r="D128" s="126"/>
      <c r="E128" s="126"/>
      <c r="F128" s="91"/>
      <c r="G128" s="93"/>
      <c r="H128" s="126" t="s">
        <v>54</v>
      </c>
      <c r="I128" s="126"/>
      <c r="J128" s="126"/>
      <c r="K128" s="126"/>
      <c r="L128" s="126"/>
    </row>
    <row r="129" spans="1:12" s="6" customFormat="1" ht="14.25" x14ac:dyDescent="0.2">
      <c r="A129" s="127" t="str">
        <f ca="1">CONCATENATE("Карточка расшифровки зарплаты за ",'01.2012'!$AD$1)</f>
        <v>Карточка расшифровки зарплаты за 01.2012</v>
      </c>
      <c r="B129" s="127"/>
      <c r="C129" s="127"/>
      <c r="D129" s="127"/>
      <c r="E129" s="127"/>
      <c r="F129" s="91"/>
      <c r="G129" s="93"/>
      <c r="H129" s="127" t="str">
        <f ca="1">CONCATENATE("Карточка расшифровки зарплаты за ",'01.2012'!$AD$1)</f>
        <v>Карточка расшифровки зарплаты за 01.2012</v>
      </c>
      <c r="I129" s="127"/>
      <c r="J129" s="127"/>
      <c r="K129" s="127"/>
      <c r="L129" s="127"/>
    </row>
    <row r="130" spans="1:12" s="6" customFormat="1" ht="11.1" customHeight="1" x14ac:dyDescent="0.2">
      <c r="A130" s="85"/>
      <c r="B130" s="85"/>
      <c r="C130" s="85"/>
      <c r="D130" s="22"/>
      <c r="E130" s="85"/>
      <c r="F130" s="85"/>
      <c r="G130" s="94"/>
      <c r="H130" s="85"/>
      <c r="I130" s="85"/>
      <c r="J130" s="85"/>
      <c r="K130" s="22"/>
      <c r="L130" s="85"/>
    </row>
    <row r="131" spans="1:12" s="6" customFormat="1" ht="11.1" customHeight="1" x14ac:dyDescent="0.2">
      <c r="A131" s="128" t="e">
        <f>VLOOKUP(VLOOKUP(A127,'01.2012'!$C$2:$AC$28,2,0),'01.2012'!$D$2:$F$28,3,0)</f>
        <v>#N/A</v>
      </c>
      <c r="B131" s="128"/>
      <c r="C131" s="128"/>
      <c r="D131" s="128"/>
      <c r="E131" s="128"/>
      <c r="F131" s="85"/>
      <c r="G131" s="94"/>
      <c r="H131" s="128" t="e">
        <f>VLOOKUP(VLOOKUP(H127,'01.2012'!$C$2:$AC$28,2,0),'01.2012'!$D$2:$F$28,3,0)</f>
        <v>#N/A</v>
      </c>
      <c r="I131" s="128"/>
      <c r="J131" s="128"/>
      <c r="K131" s="128"/>
      <c r="L131" s="128"/>
    </row>
    <row r="132" spans="1:12" s="6" customFormat="1" x14ac:dyDescent="0.2">
      <c r="A132" s="129" t="s">
        <v>55</v>
      </c>
      <c r="B132" s="129"/>
      <c r="C132" s="130" t="e">
        <f>VLOOKUP(A127,'01.2012'!$C$2:$AC$28,4,0)</f>
        <v>#N/A</v>
      </c>
      <c r="D132" s="130"/>
      <c r="E132" s="130"/>
      <c r="F132" s="88"/>
      <c r="G132" s="95"/>
      <c r="H132" s="129" t="s">
        <v>55</v>
      </c>
      <c r="I132" s="129"/>
      <c r="J132" s="130" t="e">
        <f>VLOOKUP(H127,'01.2012'!$C$2:$AC$28,4,0)</f>
        <v>#N/A</v>
      </c>
      <c r="K132" s="130"/>
      <c r="L132" s="130"/>
    </row>
    <row r="133" spans="1:12" s="6" customFormat="1" ht="18.75" customHeight="1" x14ac:dyDescent="0.2">
      <c r="A133" s="92" t="s">
        <v>36</v>
      </c>
      <c r="B133" s="131" t="e">
        <f>VLOOKUP(A127,'01.2012'!$C$2:$AC$28,5,0)</f>
        <v>#N/A</v>
      </c>
      <c r="C133" s="131"/>
      <c r="D133" s="131"/>
      <c r="E133" s="131"/>
      <c r="F133" s="88"/>
      <c r="G133" s="95"/>
      <c r="H133" s="92" t="s">
        <v>36</v>
      </c>
      <c r="I133" s="131" t="e">
        <f>VLOOKUP(H127,'01.2012'!$C$2:$AC$28,5,0)</f>
        <v>#N/A</v>
      </c>
      <c r="J133" s="131"/>
      <c r="K133" s="131"/>
      <c r="L133" s="131"/>
    </row>
    <row r="134" spans="1:12" ht="12.75" customHeight="1" x14ac:dyDescent="0.2">
      <c r="A134" s="132" t="s">
        <v>56</v>
      </c>
      <c r="B134" s="134" t="s">
        <v>57</v>
      </c>
      <c r="C134" s="136" t="s">
        <v>58</v>
      </c>
      <c r="D134" s="134" t="s">
        <v>59</v>
      </c>
      <c r="E134" s="139"/>
      <c r="F134" s="6"/>
      <c r="G134" s="96"/>
      <c r="H134" s="132" t="s">
        <v>56</v>
      </c>
      <c r="I134" s="134" t="s">
        <v>57</v>
      </c>
      <c r="J134" s="136" t="s">
        <v>58</v>
      </c>
      <c r="K134" s="134" t="s">
        <v>59</v>
      </c>
      <c r="L134" s="139"/>
    </row>
    <row r="135" spans="1:12" ht="13.5" x14ac:dyDescent="0.2">
      <c r="A135" s="133"/>
      <c r="B135" s="135"/>
      <c r="C135" s="137"/>
      <c r="D135" s="138"/>
      <c r="E135" s="140"/>
      <c r="F135" s="87"/>
      <c r="G135" s="97"/>
      <c r="H135" s="133"/>
      <c r="I135" s="135"/>
      <c r="J135" s="137"/>
      <c r="K135" s="138"/>
      <c r="L135" s="140"/>
    </row>
    <row r="136" spans="1:12" ht="15" customHeight="1" x14ac:dyDescent="0.2">
      <c r="A136" s="100" t="e">
        <f>IF(VLOOKUP(A127,'01.2012'!$C$2:$AC$28,7,0)&lt;1,-VLOOKUP(A127,'01.2012'!$C$2:$AC$28,6,0),VLOOKUP(A127,'01.2012'!$C$2:$AC$28,7,0))</f>
        <v>#N/A</v>
      </c>
      <c r="B136" s="89" t="e">
        <f>VLOOKUP(A127,'01.2012'!$C$2:$AC$28,14,0)</f>
        <v>#N/A</v>
      </c>
      <c r="C136" s="90" t="e">
        <f>VLOOKUP(A127,'01.2012'!$C$2:$AC$28,22,0)</f>
        <v>#N/A</v>
      </c>
      <c r="D136" s="89" t="e">
        <f>VLOOKUP(A127,'01.2012'!$C$2:$AC$28,27,0)</f>
        <v>#N/A</v>
      </c>
      <c r="E136" s="141"/>
      <c r="F136" s="6"/>
      <c r="G136" s="96"/>
      <c r="H136" s="100" t="e">
        <f>IF(VLOOKUP(H127,'01.2012'!$C$2:$AC$28,7,0)&lt;1,-VLOOKUP(H127,'01.2012'!$C$2:$AC$28,6,0),VLOOKUP(H127,'01.2012'!$C$2:$AC$28,7,0))</f>
        <v>#N/A</v>
      </c>
      <c r="I136" s="89" t="e">
        <f>VLOOKUP(H127,'01.2012'!$C$2:$AC$28,14,0)</f>
        <v>#N/A</v>
      </c>
      <c r="J136" s="90" t="e">
        <f>VLOOKUP(H127,'01.2012'!$C$2:$AC$28,22,0)</f>
        <v>#N/A</v>
      </c>
      <c r="K136" s="89" t="e">
        <f>VLOOKUP(H127,'01.2012'!$C$2:$AC$28,27,0)</f>
        <v>#N/A</v>
      </c>
      <c r="L136" s="141"/>
    </row>
    <row r="137" spans="1:12" x14ac:dyDescent="0.2">
      <c r="A137" s="6"/>
      <c r="B137" s="6"/>
      <c r="C137" s="6"/>
      <c r="E137" s="86"/>
      <c r="F137" s="6"/>
      <c r="G137" s="96"/>
      <c r="L137" s="86"/>
    </row>
    <row r="138" spans="1:12" x14ac:dyDescent="0.2">
      <c r="A138" s="124" t="s">
        <v>60</v>
      </c>
      <c r="B138" s="124"/>
      <c r="C138" s="6"/>
      <c r="E138" s="6"/>
      <c r="F138" s="6"/>
      <c r="G138" s="96"/>
      <c r="H138" s="124" t="s">
        <v>60</v>
      </c>
      <c r="I138" s="124"/>
    </row>
    <row r="139" spans="1:12" x14ac:dyDescent="0.2">
      <c r="A139" s="125" t="s">
        <v>61</v>
      </c>
      <c r="B139" s="125"/>
      <c r="C139" s="6"/>
      <c r="E139" s="6"/>
      <c r="F139" s="6"/>
      <c r="G139" s="96"/>
      <c r="H139" s="125" t="s">
        <v>61</v>
      </c>
      <c r="I139" s="125"/>
    </row>
  </sheetData>
  <mergeCells count="252">
    <mergeCell ref="A138:B138"/>
    <mergeCell ref="H138:I138"/>
    <mergeCell ref="A139:B139"/>
    <mergeCell ref="H139:I139"/>
    <mergeCell ref="A132:B132"/>
    <mergeCell ref="C132:E132"/>
    <mergeCell ref="H132:I132"/>
    <mergeCell ref="J132:L132"/>
    <mergeCell ref="B133:E133"/>
    <mergeCell ref="I133:L133"/>
    <mergeCell ref="A134:A135"/>
    <mergeCell ref="B134:B135"/>
    <mergeCell ref="C134:C135"/>
    <mergeCell ref="D134:D135"/>
    <mergeCell ref="E134:E136"/>
    <mergeCell ref="H134:H135"/>
    <mergeCell ref="I134:I135"/>
    <mergeCell ref="J134:J135"/>
    <mergeCell ref="K134:K135"/>
    <mergeCell ref="L134:L136"/>
    <mergeCell ref="A118:B118"/>
    <mergeCell ref="C118:E118"/>
    <mergeCell ref="H118:I118"/>
    <mergeCell ref="J118:L118"/>
    <mergeCell ref="B119:E119"/>
    <mergeCell ref="I119:L119"/>
    <mergeCell ref="A120:A121"/>
    <mergeCell ref="B120:B121"/>
    <mergeCell ref="C120:C121"/>
    <mergeCell ref="D120:D121"/>
    <mergeCell ref="E120:E122"/>
    <mergeCell ref="H120:H121"/>
    <mergeCell ref="I120:I121"/>
    <mergeCell ref="J120:J121"/>
    <mergeCell ref="K120:K121"/>
    <mergeCell ref="L120:L122"/>
    <mergeCell ref="A124:B124"/>
    <mergeCell ref="H124:I124"/>
    <mergeCell ref="A125:B125"/>
    <mergeCell ref="H125:I125"/>
    <mergeCell ref="A128:E128"/>
    <mergeCell ref="H128:L128"/>
    <mergeCell ref="A129:E129"/>
    <mergeCell ref="H129:L129"/>
    <mergeCell ref="A131:E131"/>
    <mergeCell ref="H131:L131"/>
    <mergeCell ref="A104:B104"/>
    <mergeCell ref="C104:E104"/>
    <mergeCell ref="H104:I104"/>
    <mergeCell ref="J104:L104"/>
    <mergeCell ref="B105:E105"/>
    <mergeCell ref="I105:L105"/>
    <mergeCell ref="A106:A107"/>
    <mergeCell ref="B106:B107"/>
    <mergeCell ref="C106:C107"/>
    <mergeCell ref="D106:D107"/>
    <mergeCell ref="E106:E108"/>
    <mergeCell ref="H106:H107"/>
    <mergeCell ref="I106:I107"/>
    <mergeCell ref="J106:J107"/>
    <mergeCell ref="K106:K107"/>
    <mergeCell ref="L106:L108"/>
    <mergeCell ref="A110:B110"/>
    <mergeCell ref="H110:I110"/>
    <mergeCell ref="A111:B111"/>
    <mergeCell ref="H111:I111"/>
    <mergeCell ref="A114:E114"/>
    <mergeCell ref="H114:L114"/>
    <mergeCell ref="A115:E115"/>
    <mergeCell ref="H115:L115"/>
    <mergeCell ref="A117:E117"/>
    <mergeCell ref="H117:L117"/>
    <mergeCell ref="B91:E91"/>
    <mergeCell ref="I91:L91"/>
    <mergeCell ref="A92:A93"/>
    <mergeCell ref="B92:B93"/>
    <mergeCell ref="C92:C93"/>
    <mergeCell ref="D92:D93"/>
    <mergeCell ref="E92:E94"/>
    <mergeCell ref="H92:H93"/>
    <mergeCell ref="I92:I93"/>
    <mergeCell ref="J92:J93"/>
    <mergeCell ref="K92:K93"/>
    <mergeCell ref="L92:L94"/>
    <mergeCell ref="A96:B96"/>
    <mergeCell ref="H96:I96"/>
    <mergeCell ref="A97:B97"/>
    <mergeCell ref="H97:I97"/>
    <mergeCell ref="A100:E100"/>
    <mergeCell ref="H100:L100"/>
    <mergeCell ref="A101:E101"/>
    <mergeCell ref="H101:L101"/>
    <mergeCell ref="A103:E103"/>
    <mergeCell ref="H103:L103"/>
    <mergeCell ref="A83:B83"/>
    <mergeCell ref="H83:I83"/>
    <mergeCell ref="A72:E72"/>
    <mergeCell ref="H72:L72"/>
    <mergeCell ref="A73:E73"/>
    <mergeCell ref="H73:L73"/>
    <mergeCell ref="A76:B76"/>
    <mergeCell ref="C76:E76"/>
    <mergeCell ref="H76:I76"/>
    <mergeCell ref="J76:L76"/>
    <mergeCell ref="B77:E77"/>
    <mergeCell ref="I77:L77"/>
    <mergeCell ref="A75:E75"/>
    <mergeCell ref="H75:L75"/>
    <mergeCell ref="A78:A79"/>
    <mergeCell ref="B78:B79"/>
    <mergeCell ref="C78:C79"/>
    <mergeCell ref="D78:D79"/>
    <mergeCell ref="E78:E80"/>
    <mergeCell ref="H78:H79"/>
    <mergeCell ref="I78:I79"/>
    <mergeCell ref="J78:J79"/>
    <mergeCell ref="A82:B82"/>
    <mergeCell ref="H82:I82"/>
    <mergeCell ref="A86:E86"/>
    <mergeCell ref="H86:L86"/>
    <mergeCell ref="A87:E87"/>
    <mergeCell ref="H87:L87"/>
    <mergeCell ref="A89:E89"/>
    <mergeCell ref="H89:L89"/>
    <mergeCell ref="A90:B90"/>
    <mergeCell ref="C90:E90"/>
    <mergeCell ref="H90:I90"/>
    <mergeCell ref="J90:L90"/>
    <mergeCell ref="K78:K79"/>
    <mergeCell ref="L78:L80"/>
    <mergeCell ref="A69:B69"/>
    <mergeCell ref="A59:E59"/>
    <mergeCell ref="H59:L59"/>
    <mergeCell ref="A62:B62"/>
    <mergeCell ref="C62:E62"/>
    <mergeCell ref="H62:I62"/>
    <mergeCell ref="J62:L62"/>
    <mergeCell ref="K64:K65"/>
    <mergeCell ref="L64:L66"/>
    <mergeCell ref="A68:B68"/>
    <mergeCell ref="H68:I68"/>
    <mergeCell ref="H69:I69"/>
    <mergeCell ref="B63:E63"/>
    <mergeCell ref="I63:L63"/>
    <mergeCell ref="A64:A65"/>
    <mergeCell ref="B64:B65"/>
    <mergeCell ref="C64:C65"/>
    <mergeCell ref="I49:L49"/>
    <mergeCell ref="A50:A51"/>
    <mergeCell ref="B50:B51"/>
    <mergeCell ref="C50:C51"/>
    <mergeCell ref="D50:D51"/>
    <mergeCell ref="E50:E52"/>
    <mergeCell ref="H50:H51"/>
    <mergeCell ref="I50:I51"/>
    <mergeCell ref="J50:J51"/>
    <mergeCell ref="K50:K51"/>
    <mergeCell ref="B49:E49"/>
    <mergeCell ref="L50:L52"/>
    <mergeCell ref="A54:B54"/>
    <mergeCell ref="H54:I54"/>
    <mergeCell ref="H55:I55"/>
    <mergeCell ref="A58:E58"/>
    <mergeCell ref="H58:L58"/>
    <mergeCell ref="A55:B55"/>
    <mergeCell ref="A61:E61"/>
    <mergeCell ref="H61:L61"/>
    <mergeCell ref="D64:D65"/>
    <mergeCell ref="E64:E66"/>
    <mergeCell ref="H64:H65"/>
    <mergeCell ref="I64:I65"/>
    <mergeCell ref="J64:J65"/>
    <mergeCell ref="A45:E45"/>
    <mergeCell ref="H45:L45"/>
    <mergeCell ref="A48:B48"/>
    <mergeCell ref="C48:E48"/>
    <mergeCell ref="H48:I48"/>
    <mergeCell ref="J48:L48"/>
    <mergeCell ref="L36:L38"/>
    <mergeCell ref="A40:B40"/>
    <mergeCell ref="H40:I40"/>
    <mergeCell ref="A41:B41"/>
    <mergeCell ref="H41:I41"/>
    <mergeCell ref="A44:E44"/>
    <mergeCell ref="H44:L44"/>
    <mergeCell ref="D36:D37"/>
    <mergeCell ref="E36:E38"/>
    <mergeCell ref="H36:H37"/>
    <mergeCell ref="I36:I37"/>
    <mergeCell ref="J36:J37"/>
    <mergeCell ref="K36:K37"/>
    <mergeCell ref="A36:A37"/>
    <mergeCell ref="B36:B37"/>
    <mergeCell ref="C36:C37"/>
    <mergeCell ref="A47:E47"/>
    <mergeCell ref="H47:L47"/>
    <mergeCell ref="H31:L31"/>
    <mergeCell ref="A34:B34"/>
    <mergeCell ref="C34:E34"/>
    <mergeCell ref="H34:I34"/>
    <mergeCell ref="J34:L34"/>
    <mergeCell ref="B35:E35"/>
    <mergeCell ref="I35:L35"/>
    <mergeCell ref="L22:L24"/>
    <mergeCell ref="A26:B26"/>
    <mergeCell ref="H26:I26"/>
    <mergeCell ref="A27:B27"/>
    <mergeCell ref="H27:I27"/>
    <mergeCell ref="A30:E30"/>
    <mergeCell ref="H30:L30"/>
    <mergeCell ref="A31:E31"/>
    <mergeCell ref="A33:E33"/>
    <mergeCell ref="H33:L33"/>
    <mergeCell ref="H12:I12"/>
    <mergeCell ref="H13:I13"/>
    <mergeCell ref="A16:E16"/>
    <mergeCell ref="H16:L16"/>
    <mergeCell ref="D22:D23"/>
    <mergeCell ref="E22:E24"/>
    <mergeCell ref="H22:H23"/>
    <mergeCell ref="I22:I23"/>
    <mergeCell ref="J22:J23"/>
    <mergeCell ref="K22:K23"/>
    <mergeCell ref="B21:E21"/>
    <mergeCell ref="A20:B20"/>
    <mergeCell ref="C20:E20"/>
    <mergeCell ref="H20:I20"/>
    <mergeCell ref="J20:L20"/>
    <mergeCell ref="I21:L21"/>
    <mergeCell ref="A22:A23"/>
    <mergeCell ref="B22:B23"/>
    <mergeCell ref="C22:C23"/>
    <mergeCell ref="A17:E17"/>
    <mergeCell ref="H17:L17"/>
    <mergeCell ref="A19:E19"/>
    <mergeCell ref="H19:L19"/>
    <mergeCell ref="H2:L2"/>
    <mergeCell ref="H3:L3"/>
    <mergeCell ref="H6:I6"/>
    <mergeCell ref="J6:L6"/>
    <mergeCell ref="I7:L7"/>
    <mergeCell ref="H8:H9"/>
    <mergeCell ref="I8:I9"/>
    <mergeCell ref="A8:A9"/>
    <mergeCell ref="B8:B9"/>
    <mergeCell ref="C8:C9"/>
    <mergeCell ref="D8:D9"/>
    <mergeCell ref="H5:L5"/>
    <mergeCell ref="J8:J9"/>
    <mergeCell ref="K8:K9"/>
    <mergeCell ref="L8:L10"/>
    <mergeCell ref="E8:E10"/>
  </mergeCells>
  <conditionalFormatting sqref="A1:L4 B5:L5 A6:B6 D6:L6 C7:L7 A7 A8:L139">
    <cfRule type="expression" dxfId="3" priority="1">
      <formula>ISERROR(A1)</formula>
    </cfRule>
  </conditionalFormatting>
  <printOptions horizontalCentered="1"/>
  <pageMargins left="0.19685039370078741" right="0.15748031496062992" top="0.23622047244094491" bottom="0.19685039370078741" header="0.23622047244094491" footer="0.15748031496062992"/>
  <pageSetup paperSize="9" scale="88" orientation="portrait" verticalDpi="0" r:id="rId1"/>
  <rowBreaks count="1" manualBreakCount="1">
    <brk id="7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B1" zoomScaleNormal="100" workbookViewId="0">
      <selection activeCell="J6" sqref="J6"/>
    </sheetView>
  </sheetViews>
  <sheetFormatPr defaultRowHeight="12.75" x14ac:dyDescent="0.2"/>
  <cols>
    <col min="1" max="1" width="0" hidden="1" customWidth="1"/>
    <col min="3" max="3" width="26.42578125" customWidth="1"/>
    <col min="4" max="4" width="10.140625" customWidth="1"/>
    <col min="5" max="5" width="20.28515625" bestFit="1" customWidth="1"/>
  </cols>
  <sheetData>
    <row r="1" spans="1:15" x14ac:dyDescent="0.2">
      <c r="A1" s="113" t="str">
        <f>VLOOKUP(ROW()*1000,'01.2012'!$D$2:$F$28,3,0)</f>
        <v>УПРАВЛЕНИЕ</v>
      </c>
    </row>
    <row r="2" spans="1:15" x14ac:dyDescent="0.2">
      <c r="A2" s="113" t="str">
        <f>VLOOKUP(ROW()*1000,'01.2012'!$D$2:$F$28,3,0)</f>
        <v>ОТДЕЛ КАДРОВ</v>
      </c>
      <c r="E2" s="6" t="s">
        <v>67</v>
      </c>
    </row>
    <row r="3" spans="1:15" x14ac:dyDescent="0.2">
      <c r="A3" s="113" t="str">
        <f>VLOOKUP(ROW()*1000,'01.2012'!$D$2:$F$28,3,0)</f>
        <v>БУХГАЛТЕРИЯ И ФИНАНСЫ</v>
      </c>
      <c r="E3" s="113">
        <f ca="1">MATCH(C4,Отдел,0)*1000</f>
        <v>2000</v>
      </c>
    </row>
    <row r="4" spans="1:15" x14ac:dyDescent="0.2">
      <c r="A4" s="113" t="e">
        <f>VLOOKUP(ROW()*1000,'01.2012'!$D$2:$F$28,3,0)</f>
        <v>#N/A</v>
      </c>
      <c r="C4" s="143" t="s">
        <v>45</v>
      </c>
      <c r="D4" s="143"/>
      <c r="E4" s="143"/>
    </row>
    <row r="5" spans="1:15" x14ac:dyDescent="0.2">
      <c r="A5" s="113" t="e">
        <f>VLOOKUP(ROW()*1000,'01.2012'!$D$2:$F$28,3,0)</f>
        <v>#N/A</v>
      </c>
    </row>
    <row r="6" spans="1:15" x14ac:dyDescent="0.2">
      <c r="A6" s="113" t="e">
        <f>VLOOKUP(ROW()*1000,'01.2012'!$D$2:$F$28,3,0)</f>
        <v>#N/A</v>
      </c>
    </row>
    <row r="7" spans="1:15" ht="15" x14ac:dyDescent="0.25">
      <c r="A7" s="113" t="e">
        <f>VLOOKUP(ROW()*1000,'01.2012'!$D$2:$F$28,3,0)</f>
        <v>#N/A</v>
      </c>
      <c r="B7" s="142" t="s">
        <v>64</v>
      </c>
      <c r="C7" s="142"/>
      <c r="D7" s="142"/>
      <c r="E7" s="142"/>
      <c r="G7" s="144"/>
      <c r="H7" s="144"/>
      <c r="I7" s="144"/>
      <c r="J7" s="144"/>
    </row>
    <row r="8" spans="1:15" ht="15" x14ac:dyDescent="0.25">
      <c r="A8" s="113" t="e">
        <f>VLOOKUP(ROW()*1000,'01.2012'!$D$2:$F$28,3,0)</f>
        <v>#N/A</v>
      </c>
      <c r="B8" s="142" t="str">
        <f ca="1">CONCATENATE("заработной платы за ",'01.2012'!$AD$1)</f>
        <v>заработной платы за 01.2012</v>
      </c>
      <c r="C8" s="142"/>
      <c r="D8" s="142"/>
      <c r="E8" s="142"/>
      <c r="G8" s="144"/>
      <c r="H8" s="144"/>
      <c r="I8" s="144"/>
      <c r="J8" s="145"/>
      <c r="K8" s="6"/>
      <c r="L8" s="6"/>
      <c r="M8" s="6"/>
      <c r="N8" s="6"/>
      <c r="O8" s="6"/>
    </row>
    <row r="9" spans="1:15" ht="12.75" customHeight="1" x14ac:dyDescent="0.2">
      <c r="A9" s="113" t="e">
        <f>VLOOKUP(ROW()*1000,'01.2012'!$D$2:$F$28,3,0)</f>
        <v>#N/A</v>
      </c>
      <c r="B9" s="113">
        <f t="array" aca="1" ref="B9" ca="1">MAX((E3='01.2012'!D2:D28)*'01.2012'!B2:B28)+1</f>
        <v>4</v>
      </c>
      <c r="C9" s="113" t="s">
        <v>53</v>
      </c>
      <c r="D9" s="113"/>
      <c r="G9" s="6"/>
      <c r="H9" s="6"/>
      <c r="I9" s="6"/>
      <c r="J9" s="6"/>
      <c r="K9" s="6"/>
      <c r="L9" s="6"/>
      <c r="M9" s="6"/>
      <c r="N9" s="6"/>
      <c r="O9" s="6"/>
    </row>
    <row r="10" spans="1:15" ht="12.75" customHeight="1" x14ac:dyDescent="0.2">
      <c r="A10" s="113" t="e">
        <f>VLOOKUP(ROW()*1000,'01.2012'!$D$2:$F$28,3,0)</f>
        <v>#N/A</v>
      </c>
      <c r="B10" s="115" t="s">
        <v>12</v>
      </c>
      <c r="C10" s="102" t="s">
        <v>35</v>
      </c>
      <c r="D10" s="102" t="s">
        <v>65</v>
      </c>
      <c r="E10" s="116" t="s">
        <v>66</v>
      </c>
      <c r="G10" s="146" t="s">
        <v>70</v>
      </c>
      <c r="H10" s="146"/>
      <c r="I10" s="146"/>
      <c r="J10" s="146"/>
      <c r="K10" s="146"/>
      <c r="L10" s="146"/>
      <c r="M10" s="6"/>
      <c r="N10" s="6"/>
      <c r="O10" s="6"/>
    </row>
    <row r="11" spans="1:15" ht="15.75" customHeight="1" x14ac:dyDescent="0.2">
      <c r="A11" s="113" t="e">
        <f>VLOOKUP(ROW()*1000,'01.2012'!$D$2:$F$28,3,0)</f>
        <v>#N/A</v>
      </c>
      <c r="B11" s="119">
        <v>1</v>
      </c>
      <c r="C11" s="114" t="str">
        <f t="array" aca="1" ref="C11" ca="1">IF($B11=$B$9,C$9,INDEX('01.2012'!$F$2:$F$28,SUMPRODUCT(($B11='01.2012'!$B$2:$B$28)*($E$3='01.2012'!$D$2:$D$28)*ROW('01.2012'!$B$2:$B$28))-1))</f>
        <v>Бободжонова Нарзия</v>
      </c>
      <c r="D11" s="114">
        <f ca="1">IF($B11=$B$9,SUM(D$10:D10),ROUNDDOWN(INDEX('01.2012'!$AC$2:$AC$28,SUMPRODUCT(($B11='01.2012'!$B$2:$B$28)*($E$3='01.2012'!$D$2:$D$28)*ROW('01.2012'!$B$2:$B$28))-1),1))</f>
        <v>119.7</v>
      </c>
      <c r="E11" s="117"/>
      <c r="G11" s="146"/>
      <c r="H11" s="146"/>
      <c r="I11" s="146"/>
      <c r="J11" s="146"/>
      <c r="K11" s="146"/>
      <c r="L11" s="146"/>
      <c r="M11" s="6"/>
      <c r="N11" s="6"/>
      <c r="O11" s="6"/>
    </row>
    <row r="12" spans="1:15" ht="15.75" customHeight="1" x14ac:dyDescent="0.2">
      <c r="A12" s="113" t="e">
        <f>VLOOKUP(ROW()*1000,'01.2012'!$D$2:$F$28,3,0)</f>
        <v>#N/A</v>
      </c>
      <c r="B12" s="119">
        <v>2</v>
      </c>
      <c r="C12" s="114" t="str">
        <f t="array" aca="1" ref="C12" ca="1">IF($B12=$B$9,C$9,INDEX('01.2012'!$F$2:$F$28,SUMPRODUCT(($B12='01.2012'!$B$2:$B$28)*($E$3='01.2012'!$D$2:$D$28)*ROW('01.2012'!$B$2:$B$28))-1))</f>
        <v>Давлатов Талиб</v>
      </c>
      <c r="D12" s="114">
        <f ca="1">IF($B12=$B$9,SUM(D$10:D11),ROUNDDOWN(INDEX('01.2012'!$AC$2:$AC$28,SUMPRODUCT(($B12='01.2012'!$B$2:$B$28)*($E$3='01.2012'!$D$2:$D$28)*ROW('01.2012'!$B$2:$B$28))-1),1))</f>
        <v>134.1</v>
      </c>
      <c r="E12" s="117"/>
      <c r="G12" s="146"/>
      <c r="H12" s="146"/>
      <c r="I12" s="146"/>
      <c r="J12" s="146"/>
      <c r="K12" s="146"/>
      <c r="L12" s="146"/>
      <c r="M12" s="6"/>
      <c r="N12" s="6"/>
      <c r="O12" s="6"/>
    </row>
    <row r="13" spans="1:15" ht="15.75" customHeight="1" x14ac:dyDescent="0.2">
      <c r="A13" s="113" t="e">
        <f>VLOOKUP(ROW()*1000,'01.2012'!$D$2:$F$28,3,0)</f>
        <v>#N/A</v>
      </c>
      <c r="B13" s="119">
        <v>3</v>
      </c>
      <c r="C13" s="114" t="str">
        <f t="array" aca="1" ref="C13" ca="1">IF($B13=$B$9,C$9,INDEX('01.2012'!$F$2:$F$28,SUMPRODUCT(($B13='01.2012'!$B$2:$B$28)*($E$3='01.2012'!$D$2:$D$28)*ROW('01.2012'!$B$2:$B$28))-1))</f>
        <v>Рахматова Зебо</v>
      </c>
      <c r="D13" s="114">
        <f ca="1">IF($B13=$B$9,SUM(D$10:D12),ROUNDDOWN(INDEX('01.2012'!$AC$2:$AC$28,SUMPRODUCT(($B13='01.2012'!$B$2:$B$28)*($E$3='01.2012'!$D$2:$D$28)*ROW('01.2012'!$B$2:$B$28))-1),1))</f>
        <v>96.7</v>
      </c>
      <c r="E13" s="117"/>
      <c r="G13" s="146"/>
      <c r="H13" s="146"/>
      <c r="I13" s="146"/>
      <c r="J13" s="146"/>
      <c r="K13" s="146"/>
      <c r="L13" s="146"/>
      <c r="M13" s="6"/>
      <c r="N13" s="6"/>
      <c r="O13" s="6"/>
    </row>
    <row r="14" spans="1:15" ht="15.75" customHeight="1" x14ac:dyDescent="0.2">
      <c r="A14" s="113" t="e">
        <f>VLOOKUP(ROW()*1000,'01.2012'!$D$2:$F$28,3,0)</f>
        <v>#N/A</v>
      </c>
      <c r="B14" s="119">
        <v>4</v>
      </c>
      <c r="C14" s="114" t="str">
        <f t="array" aca="1" ref="C14" ca="1">IF($B14=$B$9,C$9,INDEX('01.2012'!$F$2:$F$28,SUMPRODUCT(($B14='01.2012'!$B$2:$B$28)*($E$3='01.2012'!$D$2:$D$28)*ROW('01.2012'!$B$2:$B$28))-1))</f>
        <v>Итого:</v>
      </c>
      <c r="D14" s="114">
        <f ca="1">IF($B14=$B$9,SUM(D$10:D13),ROUNDDOWN(INDEX('01.2012'!$AC$2:$AC$28,SUMPRODUCT(($B14='01.2012'!$B$2:$B$28)*($E$3='01.2012'!$D$2:$D$28)*ROW('01.2012'!$B$2:$B$28))-1),1))</f>
        <v>350.5</v>
      </c>
      <c r="E14" s="117"/>
      <c r="G14" s="146"/>
      <c r="H14" s="146"/>
      <c r="I14" s="146"/>
      <c r="J14" s="146"/>
      <c r="K14" s="146"/>
      <c r="L14" s="146"/>
      <c r="M14" s="6"/>
      <c r="N14" s="6"/>
      <c r="O14" s="6"/>
    </row>
    <row r="15" spans="1:15" ht="15.75" customHeight="1" x14ac:dyDescent="0.2">
      <c r="A15" s="113" t="e">
        <f>VLOOKUP(ROW()*1000,'01.2012'!$D$2:$F$28,3,0)</f>
        <v>#N/A</v>
      </c>
      <c r="B15" s="119">
        <v>5</v>
      </c>
      <c r="C15" s="114" t="e">
        <f t="array" aca="1" ref="C15" ca="1">IF($B15=$B$9,C$9,INDEX('01.2012'!$F$2:$F$28,SUMPRODUCT(($B15='01.2012'!$B$2:$B$28)*($E$3='01.2012'!$D$2:$D$28)*ROW('01.2012'!$B$2:$B$28))-1))</f>
        <v>#VALUE!</v>
      </c>
      <c r="D15" s="114" t="e">
        <f ca="1">IF($B15=$B$9,SUM(D$10:D14),ROUNDDOWN(INDEX('01.2012'!$AC$2:$AC$28,SUMPRODUCT(($B15='01.2012'!$B$2:$B$28)*($E$3='01.2012'!$D$2:$D$28)*ROW('01.2012'!$B$2:$B$28))-1),1))</f>
        <v>#VALUE!</v>
      </c>
      <c r="E15" s="117"/>
      <c r="G15" s="146"/>
      <c r="H15" s="146"/>
      <c r="I15" s="146"/>
      <c r="J15" s="146"/>
      <c r="K15" s="146"/>
      <c r="L15" s="146"/>
      <c r="M15" s="6"/>
      <c r="N15" s="6"/>
      <c r="O15" s="6"/>
    </row>
    <row r="16" spans="1:15" ht="15.75" customHeight="1" x14ac:dyDescent="0.2">
      <c r="A16" s="113" t="e">
        <f>VLOOKUP(ROW()*1000,'01.2012'!$D$2:$F$28,3,0)</f>
        <v>#N/A</v>
      </c>
      <c r="B16" s="119">
        <v>6</v>
      </c>
      <c r="C16" s="114" t="e">
        <f t="array" aca="1" ref="C16" ca="1">IF($B16=$B$9,C$9,INDEX('01.2012'!$F$2:$F$28,SUMPRODUCT(($B16='01.2012'!$B$2:$B$28)*($E$3='01.2012'!$D$2:$D$28)*ROW('01.2012'!$B$2:$B$28))-1))</f>
        <v>#VALUE!</v>
      </c>
      <c r="D16" s="114" t="e">
        <f ca="1">IF($B16=$B$9,SUM(D$10:D15),ROUNDDOWN(INDEX('01.2012'!$AC$2:$AC$28,SUMPRODUCT(($B16='01.2012'!$B$2:$B$28)*($E$3='01.2012'!$D$2:$D$28)*ROW('01.2012'!$B$2:$B$28))-1),1))</f>
        <v>#VALUE!</v>
      </c>
      <c r="E16" s="117"/>
      <c r="G16" s="146"/>
      <c r="H16" s="146"/>
      <c r="I16" s="146"/>
      <c r="J16" s="146"/>
      <c r="K16" s="146"/>
      <c r="L16" s="146"/>
      <c r="M16" s="6"/>
      <c r="N16" s="6"/>
      <c r="O16" s="6"/>
    </row>
    <row r="17" spans="1:15" ht="15.75" customHeight="1" x14ac:dyDescent="0.2">
      <c r="A17" s="113" t="e">
        <f>VLOOKUP(ROW()*1000,'01.2012'!$D$2:$F$28,3,0)</f>
        <v>#N/A</v>
      </c>
      <c r="B17" s="119">
        <v>7</v>
      </c>
      <c r="C17" s="114" t="e">
        <f t="array" aca="1" ref="C17" ca="1">IF($B17=$B$9,C$9,INDEX('01.2012'!$F$2:$F$28,SUMPRODUCT(($B17='01.2012'!$B$2:$B$28)*($E$3='01.2012'!$D$2:$D$28)*ROW('01.2012'!$B$2:$B$28))-1))</f>
        <v>#VALUE!</v>
      </c>
      <c r="D17" s="114" t="e">
        <f ca="1">IF($B17=$B$9,SUM(D$10:D16),ROUNDDOWN(INDEX('01.2012'!$AC$2:$AC$28,SUMPRODUCT(($B17='01.2012'!$B$2:$B$28)*($E$3='01.2012'!$D$2:$D$28)*ROW('01.2012'!$B$2:$B$28))-1),1))</f>
        <v>#VALUE!</v>
      </c>
      <c r="E17" s="117"/>
      <c r="G17" s="146"/>
      <c r="H17" s="146"/>
      <c r="I17" s="146"/>
      <c r="J17" s="146"/>
      <c r="K17" s="146"/>
      <c r="L17" s="146"/>
      <c r="M17" s="6"/>
      <c r="N17" s="6"/>
      <c r="O17" s="6"/>
    </row>
    <row r="18" spans="1:15" ht="15.75" customHeight="1" x14ac:dyDescent="0.2">
      <c r="A18" s="113" t="e">
        <f>VLOOKUP(ROW()*1000,'01.2012'!$D$2:$F$28,3,0)</f>
        <v>#N/A</v>
      </c>
      <c r="B18" s="119">
        <v>8</v>
      </c>
      <c r="C18" s="114" t="e">
        <f t="array" aca="1" ref="C18" ca="1">IF($B18=$B$9,C$9,INDEX('01.2012'!$F$2:$F$28,SUMPRODUCT(($B18='01.2012'!$B$2:$B$28)*($E$3='01.2012'!$D$2:$D$28)*ROW('01.2012'!$B$2:$B$28))-1))</f>
        <v>#VALUE!</v>
      </c>
      <c r="D18" s="114" t="e">
        <f ca="1">IF($B18=$B$9,SUM(D$10:D17),ROUNDDOWN(INDEX('01.2012'!$AC$2:$AC$28,SUMPRODUCT(($B18='01.2012'!$B$2:$B$28)*($E$3='01.2012'!$D$2:$D$28)*ROW('01.2012'!$B$2:$B$28))-1),1))</f>
        <v>#VALUE!</v>
      </c>
      <c r="E18" s="117"/>
      <c r="G18" s="146"/>
      <c r="H18" s="146"/>
      <c r="I18" s="146"/>
      <c r="J18" s="146"/>
      <c r="K18" s="146"/>
      <c r="L18" s="146"/>
      <c r="M18" s="6"/>
      <c r="N18" s="6"/>
      <c r="O18" s="6"/>
    </row>
    <row r="19" spans="1:15" ht="15.75" customHeight="1" x14ac:dyDescent="0.2">
      <c r="A19" s="113" t="e">
        <f>VLOOKUP(ROW()*1000,'01.2012'!$D$2:$F$28,3,0)</f>
        <v>#N/A</v>
      </c>
      <c r="B19" s="119">
        <v>9</v>
      </c>
      <c r="C19" s="114" t="e">
        <f t="array" aca="1" ref="C19" ca="1">IF($B19=$B$9,C$9,INDEX('01.2012'!$F$2:$F$28,SUMPRODUCT(($B19='01.2012'!$B$2:$B$28)*($E$3='01.2012'!$D$2:$D$28)*ROW('01.2012'!$B$2:$B$28))-1))</f>
        <v>#VALUE!</v>
      </c>
      <c r="D19" s="114" t="e">
        <f ca="1">IF($B19=$B$9,SUM(D$10:D18),ROUNDDOWN(INDEX('01.2012'!$AC$2:$AC$28,SUMPRODUCT(($B19='01.2012'!$B$2:$B$28)*($E$3='01.2012'!$D$2:$D$28)*ROW('01.2012'!$B$2:$B$28))-1),1))</f>
        <v>#VALUE!</v>
      </c>
      <c r="E19" s="117"/>
      <c r="G19" s="146"/>
      <c r="H19" s="146"/>
      <c r="I19" s="146"/>
      <c r="J19" s="146"/>
      <c r="K19" s="146"/>
      <c r="L19" s="146"/>
      <c r="M19" s="6"/>
      <c r="N19" s="6"/>
      <c r="O19" s="6"/>
    </row>
    <row r="20" spans="1:15" ht="15.75" customHeight="1" x14ac:dyDescent="0.2">
      <c r="A20" s="113" t="e">
        <f>VLOOKUP(ROW()*1000,'01.2012'!$D$2:$F$28,3,0)</f>
        <v>#N/A</v>
      </c>
      <c r="B20" s="119">
        <v>10</v>
      </c>
      <c r="C20" s="114" t="e">
        <f t="array" aca="1" ref="C20" ca="1">IF($B20=$B$9,C$9,INDEX('01.2012'!$F$2:$F$28,SUMPRODUCT(($B20='01.2012'!$B$2:$B$28)*($E$3='01.2012'!$D$2:$D$28)*ROW('01.2012'!$B$2:$B$28))-1))</f>
        <v>#VALUE!</v>
      </c>
      <c r="D20" s="114" t="e">
        <f ca="1">IF($B20=$B$9,SUM(D$10:D19),ROUNDDOWN(INDEX('01.2012'!$AC$2:$AC$28,SUMPRODUCT(($B20='01.2012'!$B$2:$B$28)*($E$3='01.2012'!$D$2:$D$28)*ROW('01.2012'!$B$2:$B$28))-1),1))</f>
        <v>#VALUE!</v>
      </c>
      <c r="E20" s="117"/>
      <c r="G20" s="146"/>
      <c r="H20" s="146"/>
      <c r="I20" s="146"/>
      <c r="J20" s="146"/>
      <c r="K20" s="146"/>
      <c r="L20" s="146"/>
      <c r="M20" s="6"/>
      <c r="N20" s="6"/>
      <c r="O20" s="6"/>
    </row>
    <row r="21" spans="1:15" ht="15.75" customHeight="1" x14ac:dyDescent="0.2">
      <c r="A21" s="113" t="e">
        <f>VLOOKUP(ROW()*1000,'01.2012'!$D$2:$F$28,3,0)</f>
        <v>#N/A</v>
      </c>
      <c r="B21" s="119">
        <v>11</v>
      </c>
      <c r="C21" s="114" t="e">
        <f t="array" aca="1" ref="C21" ca="1">IF($B21=$B$9,C$9,INDEX('01.2012'!$F$2:$F$28,SUMPRODUCT(($B21='01.2012'!$B$2:$B$28)*($E$3='01.2012'!$D$2:$D$28)*ROW('01.2012'!$B$2:$B$28))-1))</f>
        <v>#VALUE!</v>
      </c>
      <c r="D21" s="114" t="e">
        <f ca="1">IF($B21=$B$9,SUM(D$10:D20),ROUNDDOWN(INDEX('01.2012'!$AC$2:$AC$28,SUMPRODUCT(($B21='01.2012'!$B$2:$B$28)*($E$3='01.2012'!$D$2:$D$28)*ROW('01.2012'!$B$2:$B$28))-1),1))</f>
        <v>#VALUE!</v>
      </c>
      <c r="E21" s="117"/>
      <c r="G21" s="146"/>
      <c r="H21" s="146"/>
      <c r="I21" s="146"/>
      <c r="J21" s="146"/>
      <c r="K21" s="146"/>
      <c r="L21" s="146"/>
      <c r="M21" s="6"/>
      <c r="N21" s="6"/>
      <c r="O21" s="6"/>
    </row>
    <row r="22" spans="1:15" ht="15.75" customHeight="1" x14ac:dyDescent="0.2">
      <c r="A22" s="113" t="e">
        <f>VLOOKUP(ROW()*1000,'01.2012'!$D$2:$F$28,3,0)</f>
        <v>#N/A</v>
      </c>
      <c r="B22" s="119">
        <v>12</v>
      </c>
      <c r="C22" s="114" t="e">
        <f t="array" aca="1" ref="C22" ca="1">IF($B22=$B$9,C$9,INDEX('01.2012'!$F$2:$F$28,SUMPRODUCT(($B22='01.2012'!$B$2:$B$28)*($E$3='01.2012'!$D$2:$D$28)*ROW('01.2012'!$B$2:$B$28))-1))</f>
        <v>#VALUE!</v>
      </c>
      <c r="D22" s="114" t="e">
        <f ca="1">IF($B22=$B$9,SUM(D$10:D21),ROUNDDOWN(INDEX('01.2012'!$AC$2:$AC$28,SUMPRODUCT(($B22='01.2012'!$B$2:$B$28)*($E$3='01.2012'!$D$2:$D$28)*ROW('01.2012'!$B$2:$B$28))-1),1))</f>
        <v>#VALUE!</v>
      </c>
      <c r="E22" s="117"/>
      <c r="G22" s="146"/>
      <c r="H22" s="146"/>
      <c r="I22" s="146"/>
      <c r="J22" s="146"/>
      <c r="K22" s="146"/>
      <c r="L22" s="146"/>
      <c r="M22" s="6"/>
      <c r="N22" s="6"/>
      <c r="O22" s="6"/>
    </row>
    <row r="23" spans="1:15" ht="15.75" customHeight="1" x14ac:dyDescent="0.2">
      <c r="A23" s="113" t="e">
        <f>VLOOKUP(ROW()*1000,'01.2012'!$D$2:$F$28,3,0)</f>
        <v>#N/A</v>
      </c>
      <c r="B23" s="119">
        <v>13</v>
      </c>
      <c r="C23" s="114" t="e">
        <f t="array" aca="1" ref="C23" ca="1">IF($B23=$B$9,C$9,INDEX('01.2012'!$F$2:$F$28,SUMPRODUCT(($B23='01.2012'!$B$2:$B$28)*($E$3='01.2012'!$D$2:$D$28)*ROW('01.2012'!$B$2:$B$28))-1))</f>
        <v>#VALUE!</v>
      </c>
      <c r="D23" s="114" t="e">
        <f ca="1">IF($B23=$B$9,SUM(D$10:D22),ROUNDDOWN(INDEX('01.2012'!$AC$2:$AC$28,SUMPRODUCT(($B23='01.2012'!$B$2:$B$28)*($E$3='01.2012'!$D$2:$D$28)*ROW('01.2012'!$B$2:$B$28))-1),1))</f>
        <v>#VALUE!</v>
      </c>
      <c r="E23" s="117"/>
      <c r="G23" s="146"/>
      <c r="H23" s="146"/>
      <c r="I23" s="146"/>
      <c r="J23" s="146"/>
      <c r="K23" s="146"/>
      <c r="L23" s="146"/>
      <c r="M23" s="6"/>
      <c r="N23" s="6"/>
      <c r="O23" s="6"/>
    </row>
    <row r="24" spans="1:15" ht="15.75" customHeight="1" x14ac:dyDescent="0.2">
      <c r="A24" s="113" t="e">
        <f>VLOOKUP(ROW()*1000,'01.2012'!$D$2:$F$28,3,0)</f>
        <v>#N/A</v>
      </c>
      <c r="B24" s="119">
        <v>14</v>
      </c>
      <c r="C24" s="114" t="e">
        <f t="array" aca="1" ref="C24" ca="1">IF($B24=$B$9,C$9,INDEX('01.2012'!$F$2:$F$28,SUMPRODUCT(($B24='01.2012'!$B$2:$B$28)*($E$3='01.2012'!$D$2:$D$28)*ROW('01.2012'!$B$2:$B$28))-1))</f>
        <v>#VALUE!</v>
      </c>
      <c r="D24" s="114" t="e">
        <f ca="1">IF($B24=$B$9,SUM(D$10:D23),ROUNDDOWN(INDEX('01.2012'!$AC$2:$AC$28,SUMPRODUCT(($B24='01.2012'!$B$2:$B$28)*($E$3='01.2012'!$D$2:$D$28)*ROW('01.2012'!$B$2:$B$28))-1),1))</f>
        <v>#VALUE!</v>
      </c>
      <c r="E24" s="117"/>
      <c r="G24" s="146"/>
      <c r="H24" s="146"/>
      <c r="I24" s="146"/>
      <c r="J24" s="146"/>
      <c r="K24" s="146"/>
      <c r="L24" s="146"/>
      <c r="M24" s="6"/>
      <c r="N24" s="6"/>
      <c r="O24" s="6"/>
    </row>
    <row r="25" spans="1:15" ht="15.75" customHeight="1" x14ac:dyDescent="0.2">
      <c r="A25" s="113" t="e">
        <f>VLOOKUP(ROW()*1000,'01.2012'!$D$2:$F$28,3,0)</f>
        <v>#N/A</v>
      </c>
      <c r="B25" s="119">
        <v>15</v>
      </c>
      <c r="C25" s="114" t="e">
        <f t="array" aca="1" ref="C25" ca="1">IF($B25=$B$9,C$9,INDEX('01.2012'!$F$2:$F$28,SUMPRODUCT(($B25='01.2012'!$B$2:$B$28)*($E$3='01.2012'!$D$2:$D$28)*ROW('01.2012'!$B$2:$B$28))-1))</f>
        <v>#VALUE!</v>
      </c>
      <c r="D25" s="114" t="e">
        <f ca="1">IF($B25=$B$9,SUM(D$10:D24),ROUNDDOWN(INDEX('01.2012'!$AC$2:$AC$28,SUMPRODUCT(($B25='01.2012'!$B$2:$B$28)*($E$3='01.2012'!$D$2:$D$28)*ROW('01.2012'!$B$2:$B$28))-1),1))</f>
        <v>#VALUE!</v>
      </c>
      <c r="E25" s="117"/>
      <c r="G25" s="146"/>
      <c r="H25" s="146"/>
      <c r="I25" s="146"/>
      <c r="J25" s="146"/>
      <c r="K25" s="146"/>
      <c r="L25" s="146"/>
      <c r="M25" s="6"/>
      <c r="N25" s="6"/>
      <c r="O25" s="6"/>
    </row>
    <row r="26" spans="1:15" ht="15.75" customHeight="1" x14ac:dyDescent="0.2">
      <c r="B26" s="119">
        <v>16</v>
      </c>
      <c r="C26" s="114" t="e">
        <f t="array" aca="1" ref="C26" ca="1">IF($B26=$B$9,C$9,INDEX('01.2012'!$F$2:$F$28,SUMPRODUCT(($B26='01.2012'!$B$2:$B$28)*($E$3='01.2012'!$D$2:$D$28)*ROW('01.2012'!$B$2:$B$28))-1))</f>
        <v>#VALUE!</v>
      </c>
      <c r="D26" s="114" t="e">
        <f ca="1">IF($B26=$B$9,SUM(D$10:D25),ROUNDDOWN(INDEX('01.2012'!$AC$2:$AC$28,SUMPRODUCT(($B26='01.2012'!$B$2:$B$28)*($E$3='01.2012'!$D$2:$D$28)*ROW('01.2012'!$B$2:$B$28))-1),1))</f>
        <v>#VALUE!</v>
      </c>
      <c r="E26" s="117"/>
      <c r="G26" s="146"/>
      <c r="H26" s="146"/>
      <c r="I26" s="146"/>
      <c r="J26" s="146"/>
      <c r="K26" s="146"/>
      <c r="L26" s="146"/>
      <c r="M26" s="6"/>
      <c r="N26" s="6"/>
      <c r="O26" s="6"/>
    </row>
    <row r="27" spans="1:15" ht="15.75" customHeight="1" x14ac:dyDescent="0.2">
      <c r="B27" s="119">
        <v>17</v>
      </c>
      <c r="C27" s="114" t="e">
        <f t="array" aca="1" ref="C27" ca="1">IF($B27=$B$9,C$9,INDEX('01.2012'!$F$2:$F$28,SUMPRODUCT(($B27='01.2012'!$B$2:$B$28)*($E$3='01.2012'!$D$2:$D$28)*ROW('01.2012'!$B$2:$B$28))-1))</f>
        <v>#VALUE!</v>
      </c>
      <c r="D27" s="114" t="e">
        <f ca="1">IF($B27=$B$9,SUM(D$10:D26),ROUNDDOWN(INDEX('01.2012'!$AC$2:$AC$28,SUMPRODUCT(($B27='01.2012'!$B$2:$B$28)*($E$3='01.2012'!$D$2:$D$28)*ROW('01.2012'!$B$2:$B$28))-1),1))</f>
        <v>#VALUE!</v>
      </c>
      <c r="E27" s="117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customHeight="1" x14ac:dyDescent="0.2">
      <c r="B28" s="119">
        <v>18</v>
      </c>
      <c r="C28" s="114" t="e">
        <f t="array" aca="1" ref="C28" ca="1">IF($B28=$B$9,C$9,INDEX('01.2012'!$F$2:$F$28,SUMPRODUCT(($B28='01.2012'!$B$2:$B$28)*($E$3='01.2012'!$D$2:$D$28)*ROW('01.2012'!$B$2:$B$28))-1))</f>
        <v>#VALUE!</v>
      </c>
      <c r="D28" s="114" t="e">
        <f ca="1">IF($B28=$B$9,SUM(D$10:D27),ROUNDDOWN(INDEX('01.2012'!$AC$2:$AC$28,SUMPRODUCT(($B28='01.2012'!$B$2:$B$28)*($E$3='01.2012'!$D$2:$D$28)*ROW('01.2012'!$B$2:$B$28))-1),1))</f>
        <v>#VALUE!</v>
      </c>
      <c r="E28" s="117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customHeight="1" x14ac:dyDescent="0.2">
      <c r="B29" s="119">
        <v>19</v>
      </c>
      <c r="C29" s="114" t="e">
        <f t="array" aca="1" ref="C29" ca="1">IF($B29=$B$9,C$9,INDEX('01.2012'!$F$2:$F$28,SUMPRODUCT(($B29='01.2012'!$B$2:$B$28)*($E$3='01.2012'!$D$2:$D$28)*ROW('01.2012'!$B$2:$B$28))-1))</f>
        <v>#VALUE!</v>
      </c>
      <c r="D29" s="114" t="e">
        <f ca="1">IF($B29=$B$9,SUM(D$10:D28),ROUNDDOWN(INDEX('01.2012'!$AC$2:$AC$28,SUMPRODUCT(($B29='01.2012'!$B$2:$B$28)*($E$3='01.2012'!$D$2:$D$28)*ROW('01.2012'!$B$2:$B$28))-1),1))</f>
        <v>#VALUE!</v>
      </c>
      <c r="E29" s="117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customHeight="1" x14ac:dyDescent="0.2">
      <c r="B30" s="119">
        <v>20</v>
      </c>
      <c r="C30" s="114" t="e">
        <f t="array" aca="1" ref="C30" ca="1">IF($B30=$B$9,C$9,INDEX('01.2012'!$F$2:$F$28,SUMPRODUCT(($B30='01.2012'!$B$2:$B$28)*($E$3='01.2012'!$D$2:$D$28)*ROW('01.2012'!$B$2:$B$28))-1))</f>
        <v>#VALUE!</v>
      </c>
      <c r="D30" s="114" t="e">
        <f ca="1">IF($B30=$B$9,SUM(D$10:D29),ROUNDDOWN(INDEX('01.2012'!$AC$2:$AC$28,SUMPRODUCT(($B30='01.2012'!$B$2:$B$28)*($E$3='01.2012'!$D$2:$D$28)*ROW('01.2012'!$B$2:$B$28))-1),1))</f>
        <v>#VALUE!</v>
      </c>
      <c r="E30" s="117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customHeight="1" x14ac:dyDescent="0.2">
      <c r="B31" s="119">
        <v>21</v>
      </c>
      <c r="C31" s="114" t="e">
        <f t="array" aca="1" ref="C31" ca="1">IF($B31=$B$9,C$9,INDEX('01.2012'!$F$2:$F$28,SUMPRODUCT(($B31='01.2012'!$B$2:$B$28)*($E$3='01.2012'!$D$2:$D$28)*ROW('01.2012'!$B$2:$B$28))-1))</f>
        <v>#VALUE!</v>
      </c>
      <c r="D31" s="114" t="e">
        <f ca="1">IF($B31=$B$9,SUM(D$10:D30),ROUNDDOWN(INDEX('01.2012'!$AC$2:$AC$28,SUMPRODUCT(($B31='01.2012'!$B$2:$B$28)*($E$3='01.2012'!$D$2:$D$28)*ROW('01.2012'!$B$2:$B$28))-1),1))</f>
        <v>#VALUE!</v>
      </c>
      <c r="E31" s="117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customHeight="1" x14ac:dyDescent="0.2">
      <c r="B32" s="119">
        <v>22</v>
      </c>
      <c r="C32" s="114" t="e">
        <f t="array" aca="1" ref="C32" ca="1">IF($B32=$B$9,C$9,INDEX('01.2012'!$F$2:$F$28,SUMPRODUCT(($B32='01.2012'!$B$2:$B$28)*($E$3='01.2012'!$D$2:$D$28)*ROW('01.2012'!$B$2:$B$28))-1))</f>
        <v>#VALUE!</v>
      </c>
      <c r="D32" s="114" t="e">
        <f ca="1">IF($B32=$B$9,SUM(D$10:D31),ROUNDDOWN(INDEX('01.2012'!$AC$2:$AC$28,SUMPRODUCT(($B32='01.2012'!$B$2:$B$28)*($E$3='01.2012'!$D$2:$D$28)*ROW('01.2012'!$B$2:$B$28))-1),1))</f>
        <v>#VALUE!</v>
      </c>
      <c r="E32" s="117"/>
      <c r="G32" s="6"/>
      <c r="H32" s="6"/>
      <c r="I32" s="6"/>
      <c r="J32" s="6"/>
      <c r="K32" s="6"/>
      <c r="L32" s="6"/>
      <c r="M32" s="6"/>
      <c r="N32" s="6"/>
      <c r="O32" s="6"/>
    </row>
    <row r="33" spans="2:15" ht="15.75" customHeight="1" x14ac:dyDescent="0.2">
      <c r="B33" s="119">
        <v>23</v>
      </c>
      <c r="C33" s="114" t="e">
        <f t="array" aca="1" ref="C33" ca="1">IF($B33=$B$9,C$9,INDEX('01.2012'!$F$2:$F$28,SUMPRODUCT(($B33='01.2012'!$B$2:$B$28)*($E$3='01.2012'!$D$2:$D$28)*ROW('01.2012'!$B$2:$B$28))-1))</f>
        <v>#VALUE!</v>
      </c>
      <c r="D33" s="114" t="e">
        <f ca="1">IF($B33=$B$9,SUM(D$10:D32),ROUNDDOWN(INDEX('01.2012'!$AC$2:$AC$28,SUMPRODUCT(($B33='01.2012'!$B$2:$B$28)*($E$3='01.2012'!$D$2:$D$28)*ROW('01.2012'!$B$2:$B$28))-1),1))</f>
        <v>#VALUE!</v>
      </c>
      <c r="E33" s="117"/>
      <c r="G33" s="6"/>
      <c r="H33" s="6"/>
      <c r="I33" s="6"/>
      <c r="J33" s="6"/>
      <c r="K33" s="6"/>
      <c r="L33" s="6"/>
      <c r="M33" s="6"/>
      <c r="N33" s="6"/>
      <c r="O33" s="6"/>
    </row>
    <row r="34" spans="2:15" ht="15.75" customHeight="1" x14ac:dyDescent="0.2">
      <c r="B34" s="119">
        <v>24</v>
      </c>
      <c r="C34" s="114" t="e">
        <f t="array" aca="1" ref="C34" ca="1">IF($B34=$B$9,C$9,INDEX('01.2012'!$F$2:$F$28,SUMPRODUCT(($B34='01.2012'!$B$2:$B$28)*($E$3='01.2012'!$D$2:$D$28)*ROW('01.2012'!$B$2:$B$28))-1))</f>
        <v>#VALUE!</v>
      </c>
      <c r="D34" s="114" t="e">
        <f ca="1">IF($B34=$B$9,SUM(D$10:D33),ROUNDDOWN(INDEX('01.2012'!$AC$2:$AC$28,SUMPRODUCT(($B34='01.2012'!$B$2:$B$28)*($E$3='01.2012'!$D$2:$D$28)*ROW('01.2012'!$B$2:$B$28))-1),1))</f>
        <v>#VALUE!</v>
      </c>
      <c r="E34" s="117"/>
      <c r="G34" s="6"/>
      <c r="H34" s="6"/>
      <c r="I34" s="6"/>
      <c r="J34" s="6"/>
      <c r="K34" s="6"/>
      <c r="L34" s="6"/>
      <c r="M34" s="6"/>
      <c r="N34" s="6"/>
      <c r="O34" s="6"/>
    </row>
    <row r="35" spans="2:15" ht="15.75" customHeight="1" x14ac:dyDescent="0.2">
      <c r="B35" s="119">
        <v>25</v>
      </c>
      <c r="C35" s="114" t="e">
        <f t="array" aca="1" ref="C35" ca="1">IF($B35=$B$9,C$9,INDEX('01.2012'!$F$2:$F$28,SUMPRODUCT(($B35='01.2012'!$B$2:$B$28)*($E$3='01.2012'!$D$2:$D$28)*ROW('01.2012'!$B$2:$B$28))-1))</f>
        <v>#VALUE!</v>
      </c>
      <c r="D35" s="114" t="e">
        <f ca="1">IF($B35=$B$9,SUM(D$10:D34),ROUNDDOWN(INDEX('01.2012'!$AC$2:$AC$28,SUMPRODUCT(($B35='01.2012'!$B$2:$B$28)*($E$3='01.2012'!$D$2:$D$28)*ROW('01.2012'!$B$2:$B$28))-1),1))</f>
        <v>#VALUE!</v>
      </c>
      <c r="E35" s="117"/>
      <c r="G35" s="6"/>
      <c r="H35" s="6"/>
      <c r="I35" s="6"/>
      <c r="J35" s="6"/>
      <c r="K35" s="6"/>
      <c r="L35" s="6"/>
      <c r="M35" s="6"/>
      <c r="N35" s="6"/>
      <c r="O35" s="6"/>
    </row>
    <row r="36" spans="2:15" ht="15.75" customHeight="1" x14ac:dyDescent="0.2">
      <c r="B36" s="119">
        <v>26</v>
      </c>
      <c r="C36" s="114" t="e">
        <f t="array" aca="1" ref="C36" ca="1">IF($B36=$B$9,C$9,INDEX('01.2012'!$F$2:$F$28,SUMPRODUCT(($B36='01.2012'!$B$2:$B$28)*($E$3='01.2012'!$D$2:$D$28)*ROW('01.2012'!$B$2:$B$28))-1))</f>
        <v>#VALUE!</v>
      </c>
      <c r="D36" s="114" t="e">
        <f ca="1">IF($B36=$B$9,SUM(D$10:D35),ROUNDDOWN(INDEX('01.2012'!$AC$2:$AC$28,SUMPRODUCT(($B36='01.2012'!$B$2:$B$28)*($E$3='01.2012'!$D$2:$D$28)*ROW('01.2012'!$B$2:$B$28))-1),1))</f>
        <v>#VALUE!</v>
      </c>
      <c r="E36" s="117"/>
    </row>
    <row r="37" spans="2:15" ht="15.75" customHeight="1" x14ac:dyDescent="0.2">
      <c r="B37" s="119">
        <v>27</v>
      </c>
      <c r="C37" s="114" t="e">
        <f t="array" aca="1" ref="C37" ca="1">IF($B37=$B$9,C$9,INDEX('01.2012'!$F$2:$F$28,SUMPRODUCT(($B37='01.2012'!$B$2:$B$28)*($E$3='01.2012'!$D$2:$D$28)*ROW('01.2012'!$B$2:$B$28))-1))</f>
        <v>#VALUE!</v>
      </c>
      <c r="D37" s="114" t="e">
        <f ca="1">IF($B37=$B$9,SUM(D$10:D36),ROUNDDOWN(INDEX('01.2012'!$AC$2:$AC$28,SUMPRODUCT(($B37='01.2012'!$B$2:$B$28)*($E$3='01.2012'!$D$2:$D$28)*ROW('01.2012'!$B$2:$B$28))-1),1))</f>
        <v>#VALUE!</v>
      </c>
      <c r="E37" s="117"/>
    </row>
    <row r="38" spans="2:15" ht="15.75" customHeight="1" x14ac:dyDescent="0.2">
      <c r="B38" s="119">
        <v>28</v>
      </c>
      <c r="C38" s="114" t="e">
        <f t="array" aca="1" ref="C38" ca="1">IF($B38=$B$9,C$9,INDEX('01.2012'!$F$2:$F$28,SUMPRODUCT(($B38='01.2012'!$B$2:$B$28)*($E$3='01.2012'!$D$2:$D$28)*ROW('01.2012'!$B$2:$B$28))-1))</f>
        <v>#VALUE!</v>
      </c>
      <c r="D38" s="114" t="e">
        <f ca="1">IF($B38=$B$9,SUM(D$10:D37),ROUNDDOWN(INDEX('01.2012'!$AC$2:$AC$28,SUMPRODUCT(($B38='01.2012'!$B$2:$B$28)*($E$3='01.2012'!$D$2:$D$28)*ROW('01.2012'!$B$2:$B$28))-1),1))</f>
        <v>#VALUE!</v>
      </c>
      <c r="E38" s="117"/>
    </row>
    <row r="39" spans="2:15" ht="15.75" customHeight="1" x14ac:dyDescent="0.2">
      <c r="B39" s="119">
        <v>29</v>
      </c>
      <c r="C39" s="114" t="e">
        <f t="array" aca="1" ref="C39" ca="1">IF($B39=$B$9,C$9,INDEX('01.2012'!$F$2:$F$28,SUMPRODUCT(($B39='01.2012'!$B$2:$B$28)*($E$3='01.2012'!$D$2:$D$28)*ROW('01.2012'!$B$2:$B$28))-1))</f>
        <v>#VALUE!</v>
      </c>
      <c r="D39" s="114" t="e">
        <f ca="1">IF($B39=$B$9,SUM(D$10:D38),ROUNDDOWN(INDEX('01.2012'!$AC$2:$AC$28,SUMPRODUCT(($B39='01.2012'!$B$2:$B$28)*($E$3='01.2012'!$D$2:$D$28)*ROW('01.2012'!$B$2:$B$28))-1),1))</f>
        <v>#VALUE!</v>
      </c>
      <c r="E39" s="117"/>
    </row>
    <row r="40" spans="2:15" ht="15.75" customHeight="1" x14ac:dyDescent="0.2">
      <c r="B40" s="120">
        <v>30</v>
      </c>
      <c r="C40" s="114" t="e">
        <f t="array" aca="1" ref="C40" ca="1">IF($B40=$B$9,C$9,INDEX('01.2012'!$F$2:$F$28,SUMPRODUCT(($B40='01.2012'!$B$2:$B$28)*($E$3='01.2012'!$D$2:$D$28)*ROW('01.2012'!$B$2:$B$28))-1))</f>
        <v>#VALUE!</v>
      </c>
      <c r="D40" s="114" t="e">
        <f ca="1">IF($B40=$B$9,SUM(D$10:D39),ROUNDDOWN(INDEX('01.2012'!$AC$2:$AC$28,SUMPRODUCT(($B40='01.2012'!$B$2:$B$28)*($E$3='01.2012'!$D$2:$D$28)*ROW('01.2012'!$B$2:$B$28))-1),1))</f>
        <v>#VALUE!</v>
      </c>
      <c r="E40" s="118"/>
    </row>
    <row r="41" spans="2:15" x14ac:dyDescent="0.2">
      <c r="C41" s="6"/>
    </row>
  </sheetData>
  <mergeCells count="4">
    <mergeCell ref="B7:E7"/>
    <mergeCell ref="B8:E8"/>
    <mergeCell ref="C4:E4"/>
    <mergeCell ref="G10:L26"/>
  </mergeCells>
  <conditionalFormatting sqref="B11:E40">
    <cfRule type="expression" dxfId="2" priority="2">
      <formula>$B11=$B$9</formula>
    </cfRule>
    <cfRule type="expression" dxfId="1" priority="4">
      <formula>ISERROR($C11)</formula>
    </cfRule>
  </conditionalFormatting>
  <conditionalFormatting sqref="B11:B40">
    <cfRule type="expression" dxfId="0" priority="1">
      <formula>B11&gt;=$B$9</formula>
    </cfRule>
  </conditionalFormatting>
  <dataValidations count="1">
    <dataValidation type="list" allowBlank="1" showInputMessage="1" showErrorMessage="1" sqref="C4">
      <formula1>Отдел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Тарифы</vt:lpstr>
      <vt:lpstr>01.2012</vt:lpstr>
      <vt:lpstr>Карточки</vt:lpstr>
      <vt:lpstr>Ведомость оплаты</vt:lpstr>
      <vt:lpstr>'Ведомость оплаты'!Область_печати</vt:lpstr>
      <vt:lpstr>Карточки!Область_печати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Администратор</cp:lastModifiedBy>
  <cp:lastPrinted>2012-01-26T05:56:31Z</cp:lastPrinted>
  <dcterms:created xsi:type="dcterms:W3CDTF">2002-12-28T12:45:47Z</dcterms:created>
  <dcterms:modified xsi:type="dcterms:W3CDTF">2012-02-05T20:46:07Z</dcterms:modified>
</cp:coreProperties>
</file>