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/>
  <bookViews>
    <workbookView xWindow="3750" yWindow="1065" windowWidth="14895" windowHeight="8265" tabRatio="399" activeTab="1"/>
  </bookViews>
  <sheets>
    <sheet name="Лист1" sheetId="67" r:id="rId1"/>
    <sheet name="Лист2" sheetId="68" r:id="rId2"/>
    <sheet name="Лист3" sheetId="39" r:id="rId3"/>
    <sheet name="ՊԱ" sheetId="61" state="hidden" r:id="rId4"/>
    <sheet name="ԱԺ" sheetId="63" state="hidden" r:id="rId5"/>
  </sheets>
  <definedNames>
    <definedName name="Հումքեր">#REF!</definedName>
  </definedNames>
  <calcPr calcId="124519"/>
</workbook>
</file>

<file path=xl/calcChain.xml><?xml version="1.0" encoding="utf-8"?>
<calcChain xmlns="http://schemas.openxmlformats.org/spreadsheetml/2006/main">
  <c r="I8" i="68"/>
  <c r="J23"/>
  <c r="E23"/>
  <c r="D23"/>
  <c r="F10"/>
  <c r="F9"/>
  <c r="F8"/>
  <c r="F7"/>
  <c r="F6"/>
  <c r="F23" s="1"/>
  <c r="L8" l="1"/>
  <c r="K8"/>
  <c r="C8" i="39"/>
  <c r="H21"/>
  <c r="E23"/>
  <c r="C11" l="1"/>
  <c r="F8"/>
  <c r="F11" s="1"/>
  <c r="I8"/>
  <c r="I11" s="1"/>
  <c r="H8"/>
  <c r="H11" s="1"/>
  <c r="G8"/>
  <c r="G11" s="1"/>
  <c r="E8"/>
  <c r="E11" s="1"/>
  <c r="D8"/>
  <c r="D11" s="1"/>
  <c r="I38" i="61"/>
  <c r="L10"/>
  <c r="I10"/>
  <c r="C38"/>
  <c r="C31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V13" i="63"/>
  <c r="V15"/>
  <c r="V16"/>
  <c r="V17"/>
  <c r="V18"/>
  <c r="V19"/>
  <c r="V20"/>
  <c r="V21"/>
  <c r="V14"/>
  <c r="F21" a="1"/>
  <c r="F21" s="1"/>
  <c r="F20" a="1"/>
  <c r="F20" s="1"/>
  <c r="F19" a="1"/>
  <c r="F19" s="1"/>
  <c r="F18" a="1"/>
  <c r="F18" s="1"/>
  <c r="F17" a="1"/>
  <c r="F17" s="1"/>
  <c r="F16" a="1"/>
  <c r="F16" s="1"/>
  <c r="F15" a="1"/>
  <c r="F15" s="1"/>
  <c r="F14" a="1"/>
  <c r="F14" s="1"/>
  <c r="I6" i="68" l="1"/>
  <c r="I10"/>
  <c r="L10" s="1"/>
  <c r="F38" i="61"/>
  <c r="K6" i="68" l="1"/>
  <c r="L6"/>
  <c r="K10"/>
  <c r="I9"/>
  <c r="D6" i="39"/>
  <c r="H16" s="1"/>
  <c r="I12" i="61"/>
  <c r="I13"/>
  <c r="I14"/>
  <c r="I15"/>
  <c r="I16"/>
  <c r="I17"/>
  <c r="I18"/>
  <c r="I19"/>
  <c r="K9" i="68" l="1"/>
  <c r="C9" s="1"/>
  <c r="I20" i="61"/>
  <c r="H24" s="1"/>
  <c r="K16"/>
  <c r="V25" i="63"/>
  <c r="R21" a="1"/>
  <c r="R21" s="1"/>
  <c r="N21" a="1"/>
  <c r="N21" s="1"/>
  <c r="R20" a="1"/>
  <c r="R20" s="1"/>
  <c r="N20" a="1"/>
  <c r="N20" s="1"/>
  <c r="R19" a="1"/>
  <c r="R19" s="1"/>
  <c r="N19" a="1"/>
  <c r="N19" s="1"/>
  <c r="R18" a="1"/>
  <c r="R18" s="1"/>
  <c r="N18" a="1"/>
  <c r="N18" s="1"/>
  <c r="R17" a="1"/>
  <c r="R17" s="1"/>
  <c r="N17" a="1"/>
  <c r="N17" s="1"/>
  <c r="R16" a="1"/>
  <c r="R16" s="1"/>
  <c r="N16" a="1"/>
  <c r="N16" s="1"/>
  <c r="R15" a="1"/>
  <c r="R15" s="1"/>
  <c r="N15" a="1"/>
  <c r="N15" s="1"/>
  <c r="R14" a="1"/>
  <c r="R14" s="1"/>
  <c r="N14" a="1"/>
  <c r="N14" s="1"/>
  <c r="S11" a="1"/>
  <c r="S11" s="1"/>
  <c r="K11" a="1"/>
  <c r="K11" s="1"/>
  <c r="S10" a="1"/>
  <c r="S10" s="1"/>
  <c r="K10" a="1"/>
  <c r="K10" s="1"/>
  <c r="S9" a="1"/>
  <c r="S9" s="1"/>
  <c r="K9" a="1"/>
  <c r="K9" s="1"/>
  <c r="S8" a="1"/>
  <c r="S8" s="1"/>
  <c r="K8" a="1"/>
  <c r="K8" s="1"/>
  <c r="S7" a="1"/>
  <c r="S7" s="1"/>
  <c r="K7" a="1"/>
  <c r="K7" s="1"/>
  <c r="S6" a="1"/>
  <c r="S6" s="1"/>
  <c r="K6" a="1"/>
  <c r="K6" s="1"/>
  <c r="S5" a="1"/>
  <c r="S5" s="1"/>
  <c r="K5" a="1"/>
  <c r="K5" s="1"/>
  <c r="S4" a="1"/>
  <c r="S4" s="1"/>
  <c r="K4" a="1"/>
  <c r="K4" s="1"/>
  <c r="L9" i="68" l="1"/>
  <c r="S15" i="63"/>
  <c r="S17"/>
  <c r="T17" s="1"/>
  <c r="S19"/>
  <c r="S21"/>
  <c r="T21" s="1"/>
  <c r="S16"/>
  <c r="S18"/>
  <c r="T18" s="1"/>
  <c r="S20"/>
  <c r="T20" s="1"/>
  <c r="T19" l="1"/>
  <c r="T15"/>
  <c r="T16"/>
  <c r="K32" i="61" l="1"/>
  <c r="K24"/>
  <c r="K34"/>
  <c r="K26"/>
  <c r="K18"/>
  <c r="K36"/>
  <c r="K28"/>
  <c r="K20"/>
  <c r="K22"/>
  <c r="K38"/>
  <c r="K30"/>
  <c r="E10" i="39" l="1"/>
  <c r="E13" l="1"/>
  <c r="E12"/>
  <c r="H10"/>
  <c r="H12" s="1"/>
  <c r="H13" l="1"/>
  <c r="G10"/>
  <c r="G12" s="1"/>
  <c r="I10"/>
  <c r="I13" l="1"/>
  <c r="I12"/>
  <c r="G13"/>
  <c r="D10"/>
  <c r="D12" s="1"/>
  <c r="F10"/>
  <c r="F13" l="1"/>
  <c r="F12"/>
  <c r="D13"/>
  <c r="S14" i="63" l="1"/>
  <c r="T14" l="1"/>
  <c r="T22" s="1"/>
  <c r="C10" i="39" l="1"/>
  <c r="E6" l="1"/>
  <c r="H23" s="1"/>
  <c r="H20" s="1"/>
  <c r="C12"/>
  <c r="J11"/>
  <c r="I7" i="68" s="1"/>
  <c r="C13" i="39"/>
  <c r="J13" s="1"/>
  <c r="J12" l="1"/>
  <c r="I11" i="68"/>
  <c r="K11" s="1"/>
  <c r="K7"/>
  <c r="L7" s="1"/>
  <c r="F6" i="39"/>
  <c r="F23"/>
  <c r="F19" l="1"/>
  <c r="F20"/>
  <c r="C8" i="68" l="1"/>
  <c r="C10" l="1"/>
  <c r="C7" l="1"/>
  <c r="L23" l="1"/>
  <c r="I23" l="1"/>
  <c r="C6"/>
  <c r="K23" l="1"/>
</calcChain>
</file>

<file path=xl/sharedStrings.xml><?xml version="1.0" encoding="utf-8"?>
<sst xmlns="http://schemas.openxmlformats.org/spreadsheetml/2006/main" count="83" uniqueCount="70">
  <si>
    <t>0,5 լ /լիմ</t>
  </si>
  <si>
    <t>1,5  լ /լիմ</t>
  </si>
  <si>
    <t>2  լ /լիմ</t>
  </si>
  <si>
    <t>0,33  շշով</t>
  </si>
  <si>
    <t>1,5 լ /սոկ</t>
  </si>
  <si>
    <t>Գազ/թան</t>
  </si>
  <si>
    <t>թան</t>
  </si>
  <si>
    <t>վառելիք</t>
  </si>
  <si>
    <t>վարորդ</t>
  </si>
  <si>
    <t>զեղջ</t>
  </si>
  <si>
    <t>Առևտուր</t>
  </si>
  <si>
    <t>Եկամուտ</t>
  </si>
  <si>
    <t>Տոկոս</t>
  </si>
  <si>
    <t>ապառիկ</t>
  </si>
  <si>
    <t>Ամսական  ծախսեր</t>
  </si>
  <si>
    <t>Ամսվա    աշ/օրեր</t>
  </si>
  <si>
    <t>Օրվա   ծախսր</t>
  </si>
  <si>
    <t>Ամսական  եկամուտ</t>
  </si>
  <si>
    <t>Օրվա   եկամուտ</t>
  </si>
  <si>
    <t>Մեքենա</t>
  </si>
  <si>
    <t>օրվա  մաք.եկամ</t>
  </si>
  <si>
    <t>ամսվա  մաք.  Եկամ</t>
  </si>
  <si>
    <t>Աշխատավարձի  չափը</t>
  </si>
  <si>
    <t>Սեյֆ</t>
  </si>
  <si>
    <t>Ֆինկա</t>
  </si>
  <si>
    <t>Ակբա</t>
  </si>
  <si>
    <t>Դոլ-կուրս</t>
  </si>
  <si>
    <t>Եվգենիա</t>
  </si>
  <si>
    <t>Ոսկի   1</t>
  </si>
  <si>
    <t>Ոսկի   2</t>
  </si>
  <si>
    <t>Ընդհանուր   Պարտքեր</t>
  </si>
  <si>
    <t>Աշխատանքային  ժամեր</t>
  </si>
  <si>
    <t>N</t>
  </si>
  <si>
    <t>Աշխատողի  Անուն</t>
  </si>
  <si>
    <t>Շաբաթվա  ժամ</t>
  </si>
  <si>
    <t>Կարեն</t>
  </si>
  <si>
    <t>9-20</t>
  </si>
  <si>
    <t>Ամսվա  ժամ</t>
  </si>
  <si>
    <t>9-19</t>
  </si>
  <si>
    <t>Պարտքերի   Ամսեկան   Մարում</t>
  </si>
  <si>
    <t>ապր-ի ընդհանուր   գին</t>
  </si>
  <si>
    <t>Արփինե</t>
  </si>
  <si>
    <t>Նարինե</t>
  </si>
  <si>
    <t>9-10</t>
  </si>
  <si>
    <t>9-14</t>
  </si>
  <si>
    <t>Կարինե</t>
  </si>
  <si>
    <t>при  отсутствие  заказа  эти  цифры  равняются  0</t>
  </si>
  <si>
    <t>ՊԱՀԱՆՋՎՈՂ   ՆԵՐԴՐՈՒՄ</t>
  </si>
  <si>
    <t>Ապրանքի   անունը</t>
  </si>
  <si>
    <t>ներդր. Կարև-ունը  տոկոսով</t>
  </si>
  <si>
    <t>Ապր/քան</t>
  </si>
  <si>
    <t>Ապր/գին</t>
  </si>
  <si>
    <t>Ընդհ/գում</t>
  </si>
  <si>
    <t>Հին  գին</t>
  </si>
  <si>
    <t>Նոր  գին</t>
  </si>
  <si>
    <t>օր/խնայողություն</t>
  </si>
  <si>
    <t>աշ/օրեր</t>
  </si>
  <si>
    <t>խնայողութ</t>
  </si>
  <si>
    <t>քանի  ամիս</t>
  </si>
  <si>
    <t>Գազի  բալոն</t>
  </si>
  <si>
    <t xml:space="preserve">Ստանոկ /ավ </t>
  </si>
  <si>
    <t>Մեծ-ք/ խցան</t>
  </si>
  <si>
    <t>Շիշ  փչող  ստանոկ</t>
  </si>
  <si>
    <t>НУЖНО  СУММИРОВАТ ГАЛУБЫЕ  ЯЧЕЙКИ ТАК ЧТОБЫ НЕ ПОКАЗАЛО  ОШИБКА ЗНЧ.</t>
  </si>
  <si>
    <t>штук</t>
  </si>
  <si>
    <t>прибол</t>
  </si>
  <si>
    <t>процент</t>
  </si>
  <si>
    <t>прибол за одну</t>
  </si>
  <si>
    <t>покупаем  за</t>
  </si>
  <si>
    <t>прадаем  за</t>
  </si>
</sst>
</file>

<file path=xl/styles.xml><?xml version="1.0" encoding="utf-8"?>
<styleSheet xmlns="http://schemas.openxmlformats.org/spreadsheetml/2006/main">
  <numFmts count="9">
    <numFmt numFmtId="44" formatCode="_-* #,##0.00\ &quot;դր.&quot;_-;\-* #,##0.00\ &quot;դր.&quot;_-;_-* &quot;-&quot;??\ &quot;դր.&quot;_-;_-@_-"/>
    <numFmt numFmtId="43" formatCode="_-* #,##0.00\ _դ_ր_._-;\-* #,##0.00\ _դ_ր_._-;_-* &quot;-&quot;??\ _դ_ր_._-;_-@_-"/>
    <numFmt numFmtId="164" formatCode="_(&quot;$&quot;* #,##0.00_);_(&quot;$&quot;* \(#,##0.00\);_(&quot;$&quot;* &quot;-&quot;??_);_(@_)"/>
    <numFmt numFmtId="165" formatCode="[$-F800]dddd\,\ mmmm\ dd\,\ yyyy"/>
    <numFmt numFmtId="166" formatCode="[$-42B]d\ mmmm\,\ yyyy"/>
    <numFmt numFmtId="167" formatCode="_-* #,##0\ &quot;դր.&quot;_-;\-* #,##0\ &quot;դր.&quot;_-;_-* &quot;-&quot;??\ &quot;դր.&quot;_-;_-@_-"/>
    <numFmt numFmtId="168" formatCode="General\ &quot;բլոկ&quot;"/>
    <numFmt numFmtId="169" formatCode="0.0%"/>
    <numFmt numFmtId="170" formatCode="#,##0.0"/>
  </numFmts>
  <fonts count="28">
    <font>
      <sz val="11"/>
      <color theme="1"/>
      <name val="Cambria"/>
      <family val="2"/>
      <scheme val="minor"/>
    </font>
    <font>
      <sz val="11"/>
      <color theme="1"/>
      <name val="Cambria"/>
      <family val="2"/>
      <charset val="1"/>
      <scheme val="minor"/>
    </font>
    <font>
      <sz val="11"/>
      <color theme="1"/>
      <name val="Cambria"/>
      <family val="2"/>
      <charset val="1"/>
      <scheme val="minor"/>
    </font>
    <font>
      <sz val="11"/>
      <color theme="1"/>
      <name val="Cambria"/>
      <family val="2"/>
      <scheme val="minor"/>
    </font>
    <font>
      <sz val="10"/>
      <name val="Arial"/>
      <family val="2"/>
      <charset val="204"/>
    </font>
    <font>
      <sz val="11"/>
      <name val="Cambria"/>
      <family val="2"/>
      <scheme val="minor"/>
    </font>
    <font>
      <sz val="10"/>
      <color theme="1"/>
      <name val="Cambria"/>
      <family val="2"/>
      <scheme val="minor"/>
    </font>
    <font>
      <sz val="9"/>
      <name val="Arial Cyr"/>
      <charset val="204"/>
    </font>
    <font>
      <sz val="10"/>
      <name val="Arial Cyr"/>
      <charset val="204"/>
    </font>
    <font>
      <sz val="10"/>
      <name val="Cambria"/>
      <family val="2"/>
      <scheme val="minor"/>
    </font>
    <font>
      <sz val="11"/>
      <color theme="1"/>
      <name val="Cambria"/>
      <family val="2"/>
      <charset val="204"/>
      <scheme val="minor"/>
    </font>
    <font>
      <b/>
      <sz val="12"/>
      <color theme="1"/>
      <name val="Cambria"/>
      <family val="2"/>
      <charset val="204"/>
      <scheme val="minor"/>
    </font>
    <font>
      <b/>
      <sz val="16"/>
      <color theme="1"/>
      <name val="Cambria"/>
      <family val="2"/>
      <charset val="204"/>
      <scheme val="minor"/>
    </font>
    <font>
      <sz val="26"/>
      <name val="Arial"/>
      <family val="2"/>
      <charset val="204"/>
    </font>
    <font>
      <b/>
      <sz val="38"/>
      <color theme="1"/>
      <name val="Cambria"/>
      <family val="2"/>
      <charset val="204"/>
      <scheme val="minor"/>
    </font>
    <font>
      <b/>
      <sz val="18"/>
      <name val="Arial Cyr"/>
      <charset val="204"/>
    </font>
    <font>
      <sz val="18"/>
      <name val="Calibri"/>
      <family val="2"/>
      <charset val="204"/>
    </font>
    <font>
      <b/>
      <sz val="10"/>
      <name val="Arial Cyr"/>
      <charset val="1"/>
    </font>
    <font>
      <b/>
      <sz val="9"/>
      <color indexed="63"/>
      <name val="Arial"/>
      <family val="2"/>
      <charset val="204"/>
    </font>
    <font>
      <i/>
      <u/>
      <sz val="11"/>
      <name val="Arial Cyr"/>
      <charset val="1"/>
    </font>
    <font>
      <sz val="9"/>
      <color rgb="FF000000"/>
      <name val="Verdana"/>
      <family val="2"/>
      <charset val="204"/>
    </font>
    <font>
      <b/>
      <i/>
      <sz val="12"/>
      <color theme="1"/>
      <name val="Cambria"/>
      <family val="2"/>
      <charset val="204"/>
      <scheme val="minor"/>
    </font>
    <font>
      <b/>
      <sz val="14"/>
      <color rgb="FFFFFF00"/>
      <name val="Cambria"/>
      <family val="2"/>
      <charset val="204"/>
      <scheme val="minor"/>
    </font>
    <font>
      <b/>
      <sz val="8"/>
      <color rgb="FF228B22"/>
      <name val="Courier"/>
      <family val="1"/>
      <charset val="204"/>
    </font>
    <font>
      <sz val="11"/>
      <color theme="0"/>
      <name val="Cambria"/>
      <family val="2"/>
      <scheme val="minor"/>
    </font>
    <font>
      <sz val="10"/>
      <name val="Verdana"/>
      <family val="2"/>
      <charset val="204"/>
    </font>
    <font>
      <b/>
      <sz val="15"/>
      <color theme="1"/>
      <name val="Courier"/>
      <family val="1"/>
      <charset val="204"/>
    </font>
    <font>
      <sz val="9"/>
      <color theme="1"/>
      <name val="Cambria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2D7AD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B5EE5"/>
        <bgColor indexed="64"/>
      </patternFill>
    </fill>
    <fill>
      <patternFill patternType="solid">
        <fgColor rgb="FF00C85A"/>
        <bgColor indexed="64"/>
      </patternFill>
    </fill>
    <fill>
      <patternFill patternType="solid">
        <fgColor rgb="FFA4EEAD"/>
        <bgColor indexed="64"/>
      </patternFill>
    </fill>
    <fill>
      <patternFill patternType="solid">
        <fgColor rgb="FFFF5757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0" fontId="3" fillId="0" borderId="0"/>
    <xf numFmtId="0" fontId="2" fillId="0" borderId="0"/>
    <xf numFmtId="0" fontId="10" fillId="0" borderId="0"/>
    <xf numFmtId="0" fontId="4" fillId="0" borderId="0" applyFont="0" applyFill="0" applyBorder="0" applyAlignment="0" applyProtection="0"/>
    <xf numFmtId="0" fontId="4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</cellStyleXfs>
  <cellXfs count="231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0" xfId="0" applyNumberFormat="1" applyBorder="1" applyAlignment="1" applyProtection="1">
      <alignment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49" fontId="15" fillId="0" borderId="0" xfId="0" applyNumberFormat="1" applyFont="1" applyBorder="1" applyAlignment="1" applyProtection="1">
      <alignment vertical="center"/>
      <protection locked="0"/>
    </xf>
    <xf numFmtId="49" fontId="15" fillId="0" borderId="8" xfId="0" applyNumberFormat="1" applyFont="1" applyBorder="1" applyAlignment="1" applyProtection="1">
      <alignment vertical="center"/>
      <protection locked="0"/>
    </xf>
    <xf numFmtId="49" fontId="16" fillId="0" borderId="1" xfId="0" applyNumberFormat="1" applyFont="1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top" wrapText="1"/>
    </xf>
    <xf numFmtId="49" fontId="17" fillId="0" borderId="1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0" xfId="0" applyNumberFormat="1" applyBorder="1" applyProtection="1"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2" fontId="0" fillId="0" borderId="0" xfId="0" applyNumberFormat="1" applyBorder="1" applyAlignment="1" applyProtection="1">
      <alignment horizontal="center" vertical="center"/>
      <protection locked="0"/>
    </xf>
    <xf numFmtId="2" fontId="0" fillId="0" borderId="0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Protection="1">
      <protection locked="0"/>
    </xf>
    <xf numFmtId="49" fontId="0" fillId="0" borderId="0" xfId="0" applyNumberFormat="1" applyFill="1" applyProtection="1">
      <protection locked="0"/>
    </xf>
    <xf numFmtId="0" fontId="18" fillId="0" borderId="0" xfId="0" applyFont="1" applyFill="1" applyBorder="1" applyProtection="1">
      <protection locked="0"/>
    </xf>
    <xf numFmtId="0" fontId="18" fillId="0" borderId="0" xfId="0" applyFont="1" applyFill="1" applyProtection="1">
      <protection locked="0"/>
    </xf>
    <xf numFmtId="49" fontId="0" fillId="0" borderId="0" xfId="0" applyNumberFormat="1" applyFill="1" applyAlignment="1" applyProtection="1">
      <alignment horizontal="center"/>
      <protection locked="0"/>
    </xf>
    <xf numFmtId="1" fontId="19" fillId="0" borderId="1" xfId="0" applyNumberFormat="1" applyFont="1" applyBorder="1" applyAlignment="1" applyProtection="1">
      <alignment horizontal="center"/>
      <protection locked="0"/>
    </xf>
    <xf numFmtId="49" fontId="19" fillId="0" borderId="1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horizontal="center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3" fontId="0" fillId="0" borderId="0" xfId="0" applyNumberFormat="1" applyFill="1" applyAlignment="1" applyProtection="1">
      <alignment horizontal="center" vertical="center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center"/>
      <protection locked="0"/>
    </xf>
    <xf numFmtId="2" fontId="0" fillId="0" borderId="0" xfId="10" applyNumberFormat="1" applyFont="1" applyFill="1" applyBorder="1" applyAlignment="1" applyProtection="1">
      <alignment horizontal="center"/>
      <protection locked="0"/>
    </xf>
    <xf numFmtId="9" fontId="0" fillId="0" borderId="0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top"/>
    </xf>
    <xf numFmtId="165" fontId="0" fillId="0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Fill="1" applyBorder="1" applyAlignment="1" applyProtection="1">
      <alignment horizontal="center" vertical="center"/>
      <protection locked="0"/>
    </xf>
    <xf numFmtId="165" fontId="0" fillId="0" borderId="1" xfId="0" applyNumberFormat="1" applyFill="1" applyBorder="1" applyProtection="1">
      <protection locked="0"/>
    </xf>
    <xf numFmtId="3" fontId="0" fillId="0" borderId="1" xfId="0" applyNumberFormat="1" applyFill="1" applyBorder="1" applyProtection="1">
      <protection locked="0"/>
    </xf>
    <xf numFmtId="166" fontId="0" fillId="0" borderId="1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Protection="1">
      <protection locked="0"/>
    </xf>
    <xf numFmtId="3" fontId="14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ill="1" applyBorder="1" applyProtection="1">
      <protection locked="0"/>
    </xf>
    <xf numFmtId="0" fontId="23" fillId="0" borderId="0" xfId="0" applyFont="1" applyFill="1" applyProtection="1">
      <protection locked="0"/>
    </xf>
    <xf numFmtId="3" fontId="3" fillId="0" borderId="0" xfId="1" applyNumberFormat="1" applyFill="1" applyBorder="1" applyAlignment="1" applyProtection="1">
      <alignment horizontal="center"/>
    </xf>
    <xf numFmtId="14" fontId="0" fillId="0" borderId="0" xfId="0" applyNumberFormat="1" applyFill="1" applyProtection="1">
      <protection locked="0"/>
    </xf>
    <xf numFmtId="167" fontId="6" fillId="0" borderId="1" xfId="12" applyNumberFormat="1" applyFont="1" applyFill="1" applyBorder="1" applyAlignment="1" applyProtection="1">
      <alignment horizontal="center" vertical="center"/>
    </xf>
    <xf numFmtId="167" fontId="6" fillId="0" borderId="1" xfId="12" applyNumberFormat="1" applyFont="1" applyFill="1" applyBorder="1" applyAlignment="1" applyProtection="1">
      <alignment vertical="center"/>
    </xf>
    <xf numFmtId="167" fontId="6" fillId="0" borderId="1" xfId="12" applyNumberFormat="1" applyFont="1" applyFill="1" applyBorder="1" applyAlignment="1" applyProtection="1">
      <alignment vertical="center"/>
      <protection locked="0"/>
    </xf>
    <xf numFmtId="167" fontId="0" fillId="0" borderId="0" xfId="0" applyNumberFormat="1" applyFill="1" applyProtection="1"/>
    <xf numFmtId="167" fontId="0" fillId="0" borderId="1" xfId="12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165" fontId="0" fillId="0" borderId="5" xfId="0" applyNumberFormat="1" applyFill="1" applyBorder="1" applyAlignment="1" applyProtection="1">
      <alignment horizontal="center" vertical="center"/>
      <protection locked="0"/>
    </xf>
    <xf numFmtId="165" fontId="0" fillId="0" borderId="5" xfId="0" applyNumberFormat="1" applyFill="1" applyBorder="1" applyAlignment="1" applyProtection="1">
      <alignment horizontal="center"/>
      <protection locked="0"/>
    </xf>
    <xf numFmtId="165" fontId="0" fillId="0" borderId="5" xfId="0" applyNumberFormat="1" applyFill="1" applyBorder="1" applyProtection="1">
      <protection locked="0"/>
    </xf>
    <xf numFmtId="0" fontId="24" fillId="0" borderId="1" xfId="0" applyFont="1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24" fillId="0" borderId="0" xfId="0" applyFont="1" applyFill="1" applyProtection="1">
      <protection locked="0"/>
    </xf>
    <xf numFmtId="3" fontId="0" fillId="0" borderId="4" xfId="0" applyNumberFormat="1" applyFill="1" applyBorder="1" applyAlignment="1" applyProtection="1">
      <alignment horizontal="center" vertical="center"/>
    </xf>
    <xf numFmtId="0" fontId="0" fillId="10" borderId="1" xfId="0" applyFill="1" applyBorder="1" applyAlignment="1" applyProtection="1">
      <alignment horizontal="center"/>
    </xf>
    <xf numFmtId="3" fontId="0" fillId="10" borderId="10" xfId="0" applyNumberFormat="1" applyFill="1" applyBorder="1" applyAlignment="1" applyProtection="1">
      <alignment horizontal="center" vertical="center"/>
    </xf>
    <xf numFmtId="3" fontId="0" fillId="10" borderId="11" xfId="0" applyNumberFormat="1" applyFill="1" applyBorder="1" applyAlignment="1" applyProtection="1">
      <alignment horizontal="center" vertical="center"/>
    </xf>
    <xf numFmtId="3" fontId="0" fillId="10" borderId="11" xfId="0" applyNumberFormat="1" applyFill="1" applyBorder="1" applyProtection="1"/>
    <xf numFmtId="0" fontId="5" fillId="0" borderId="0" xfId="0" applyFont="1" applyFill="1" applyProtection="1">
      <protection locked="0"/>
    </xf>
    <xf numFmtId="0" fontId="0" fillId="0" borderId="0" xfId="0" applyNumberFormat="1" applyFill="1" applyBorder="1" applyProtection="1"/>
    <xf numFmtId="0" fontId="0" fillId="0" borderId="0" xfId="0" applyAlignment="1">
      <alignment horizontal="center"/>
    </xf>
    <xf numFmtId="167" fontId="9" fillId="0" borderId="1" xfId="12" applyNumberFormat="1" applyFont="1" applyFill="1" applyBorder="1" applyAlignment="1" applyProtection="1">
      <alignment horizontal="center" vertical="center"/>
    </xf>
    <xf numFmtId="10" fontId="6" fillId="0" borderId="1" xfId="12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Protection="1"/>
    <xf numFmtId="0" fontId="25" fillId="0" borderId="0" xfId="0" applyFont="1" applyFill="1" applyBorder="1"/>
    <xf numFmtId="168" fontId="6" fillId="3" borderId="0" xfId="0" applyNumberFormat="1" applyFont="1" applyFill="1" applyBorder="1" applyAlignment="1" applyProtection="1">
      <alignment horizontal="center" vertical="center"/>
    </xf>
    <xf numFmtId="0" fontId="23" fillId="0" borderId="0" xfId="0" applyFont="1"/>
    <xf numFmtId="167" fontId="9" fillId="2" borderId="1" xfId="12" applyNumberFormat="1" applyFont="1" applyFill="1" applyBorder="1" applyAlignment="1" applyProtection="1">
      <alignment horizontal="center" vertical="center"/>
    </xf>
    <xf numFmtId="167" fontId="6" fillId="2" borderId="1" xfId="12" applyNumberFormat="1" applyFont="1" applyFill="1" applyBorder="1" applyAlignment="1" applyProtection="1">
      <alignment horizontal="center" vertical="center"/>
    </xf>
    <xf numFmtId="168" fontId="6" fillId="2" borderId="1" xfId="0" applyNumberFormat="1" applyFont="1" applyFill="1" applyBorder="1" applyAlignment="1" applyProtection="1">
      <alignment horizontal="center" vertical="center"/>
    </xf>
    <xf numFmtId="10" fontId="6" fillId="2" borderId="1" xfId="12" applyNumberFormat="1" applyFont="1" applyFill="1" applyBorder="1" applyAlignment="1" applyProtection="1">
      <alignment horizontal="center" vertical="center"/>
    </xf>
    <xf numFmtId="3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 applyProtection="1">
      <protection locked="0"/>
    </xf>
    <xf numFmtId="0" fontId="6" fillId="0" borderId="6" xfId="0" applyFont="1" applyFill="1" applyBorder="1" applyAlignment="1" applyProtection="1">
      <alignment horizontal="center" vertical="center"/>
    </xf>
    <xf numFmtId="9" fontId="0" fillId="0" borderId="1" xfId="0" applyNumberForma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 vertical="center"/>
      <protection locked="0"/>
    </xf>
    <xf numFmtId="3" fontId="6" fillId="0" borderId="6" xfId="0" applyNumberFormat="1" applyFont="1" applyFill="1" applyBorder="1" applyAlignment="1" applyProtection="1">
      <alignment horizontal="center" vertical="center"/>
      <protection locked="0"/>
    </xf>
    <xf numFmtId="3" fontId="6" fillId="0" borderId="6" xfId="0" applyNumberFormat="1" applyFont="1" applyFill="1" applyBorder="1" applyAlignment="1" applyProtection="1">
      <alignment horizontal="center" vertical="center"/>
    </xf>
    <xf numFmtId="3" fontId="0" fillId="0" borderId="6" xfId="0" applyNumberForma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vertical="center"/>
    </xf>
    <xf numFmtId="3" fontId="27" fillId="0" borderId="6" xfId="0" applyNumberFormat="1" applyFon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</xf>
    <xf numFmtId="169" fontId="0" fillId="0" borderId="1" xfId="0" applyNumberFormat="1" applyFill="1" applyBorder="1" applyAlignment="1" applyProtection="1">
      <alignment horizontal="center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</xf>
    <xf numFmtId="170" fontId="0" fillId="0" borderId="1" xfId="0" applyNumberFormat="1" applyFill="1" applyBorder="1" applyAlignment="1" applyProtection="1">
      <alignment horizontal="center" vertical="center"/>
    </xf>
    <xf numFmtId="3" fontId="27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</xf>
    <xf numFmtId="17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vertical="center"/>
    </xf>
    <xf numFmtId="3" fontId="6" fillId="11" borderId="1" xfId="0" applyNumberFormat="1" applyFont="1" applyFill="1" applyBorder="1" applyAlignment="1" applyProtection="1">
      <alignment horizontal="center" vertical="center"/>
    </xf>
    <xf numFmtId="3" fontId="0" fillId="11" borderId="1" xfId="0" applyNumberFormat="1" applyFill="1" applyBorder="1" applyAlignment="1" applyProtection="1">
      <alignment horizontal="center" vertical="center"/>
    </xf>
    <xf numFmtId="0" fontId="6" fillId="11" borderId="3" xfId="0" applyFont="1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right" vertical="center"/>
    </xf>
    <xf numFmtId="0" fontId="0" fillId="2" borderId="25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3" fontId="0" fillId="2" borderId="7" xfId="0" applyNumberFormat="1" applyFont="1" applyFill="1" applyBorder="1" applyAlignment="1" applyProtection="1">
      <alignment horizontal="center" vertical="center"/>
    </xf>
    <xf numFmtId="3" fontId="0" fillId="2" borderId="8" xfId="0" applyNumberFormat="1" applyFill="1" applyBorder="1" applyAlignment="1" applyProtection="1">
      <alignment horizontal="center" vertical="center"/>
    </xf>
    <xf numFmtId="9" fontId="0" fillId="2" borderId="22" xfId="0" applyNumberFormat="1" applyFill="1" applyBorder="1" applyAlignment="1" applyProtection="1">
      <alignment horizontal="center" vertical="center"/>
    </xf>
    <xf numFmtId="10" fontId="0" fillId="2" borderId="1" xfId="0" applyNumberFormat="1" applyFill="1" applyBorder="1" applyAlignment="1" applyProtection="1">
      <alignment horizontal="center" vertical="center"/>
    </xf>
    <xf numFmtId="0" fontId="0" fillId="0" borderId="0" xfId="0" applyNumberFormat="1" applyFill="1" applyProtection="1"/>
    <xf numFmtId="168" fontId="0" fillId="0" borderId="0" xfId="0" applyNumberFormat="1" applyFill="1" applyBorder="1" applyProtection="1"/>
    <xf numFmtId="0" fontId="0" fillId="0" borderId="0" xfId="0" applyFill="1" applyBorder="1" applyProtection="1"/>
    <xf numFmtId="4" fontId="0" fillId="11" borderId="0" xfId="0" applyNumberFormat="1" applyFill="1" applyAlignment="1" applyProtection="1">
      <alignment horizontal="center" vertical="center"/>
    </xf>
    <xf numFmtId="3" fontId="0" fillId="0" borderId="0" xfId="0" applyNumberFormat="1"/>
    <xf numFmtId="0" fontId="0" fillId="0" borderId="34" xfId="0" applyBorder="1" applyAlignment="1"/>
    <xf numFmtId="0" fontId="0" fillId="2" borderId="1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wrapText="1"/>
    </xf>
    <xf numFmtId="0" fontId="6" fillId="0" borderId="6" xfId="0" applyFont="1" applyFill="1" applyBorder="1" applyAlignment="1" applyProtection="1">
      <alignment horizontal="center" wrapText="1"/>
    </xf>
    <xf numFmtId="0" fontId="26" fillId="11" borderId="25" xfId="0" applyFont="1" applyFill="1" applyBorder="1" applyAlignment="1">
      <alignment horizontal="center" vertical="center" wrapText="1"/>
    </xf>
    <xf numFmtId="0" fontId="26" fillId="11" borderId="0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 applyProtection="1">
      <alignment horizontal="center" vertical="center"/>
    </xf>
    <xf numFmtId="0" fontId="27" fillId="0" borderId="6" xfId="0" applyFont="1" applyFill="1" applyBorder="1" applyAlignment="1" applyProtection="1">
      <alignment horizontal="center" vertical="center"/>
    </xf>
    <xf numFmtId="169" fontId="0" fillId="0" borderId="3" xfId="0" applyNumberFormat="1" applyFill="1" applyBorder="1" applyAlignment="1" applyProtection="1">
      <alignment horizontal="center" vertical="center"/>
    </xf>
    <xf numFmtId="169" fontId="0" fillId="0" borderId="6" xfId="0" applyNumberForma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3" fontId="6" fillId="0" borderId="3" xfId="0" applyNumberFormat="1" applyFont="1" applyFill="1" applyBorder="1" applyAlignment="1" applyProtection="1">
      <alignment horizontal="center" vertical="center"/>
      <protection locked="0"/>
    </xf>
    <xf numFmtId="3" fontId="6" fillId="0" borderId="6" xfId="0" applyNumberFormat="1" applyFont="1" applyFill="1" applyBorder="1" applyAlignment="1" applyProtection="1">
      <alignment horizontal="center" vertical="center"/>
      <protection locked="0"/>
    </xf>
    <xf numFmtId="3" fontId="6" fillId="0" borderId="3" xfId="0" applyNumberFormat="1" applyFont="1" applyFill="1" applyBorder="1" applyAlignment="1" applyProtection="1">
      <alignment horizontal="center" vertical="center"/>
    </xf>
    <xf numFmtId="3" fontId="6" fillId="0" borderId="6" xfId="0" applyNumberFormat="1" applyFont="1" applyFill="1" applyBorder="1" applyAlignment="1" applyProtection="1">
      <alignment horizontal="center" vertical="center"/>
    </xf>
    <xf numFmtId="3" fontId="27" fillId="0" borderId="3" xfId="0" applyNumberFormat="1" applyFont="1" applyFill="1" applyBorder="1" applyAlignment="1" applyProtection="1">
      <alignment horizontal="center" vertical="center"/>
      <protection locked="0"/>
    </xf>
    <xf numFmtId="3" fontId="27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24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/>
    </xf>
    <xf numFmtId="3" fontId="0" fillId="0" borderId="19" xfId="0" applyNumberFormat="1" applyFill="1" applyBorder="1" applyAlignment="1" applyProtection="1">
      <alignment horizontal="center"/>
    </xf>
    <xf numFmtId="2" fontId="13" fillId="0" borderId="15" xfId="0" applyNumberFormat="1" applyFont="1" applyFill="1" applyBorder="1" applyAlignment="1" applyProtection="1">
      <alignment horizontal="center" vertical="center" wrapText="1"/>
    </xf>
    <xf numFmtId="2" fontId="13" fillId="0" borderId="17" xfId="0" applyNumberFormat="1" applyFont="1" applyFill="1" applyBorder="1" applyAlignment="1" applyProtection="1">
      <alignment horizontal="center" vertical="center" wrapText="1"/>
    </xf>
    <xf numFmtId="2" fontId="13" fillId="0" borderId="24" xfId="0" applyNumberFormat="1" applyFont="1" applyFill="1" applyBorder="1" applyAlignment="1" applyProtection="1">
      <alignment horizontal="center" vertical="center" wrapText="1"/>
    </xf>
    <xf numFmtId="2" fontId="13" fillId="0" borderId="23" xfId="0" applyNumberFormat="1" applyFont="1" applyFill="1" applyBorder="1" applyAlignment="1" applyProtection="1">
      <alignment horizontal="center" vertical="center" wrapText="1"/>
    </xf>
    <xf numFmtId="2" fontId="13" fillId="0" borderId="18" xfId="0" applyNumberFormat="1" applyFont="1" applyFill="1" applyBorder="1" applyAlignment="1" applyProtection="1">
      <alignment horizontal="center" vertical="center" wrapText="1"/>
    </xf>
    <xf numFmtId="2" fontId="13" fillId="0" borderId="20" xfId="0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Fill="1" applyAlignment="1" applyProtection="1">
      <alignment horizontal="center" vertical="center"/>
    </xf>
    <xf numFmtId="17" fontId="21" fillId="0" borderId="32" xfId="0" applyNumberFormat="1" applyFont="1" applyFill="1" applyBorder="1" applyAlignment="1" applyProtection="1">
      <alignment horizontal="center"/>
    </xf>
    <xf numFmtId="17" fontId="21" fillId="0" borderId="26" xfId="0" applyNumberFormat="1" applyFont="1" applyFill="1" applyBorder="1" applyAlignment="1" applyProtection="1">
      <alignment horizontal="center"/>
    </xf>
    <xf numFmtId="3" fontId="22" fillId="7" borderId="5" xfId="0" applyNumberFormat="1" applyFont="1" applyFill="1" applyBorder="1" applyAlignment="1" applyProtection="1">
      <alignment horizontal="center" vertical="center"/>
    </xf>
    <xf numFmtId="3" fontId="22" fillId="7" borderId="27" xfId="0" applyNumberFormat="1" applyFont="1" applyFill="1" applyBorder="1" applyAlignment="1" applyProtection="1">
      <alignment horizontal="center" vertical="center"/>
    </xf>
    <xf numFmtId="0" fontId="12" fillId="5" borderId="16" xfId="0" applyNumberFormat="1" applyFont="1" applyFill="1" applyBorder="1" applyAlignment="1" applyProtection="1">
      <alignment horizontal="center" vertical="center" wrapText="1"/>
    </xf>
    <xf numFmtId="0" fontId="12" fillId="5" borderId="17" xfId="0" applyNumberFormat="1" applyFont="1" applyFill="1" applyBorder="1" applyAlignment="1" applyProtection="1">
      <alignment horizontal="center" vertical="center" wrapText="1"/>
    </xf>
    <xf numFmtId="0" fontId="12" fillId="5" borderId="0" xfId="0" applyNumberFormat="1" applyFont="1" applyFill="1" applyBorder="1" applyAlignment="1" applyProtection="1">
      <alignment horizontal="center" vertical="center" wrapText="1"/>
    </xf>
    <xf numFmtId="0" fontId="12" fillId="5" borderId="23" xfId="0" applyNumberFormat="1" applyFont="1" applyFill="1" applyBorder="1" applyAlignment="1" applyProtection="1">
      <alignment horizontal="center" vertical="center" wrapText="1"/>
    </xf>
    <xf numFmtId="0" fontId="12" fillId="5" borderId="19" xfId="0" applyNumberFormat="1" applyFont="1" applyFill="1" applyBorder="1" applyAlignment="1" applyProtection="1">
      <alignment horizontal="center" vertical="center" wrapText="1"/>
    </xf>
    <xf numFmtId="0" fontId="12" fillId="5" borderId="20" xfId="0" applyNumberFormat="1" applyFont="1" applyFill="1" applyBorder="1" applyAlignment="1" applyProtection="1">
      <alignment horizontal="center" vertical="center" wrapText="1"/>
    </xf>
    <xf numFmtId="3" fontId="14" fillId="6" borderId="16" xfId="0" applyNumberFormat="1" applyFont="1" applyFill="1" applyBorder="1" applyAlignment="1" applyProtection="1">
      <alignment horizontal="center" vertical="center" wrapText="1"/>
    </xf>
    <xf numFmtId="3" fontId="14" fillId="6" borderId="17" xfId="0" applyNumberFormat="1" applyFont="1" applyFill="1" applyBorder="1" applyAlignment="1" applyProtection="1">
      <alignment horizontal="center" vertical="center" wrapText="1"/>
    </xf>
    <xf numFmtId="3" fontId="14" fillId="6" borderId="0" xfId="0" applyNumberFormat="1" applyFont="1" applyFill="1" applyBorder="1" applyAlignment="1" applyProtection="1">
      <alignment horizontal="center" vertical="center" wrapText="1"/>
    </xf>
    <xf numFmtId="3" fontId="14" fillId="6" borderId="23" xfId="0" applyNumberFormat="1" applyFont="1" applyFill="1" applyBorder="1" applyAlignment="1" applyProtection="1">
      <alignment horizontal="center" vertical="center" wrapText="1"/>
    </xf>
    <xf numFmtId="3" fontId="14" fillId="6" borderId="19" xfId="0" applyNumberFormat="1" applyFont="1" applyFill="1" applyBorder="1" applyAlignment="1" applyProtection="1">
      <alignment horizontal="center" vertical="center" wrapText="1"/>
    </xf>
    <xf numFmtId="3" fontId="14" fillId="6" borderId="20" xfId="0" applyNumberFormat="1" applyFont="1" applyFill="1" applyBorder="1" applyAlignment="1" applyProtection="1">
      <alignment horizontal="center" vertical="center" wrapText="1"/>
    </xf>
    <xf numFmtId="3" fontId="22" fillId="7" borderId="28" xfId="0" applyNumberFormat="1" applyFont="1" applyFill="1" applyBorder="1" applyAlignment="1" applyProtection="1">
      <alignment horizontal="center" vertical="center"/>
    </xf>
    <xf numFmtId="3" fontId="22" fillId="7" borderId="29" xfId="0" applyNumberFormat="1" applyFont="1" applyFill="1" applyBorder="1" applyAlignment="1" applyProtection="1">
      <alignment horizontal="center" vertical="center"/>
    </xf>
    <xf numFmtId="17" fontId="21" fillId="0" borderId="28" xfId="0" applyNumberFormat="1" applyFont="1" applyFill="1" applyBorder="1" applyAlignment="1" applyProtection="1">
      <alignment horizontal="center"/>
    </xf>
    <xf numFmtId="17" fontId="21" fillId="0" borderId="29" xfId="0" applyNumberFormat="1" applyFont="1" applyFill="1" applyBorder="1" applyAlignment="1" applyProtection="1">
      <alignment horizontal="center"/>
    </xf>
    <xf numFmtId="17" fontId="21" fillId="0" borderId="14" xfId="0" applyNumberFormat="1" applyFont="1" applyFill="1" applyBorder="1" applyAlignment="1" applyProtection="1">
      <alignment horizontal="center"/>
    </xf>
    <xf numFmtId="3" fontId="22" fillId="7" borderId="14" xfId="0" applyNumberFormat="1" applyFont="1" applyFill="1" applyBorder="1" applyAlignment="1" applyProtection="1">
      <alignment horizontal="center" vertical="center"/>
    </xf>
    <xf numFmtId="3" fontId="22" fillId="7" borderId="30" xfId="0" applyNumberFormat="1" applyFont="1" applyFill="1" applyBorder="1" applyAlignment="1" applyProtection="1">
      <alignment horizontal="center" vertical="center"/>
    </xf>
    <xf numFmtId="3" fontId="22" fillId="7" borderId="31" xfId="0" applyNumberFormat="1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 wrapText="1"/>
    </xf>
    <xf numFmtId="167" fontId="0" fillId="9" borderId="3" xfId="12" applyNumberFormat="1" applyFont="1" applyFill="1" applyBorder="1" applyAlignment="1">
      <alignment horizontal="center" vertical="center"/>
    </xf>
    <xf numFmtId="167" fontId="0" fillId="9" borderId="1" xfId="12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7" fontId="0" fillId="8" borderId="12" xfId="12" applyNumberFormat="1" applyFont="1" applyFill="1" applyBorder="1" applyAlignment="1" applyProtection="1">
      <alignment horizontal="center"/>
    </xf>
    <xf numFmtId="167" fontId="0" fillId="8" borderId="13" xfId="12" applyNumberFormat="1" applyFont="1" applyFill="1" applyBorder="1" applyAlignment="1" applyProtection="1">
      <alignment horizontal="center"/>
    </xf>
    <xf numFmtId="16" fontId="6" fillId="0" borderId="4" xfId="0" applyNumberFormat="1" applyFont="1" applyBorder="1" applyAlignment="1">
      <alignment horizontal="center"/>
    </xf>
    <xf numFmtId="16" fontId="6" fillId="0" borderId="14" xfId="0" applyNumberFormat="1" applyFont="1" applyBorder="1" applyAlignment="1">
      <alignment horizontal="center"/>
    </xf>
    <xf numFmtId="16" fontId="20" fillId="0" borderId="14" xfId="0" applyNumberFormat="1" applyFont="1" applyBorder="1" applyAlignment="1">
      <alignment horizontal="center"/>
    </xf>
    <xf numFmtId="16" fontId="20" fillId="0" borderId="5" xfId="0" applyNumberFormat="1" applyFont="1" applyBorder="1" applyAlignment="1">
      <alignment horizontal="center"/>
    </xf>
    <xf numFmtId="49" fontId="15" fillId="0" borderId="21" xfId="0" applyNumberFormat="1" applyFont="1" applyBorder="1" applyAlignment="1" applyProtection="1">
      <alignment horizontal="center" vertical="center"/>
      <protection locked="0"/>
    </xf>
    <xf numFmtId="49" fontId="15" fillId="0" borderId="25" xfId="0" applyNumberFormat="1" applyFont="1" applyBorder="1" applyAlignment="1" applyProtection="1">
      <alignment horizontal="center" vertical="center"/>
      <protection locked="0"/>
    </xf>
    <xf numFmtId="49" fontId="15" fillId="0" borderId="9" xfId="0" applyNumberFormat="1" applyFont="1" applyBorder="1" applyAlignment="1" applyProtection="1">
      <alignment horizontal="center" vertical="center"/>
      <protection locked="0"/>
    </xf>
    <xf numFmtId="49" fontId="15" fillId="0" borderId="7" xfId="0" applyNumberFormat="1" applyFont="1" applyBorder="1" applyAlignment="1" applyProtection="1">
      <alignment horizontal="center" vertical="center"/>
      <protection locked="0"/>
    </xf>
    <xf numFmtId="49" fontId="15" fillId="0" borderId="8" xfId="0" applyNumberFormat="1" applyFont="1" applyBorder="1" applyAlignment="1" applyProtection="1">
      <alignment horizontal="center" vertical="center"/>
      <protection locked="0"/>
    </xf>
    <xf numFmtId="49" fontId="15" fillId="0" borderId="22" xfId="0" applyNumberFormat="1" applyFont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/>
    </xf>
    <xf numFmtId="1" fontId="19" fillId="0" borderId="1" xfId="0" applyNumberFormat="1" applyFont="1" applyBorder="1" applyAlignment="1" applyProtection="1">
      <alignment horizontal="center"/>
    </xf>
    <xf numFmtId="1" fontId="19" fillId="0" borderId="4" xfId="0" applyNumberFormat="1" applyFont="1" applyBorder="1" applyAlignment="1" applyProtection="1">
      <alignment horizontal="center" vertical="center" wrapText="1"/>
    </xf>
    <xf numFmtId="1" fontId="19" fillId="0" borderId="5" xfId="0" applyNumberFormat="1" applyFont="1" applyBorder="1" applyAlignment="1" applyProtection="1">
      <alignment horizontal="center" vertical="center" wrapText="1"/>
    </xf>
  </cellXfs>
  <cellStyles count="13">
    <cellStyle name="Currency_TapePivot" xfId="4"/>
    <cellStyle name="Normal_Sheet1" xfId="5"/>
    <cellStyle name="Денежный" xfId="12" builtinId="4"/>
    <cellStyle name="Обычный" xfId="0" builtinId="0"/>
    <cellStyle name="Обычный 2" xfId="1"/>
    <cellStyle name="Обычный 3" xfId="2"/>
    <cellStyle name="Обычный 4" xfId="3"/>
    <cellStyle name="Обычный 5" xfId="6"/>
    <cellStyle name="Обычный 6" xfId="11"/>
    <cellStyle name="Финансовый" xfId="10" builtinId="3"/>
    <cellStyle name="Финансовый 2" xfId="7"/>
    <cellStyle name="Финансовый 3" xfId="8"/>
    <cellStyle name="Финансовый 4" xfId="9"/>
  </cellStyles>
  <dxfs count="90">
    <dxf>
      <fill>
        <patternFill>
          <bgColor rgb="FFFFFF00"/>
        </patternFill>
      </fill>
    </dxf>
    <dxf>
      <fill>
        <patternFill>
          <bgColor rgb="FFA162D0"/>
        </patternFill>
      </fill>
    </dxf>
    <dxf>
      <fill>
        <patternFill>
          <bgColor rgb="FF00C85A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3B5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3B52"/>
      <color rgb="FFFF5757"/>
      <color rgb="FFFFFF99"/>
      <color rgb="FFFFFF00"/>
      <color rgb="FF00C85A"/>
      <color rgb="FFA4EEAD"/>
      <color rgb="FFA7EBC6"/>
      <color rgb="FF92E6B8"/>
      <color rgb="FF7EE2AB"/>
      <color rgb="FF69DD9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view3D>
      <c:perspective val="0"/>
    </c:view3D>
    <c:plotArea>
      <c:layout>
        <c:manualLayout>
          <c:layoutTarget val="inner"/>
          <c:xMode val="edge"/>
          <c:yMode val="edge"/>
          <c:x val="0.05"/>
          <c:y val="3.6162935674076427E-2"/>
          <c:w val="0.93888888888889133"/>
          <c:h val="0.89834984026663334"/>
        </c:manualLayout>
      </c:layout>
      <c:line3DChart>
        <c:grouping val="standard"/>
        <c:ser>
          <c:idx val="0"/>
          <c:order val="0"/>
          <c:spPr>
            <a:solidFill>
              <a:srgbClr val="FF0000"/>
            </a:solidFill>
          </c:spPr>
          <c:dLbls>
            <c:dLbl>
              <c:idx val="0"/>
              <c:layout>
                <c:manualLayout>
                  <c:x val="-3.4504001581207012E-3"/>
                  <c:y val="7.8873196672696683E-2"/>
                </c:manualLayout>
              </c:layout>
              <c:showVal val="1"/>
            </c:dLbl>
            <c:dLbl>
              <c:idx val="1"/>
              <c:layout>
                <c:manualLayout>
                  <c:x val="-5.1756002371810507E-3"/>
                  <c:y val="-0.10516426223026268"/>
                </c:manualLayout>
              </c:layout>
              <c:showVal val="1"/>
            </c:dLbl>
            <c:dLbl>
              <c:idx val="2"/>
              <c:layout>
                <c:manualLayout>
                  <c:x val="-1.7252000790603501E-3"/>
                  <c:y val="7.0109508153508082E-2"/>
                </c:manualLayout>
              </c:layout>
              <c:showVal val="1"/>
            </c:dLbl>
            <c:dLbl>
              <c:idx val="3"/>
              <c:layout>
                <c:manualLayout>
                  <c:x val="-2.760320126496579E-2"/>
                  <c:y val="-6.1345819634319475E-2"/>
                </c:manualLayout>
              </c:layout>
              <c:showVal val="1"/>
            </c:dLbl>
            <c:dLbl>
              <c:idx val="4"/>
              <c:layout>
                <c:manualLayout>
                  <c:x val="1.7252000790603501E-3"/>
                  <c:y val="7.449135241310241E-2"/>
                </c:manualLayout>
              </c:layout>
              <c:showVal val="1"/>
            </c:dLbl>
            <c:dLbl>
              <c:idx val="5"/>
              <c:layout>
                <c:manualLayout>
                  <c:x val="-3.1628302743254892E-17"/>
                  <c:y val="-3.5054754076754041E-2"/>
                </c:manualLayout>
              </c:layout>
              <c:showVal val="1"/>
            </c:dLbl>
            <c:dLbl>
              <c:idx val="6"/>
              <c:layout>
                <c:manualLayout>
                  <c:x val="0"/>
                  <c:y val="5.2582131115131422E-2"/>
                </c:manualLayout>
              </c:layout>
              <c:showVal val="1"/>
            </c:dLbl>
            <c:dLbl>
              <c:idx val="7"/>
              <c:layout>
                <c:manualLayout>
                  <c:x val="3.4504001581207012E-3"/>
                  <c:y val="-2.6291065557565729E-2"/>
                </c:manualLayout>
              </c:layout>
              <c:showVal val="1"/>
            </c:dLbl>
            <c:dLbl>
              <c:idx val="8"/>
              <c:layout>
                <c:manualLayout>
                  <c:x val="0"/>
                  <c:y val="4.3818442595942551E-2"/>
                </c:manualLayout>
              </c:layout>
              <c:showVal val="1"/>
            </c:dLbl>
            <c:dLbl>
              <c:idx val="9"/>
              <c:layout>
                <c:manualLayout>
                  <c:x val="3.4504001581207012E-3"/>
                  <c:y val="-3.5054754076754041E-2"/>
                </c:manualLayout>
              </c:layout>
              <c:showVal val="1"/>
            </c:dLbl>
            <c:dLbl>
              <c:idx val="10"/>
              <c:layout>
                <c:manualLayout>
                  <c:x val="-1.7252000790603501E-3"/>
                  <c:y val="5.2582131115131527E-2"/>
                </c:manualLayout>
              </c:layout>
              <c:showVal val="1"/>
            </c:dLbl>
            <c:dLbl>
              <c:idx val="11"/>
              <c:layout>
                <c:manualLayout>
                  <c:x val="-3.4504001581207012E-3"/>
                  <c:y val="-2.6291065557565729E-2"/>
                </c:manualLayout>
              </c:layout>
              <c:showVal val="1"/>
            </c:dLbl>
            <c:dLbl>
              <c:idx val="12"/>
              <c:layout>
                <c:manualLayout>
                  <c:x val="1.7252000790603501E-3"/>
                  <c:y val="4.8200286855537108E-2"/>
                </c:manualLayout>
              </c:layout>
              <c:showVal val="1"/>
            </c:dLbl>
            <c:dLbl>
              <c:idx val="13"/>
              <c:layout>
                <c:manualLayout>
                  <c:x val="-1.7252000790603501E-3"/>
                  <c:y val="-3.5054754076754041E-2"/>
                </c:manualLayout>
              </c:layout>
              <c:showVal val="1"/>
            </c:dLbl>
            <c:dLbl>
              <c:idx val="14"/>
              <c:layout>
                <c:manualLayout>
                  <c:x val="-3.4504001581207012E-3"/>
                  <c:y val="5.6963975374725313E-2"/>
                </c:manualLayout>
              </c:layout>
              <c:showVal val="1"/>
            </c:dLbl>
            <c:dLbl>
              <c:idx val="15"/>
              <c:layout>
                <c:manualLayout>
                  <c:x val="-3.4504001581207012E-3"/>
                  <c:y val="-3.5054754076753972E-2"/>
                </c:manualLayout>
              </c:layout>
              <c:showVal val="1"/>
            </c:dLbl>
            <c:dLbl>
              <c:idx val="16"/>
              <c:layout>
                <c:manualLayout>
                  <c:x val="-1.7252000790603501E-3"/>
                  <c:y val="7.4491352413102382E-2"/>
                </c:manualLayout>
              </c:layout>
              <c:showVal val="1"/>
            </c:dLbl>
            <c:dLbl>
              <c:idx val="17"/>
              <c:layout>
                <c:manualLayout>
                  <c:x val="1.7252000790603501E-3"/>
                  <c:y val="-3.9436598336348293E-2"/>
                </c:manualLayout>
              </c:layout>
              <c:showVal val="1"/>
            </c:dLbl>
            <c:dLbl>
              <c:idx val="18"/>
              <c:layout>
                <c:manualLayout>
                  <c:x val="-1.7252000790603501E-3"/>
                  <c:y val="6.5727663893914143E-2"/>
                </c:manualLayout>
              </c:layout>
              <c:showVal val="1"/>
            </c:dLbl>
            <c:dLbl>
              <c:idx val="19"/>
              <c:layout>
                <c:manualLayout>
                  <c:x val="-5.1756002371810507E-3"/>
                  <c:y val="-3.9436598336348203E-2"/>
                </c:manualLayout>
              </c:layout>
              <c:showVal val="1"/>
            </c:dLbl>
            <c:dLbl>
              <c:idx val="20"/>
              <c:layout>
                <c:manualLayout>
                  <c:x val="-5.1756002371810507E-3"/>
                  <c:y val="3.5054754076754041E-2"/>
                </c:manualLayout>
              </c:layout>
              <c:showVal val="1"/>
            </c:dLbl>
            <c:dLbl>
              <c:idx val="21"/>
              <c:layout>
                <c:manualLayout>
                  <c:x val="-6.9008003162414023E-3"/>
                  <c:y val="-6.1345819634319475E-2"/>
                </c:manualLayout>
              </c:layout>
              <c:showVal val="1"/>
            </c:dLbl>
            <c:dLbl>
              <c:idx val="22"/>
              <c:layout>
                <c:manualLayout>
                  <c:x val="1.265132109730192E-16"/>
                  <c:y val="3.5054754076754041E-2"/>
                </c:manualLayout>
              </c:layout>
              <c:showVal val="1"/>
            </c:dLbl>
            <c:dLbl>
              <c:idx val="23"/>
              <c:layout>
                <c:manualLayout>
                  <c:x val="0"/>
                  <c:y val="-2.6291065557565729E-2"/>
                </c:manualLayout>
              </c:layout>
              <c:showVal val="1"/>
            </c:dLbl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  <c:txPr>
              <a:bodyPr/>
              <a:lstStyle/>
              <a:p>
                <a:pPr>
                  <a:defRPr lang="ru-RU"/>
                </a:pPr>
                <a:endParaRPr lang="en-US"/>
              </a:p>
            </c:txPr>
            <c:showVal val="1"/>
          </c:dLbls>
          <c:val>
            <c:numRef>
              <c:f>ՊԱ!$K$15:$K$38</c:f>
              <c:numCache>
                <c:formatCode>#,##0</c:formatCode>
                <c:ptCount val="24"/>
                <c:pt idx="0" formatCode="mmm/yy">
                  <c:v>40909</c:v>
                </c:pt>
                <c:pt idx="1">
                  <c:v>25000</c:v>
                </c:pt>
                <c:pt idx="2" formatCode="mmm/yy">
                  <c:v>40940</c:v>
                </c:pt>
                <c:pt idx="3">
                  <c:v>126369</c:v>
                </c:pt>
                <c:pt idx="4" formatCode="mmm/yy">
                  <c:v>40969</c:v>
                </c:pt>
                <c:pt idx="5">
                  <c:v>371599</c:v>
                </c:pt>
                <c:pt idx="6" formatCode="mmm/yy">
                  <c:v>41000</c:v>
                </c:pt>
                <c:pt idx="7">
                  <c:v>371599</c:v>
                </c:pt>
                <c:pt idx="8" formatCode="mmm/yy">
                  <c:v>41030</c:v>
                </c:pt>
                <c:pt idx="9">
                  <c:v>371599</c:v>
                </c:pt>
                <c:pt idx="10" formatCode="mmm/yy">
                  <c:v>41061</c:v>
                </c:pt>
                <c:pt idx="11">
                  <c:v>988679</c:v>
                </c:pt>
                <c:pt idx="12" formatCode="mmm/yy">
                  <c:v>41091</c:v>
                </c:pt>
                <c:pt idx="13">
                  <c:v>715599</c:v>
                </c:pt>
                <c:pt idx="14" formatCode="mmm/yy">
                  <c:v>41122</c:v>
                </c:pt>
                <c:pt idx="15">
                  <c:v>333599</c:v>
                </c:pt>
                <c:pt idx="16" formatCode="mmm/yy">
                  <c:v>41153</c:v>
                </c:pt>
                <c:pt idx="17">
                  <c:v>333599</c:v>
                </c:pt>
                <c:pt idx="18" formatCode="mmm/yy">
                  <c:v>41183</c:v>
                </c:pt>
                <c:pt idx="19">
                  <c:v>217499</c:v>
                </c:pt>
                <c:pt idx="20" formatCode="mmm/yy">
                  <c:v>41214</c:v>
                </c:pt>
                <c:pt idx="21">
                  <c:v>140099</c:v>
                </c:pt>
                <c:pt idx="22" formatCode="mmm/yy">
                  <c:v>41244</c:v>
                </c:pt>
                <c:pt idx="23">
                  <c:v>474849</c:v>
                </c:pt>
              </c:numCache>
            </c:numRef>
          </c:val>
        </c:ser>
        <c:ser>
          <c:idx val="1"/>
          <c:order val="1"/>
          <c:spPr>
            <a:ln w="25400">
              <a:noFill/>
            </a:ln>
          </c:spPr>
          <c:dLbls>
            <c:txPr>
              <a:bodyPr/>
              <a:lstStyle/>
              <a:p>
                <a:pPr>
                  <a:defRPr lang="ru-RU"/>
                </a:pPr>
                <a:endParaRPr lang="en-US"/>
              </a:p>
            </c:txPr>
            <c:showVal val="1"/>
          </c:dLbls>
          <c:val>
            <c:numRef>
              <c:f>ՊԱ!$L$15:$L$38</c:f>
              <c:numCache>
                <c:formatCode>#,##0</c:formatCode>
                <c:ptCount val="24"/>
              </c:numCache>
            </c:numRef>
          </c:val>
        </c:ser>
        <c:dLbls>
          <c:showVal val="1"/>
        </c:dLbls>
        <c:dropLines/>
        <c:axId val="41702912"/>
        <c:axId val="41704448"/>
        <c:axId val="37534784"/>
      </c:line3DChart>
      <c:catAx>
        <c:axId val="41702912"/>
        <c:scaling>
          <c:orientation val="minMax"/>
        </c:scaling>
        <c:delete val="1"/>
        <c:axPos val="b"/>
        <c:numFmt formatCode="mmm/yy" sourceLinked="1"/>
        <c:majorTickMark val="none"/>
        <c:tickLblPos val="nextTo"/>
        <c:crossAx val="41704448"/>
        <c:crosses val="autoZero"/>
        <c:auto val="1"/>
        <c:lblAlgn val="ctr"/>
        <c:lblOffset val="100"/>
      </c:catAx>
      <c:valAx>
        <c:axId val="41704448"/>
        <c:scaling>
          <c:orientation val="minMax"/>
        </c:scaling>
        <c:delete val="1"/>
        <c:axPos val="l"/>
        <c:numFmt formatCode="mmm/yy" sourceLinked="1"/>
        <c:majorTickMark val="none"/>
        <c:tickLblPos val="nextTo"/>
        <c:crossAx val="41702912"/>
        <c:crosses val="autoZero"/>
        <c:crossBetween val="between"/>
      </c:valAx>
      <c:serAx>
        <c:axId val="37534784"/>
        <c:scaling>
          <c:orientation val="minMax"/>
        </c:scaling>
        <c:delete val="1"/>
        <c:axPos val="b"/>
        <c:majorTickMark val="none"/>
        <c:tickLblPos val="nextTo"/>
        <c:crossAx val="41704448"/>
        <c:crosses val="autoZero"/>
      </c:serAx>
    </c:plotArea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"/>
  <c:chart>
    <c:autoTitleDeleted val="1"/>
    <c:view3D>
      <c:perspective val="0"/>
    </c:view3D>
    <c:plotArea>
      <c:layout/>
      <c:bar3DChart>
        <c:barDir val="col"/>
        <c:grouping val="clustered"/>
        <c:ser>
          <c:idx val="0"/>
          <c:order val="0"/>
          <c:tx>
            <c:strRef>
              <c:f>ԱԺ!$C$4:$C$11</c:f>
              <c:strCache>
                <c:ptCount val="1"/>
                <c:pt idx="0">
                  <c:v>Արփինե Կարեն Նարինե Կարինե</c:v>
                </c:pt>
              </c:strCache>
            </c:strRef>
          </c:tx>
          <c:dLbls>
            <c:dLbl>
              <c:idx val="0"/>
              <c:layout>
                <c:manualLayout>
                  <c:x val="1.0277348824346125E-2"/>
                  <c:y val="0.13580211879271833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lang="ru-RU"/>
                  </a:pPr>
                  <a:endParaRPr lang="en-US"/>
                </a:p>
              </c:txPr>
              <c:showVal val="1"/>
            </c:dLbl>
            <c:dLbl>
              <c:idx val="1"/>
              <c:layout>
                <c:manualLayout>
                  <c:x val="7.7080116182596187E-3"/>
                  <c:y val="0.15147159403803201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lang="ru-RU"/>
                  </a:pPr>
                  <a:endParaRPr lang="en-US"/>
                </a:p>
              </c:txPr>
              <c:showVal val="1"/>
            </c:dLbl>
            <c:dLbl>
              <c:idx val="2"/>
              <c:layout>
                <c:manualLayout>
                  <c:x val="1.027734882434617E-2"/>
                  <c:y val="0.1410252772078229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lang="ru-RU"/>
                  </a:pPr>
                  <a:endParaRPr lang="en-US"/>
                </a:p>
              </c:txPr>
              <c:showVal val="1"/>
            </c:dLbl>
            <c:dLbl>
              <c:idx val="3"/>
              <c:layout>
                <c:manualLayout>
                  <c:x val="7.7080116182596187E-3"/>
                  <c:y val="8.357053464167302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lang="ru-RU"/>
                  </a:pPr>
                  <a:endParaRPr lang="en-US"/>
                </a:p>
              </c:txPr>
              <c:showVal val="1"/>
            </c:dLbl>
            <c:txPr>
              <a:bodyPr/>
              <a:lstStyle/>
              <a:p>
                <a:pPr>
                  <a:defRPr lang="ru-RU"/>
                </a:pPr>
                <a:endParaRPr lang="en-US"/>
              </a:p>
            </c:txPr>
            <c:showVal val="1"/>
          </c:dLbls>
          <c:val>
            <c:numRef>
              <c:f>ԱԺ!$S$14:$S$21</c:f>
              <c:numCache>
                <c:formatCode>0</c:formatCode>
                <c:ptCount val="8"/>
                <c:pt idx="0">
                  <c:v>20</c:v>
                </c:pt>
                <c:pt idx="1">
                  <c:v>22</c:v>
                </c:pt>
                <c:pt idx="2">
                  <c:v>25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Val val="1"/>
        </c:dLbls>
        <c:gapWidth val="75"/>
        <c:shape val="cylinder"/>
        <c:axId val="38455936"/>
        <c:axId val="38465920"/>
        <c:axId val="0"/>
      </c:bar3DChart>
      <c:catAx>
        <c:axId val="38455936"/>
        <c:scaling>
          <c:orientation val="minMax"/>
        </c:scaling>
        <c:axPos val="b"/>
        <c:numFmt formatCode="@" sourceLinked="1"/>
        <c:majorTickMark val="none"/>
        <c:tickLblPos val="none"/>
        <c:txPr>
          <a:bodyPr/>
          <a:lstStyle/>
          <a:p>
            <a:pPr>
              <a:defRPr lang="ru-RU"/>
            </a:pPr>
            <a:endParaRPr lang="en-US"/>
          </a:p>
        </c:txPr>
        <c:crossAx val="38465920"/>
        <c:crosses val="autoZero"/>
        <c:auto val="1"/>
        <c:lblAlgn val="ctr"/>
        <c:lblOffset val="100"/>
      </c:catAx>
      <c:valAx>
        <c:axId val="38465920"/>
        <c:scaling>
          <c:orientation val="minMax"/>
        </c:scaling>
        <c:axPos val="l"/>
        <c:numFmt formatCode="0" sourceLinked="1"/>
        <c:majorTickMark val="none"/>
        <c:tickLblPos val="nextTo"/>
        <c:txPr>
          <a:bodyPr/>
          <a:lstStyle/>
          <a:p>
            <a:pPr>
              <a:defRPr lang="ru-RU"/>
            </a:pPr>
            <a:endParaRPr lang="en-US"/>
          </a:p>
        </c:txPr>
        <c:crossAx val="38455936"/>
        <c:crosses val="autoZero"/>
        <c:crossBetween val="between"/>
      </c:valAx>
    </c:plotArea>
    <c:legend>
      <c:legendPos val="b"/>
      <c:txPr>
        <a:bodyPr/>
        <a:lstStyle/>
        <a:p>
          <a:pPr>
            <a:defRPr lang="ru-RU"/>
          </a:pPr>
          <a:endParaRPr lang="en-US"/>
        </a:p>
      </c:txPr>
    </c:legend>
    <c:plotVisOnly val="1"/>
    <c:dispBlanksAs val="gap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40</xdr:row>
      <xdr:rowOff>190499</xdr:rowOff>
    </xdr:from>
    <xdr:to>
      <xdr:col>10</xdr:col>
      <xdr:colOff>40821</xdr:colOff>
      <xdr:row>56</xdr:row>
      <xdr:rowOff>40822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37872</xdr:colOff>
      <xdr:row>22</xdr:row>
      <xdr:rowOff>29145</xdr:rowOff>
    </xdr:from>
    <xdr:to>
      <xdr:col>17</xdr:col>
      <xdr:colOff>194469</xdr:colOff>
      <xdr:row>34</xdr:row>
      <xdr:rowOff>174624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Другая 3">
      <a:dk1>
        <a:sysClr val="windowText" lastClr="000000"/>
      </a:dk1>
      <a:lt1>
        <a:sysClr val="window" lastClr="FFFFFF"/>
      </a:lt1>
      <a:dk2>
        <a:srgbClr val="1F497D"/>
      </a:dk2>
      <a:lt2>
        <a:srgbClr val="FE19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 2">
      <a:majorFont>
        <a:latin typeface="Calibri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ambria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I8"/>
  <sheetViews>
    <sheetView workbookViewId="0">
      <selection activeCell="G27" sqref="G27"/>
    </sheetView>
  </sheetViews>
  <sheetFormatPr defaultRowHeight="14.25"/>
  <sheetData>
    <row r="4" spans="3:9" ht="15" thickBot="1"/>
    <row r="5" spans="3:9" ht="15" thickBot="1">
      <c r="D5" s="137" t="s">
        <v>46</v>
      </c>
      <c r="E5" s="138"/>
      <c r="F5" s="138"/>
      <c r="G5" s="138"/>
      <c r="H5" s="139"/>
    </row>
    <row r="8" spans="3:9">
      <c r="C8" s="1">
        <v>0</v>
      </c>
      <c r="D8" s="1">
        <v>0</v>
      </c>
      <c r="E8" s="1">
        <v>600</v>
      </c>
      <c r="F8" s="1">
        <v>700</v>
      </c>
      <c r="G8" s="1">
        <v>800</v>
      </c>
      <c r="H8" s="1">
        <v>900</v>
      </c>
      <c r="I8" s="1">
        <v>1000</v>
      </c>
    </row>
  </sheetData>
  <mergeCells count="1">
    <mergeCell ref="D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N31"/>
  <sheetViews>
    <sheetView tabSelected="1" zoomScale="80" zoomScaleNormal="80" workbookViewId="0">
      <selection activeCell="G40" sqref="G40"/>
    </sheetView>
  </sheetViews>
  <sheetFormatPr defaultRowHeight="14.25"/>
  <cols>
    <col min="2" max="2" width="15.25" customWidth="1"/>
    <col min="3" max="3" width="13.375" customWidth="1"/>
    <col min="4" max="4" width="8.375" customWidth="1"/>
    <col min="5" max="5" width="9" customWidth="1"/>
    <col min="12" max="12" width="11" customWidth="1"/>
    <col min="14" max="14" width="13.125" bestFit="1" customWidth="1"/>
    <col min="19" max="19" width="16.5" customWidth="1"/>
  </cols>
  <sheetData>
    <row r="1" spans="2:14" ht="15" customHeight="1" thickBot="1"/>
    <row r="2" spans="2:14" ht="14.25" customHeight="1">
      <c r="B2" s="33"/>
      <c r="C2" s="33"/>
      <c r="D2" s="33"/>
      <c r="E2" s="162" t="s">
        <v>47</v>
      </c>
      <c r="F2" s="163"/>
      <c r="G2" s="163"/>
      <c r="H2" s="164"/>
      <c r="I2" s="106"/>
      <c r="J2" s="33"/>
      <c r="K2">
        <v>2</v>
      </c>
    </row>
    <row r="3" spans="2:14">
      <c r="B3" s="33"/>
      <c r="C3" s="33"/>
      <c r="D3" s="99"/>
      <c r="E3" s="165"/>
      <c r="F3" s="166"/>
      <c r="G3" s="166"/>
      <c r="H3" s="167"/>
      <c r="I3" s="33"/>
      <c r="J3" s="33"/>
    </row>
    <row r="4" spans="2:14">
      <c r="B4" s="140" t="s">
        <v>48</v>
      </c>
      <c r="C4" s="168" t="s">
        <v>49</v>
      </c>
      <c r="D4" s="140" t="s">
        <v>50</v>
      </c>
      <c r="E4" s="140" t="s">
        <v>51</v>
      </c>
      <c r="F4" s="140" t="s">
        <v>52</v>
      </c>
      <c r="G4" s="142" t="s">
        <v>53</v>
      </c>
      <c r="H4" s="140" t="s">
        <v>54</v>
      </c>
      <c r="I4" s="144" t="s">
        <v>55</v>
      </c>
      <c r="J4" s="148" t="s">
        <v>56</v>
      </c>
      <c r="K4" s="142" t="s">
        <v>57</v>
      </c>
      <c r="L4" s="142" t="s">
        <v>58</v>
      </c>
    </row>
    <row r="5" spans="2:14">
      <c r="B5" s="141"/>
      <c r="C5" s="169"/>
      <c r="D5" s="141"/>
      <c r="E5" s="141"/>
      <c r="F5" s="141"/>
      <c r="G5" s="143"/>
      <c r="H5" s="141"/>
      <c r="I5" s="145"/>
      <c r="J5" s="149"/>
      <c r="K5" s="143"/>
      <c r="L5" s="143"/>
    </row>
    <row r="6" spans="2:14" ht="14.25" customHeight="1">
      <c r="B6" s="100" t="s">
        <v>59</v>
      </c>
      <c r="C6" s="101" t="e">
        <f>IF(F6&gt;0,K6/F6,0)</f>
        <v>#VALUE!</v>
      </c>
      <c r="D6" s="102">
        <v>10</v>
      </c>
      <c r="E6" s="103">
        <v>10000</v>
      </c>
      <c r="F6" s="104">
        <f>E6*D6</f>
        <v>100000</v>
      </c>
      <c r="G6" s="105">
        <v>3000</v>
      </c>
      <c r="H6" s="103">
        <v>3000</v>
      </c>
      <c r="I6" s="134" t="e">
        <f>IF(SUM(Лист3!C8:I8)&lt;1,"",((Лист3!C11*6)+(Лист3!D11*9)+(Лист3!E11*11.2)+(Лист3!F11*3.96)+(Лист3!G11*9)+(Лист3!H11*6))/9)*((G6-H6)/200)</f>
        <v>#VALUE!</v>
      </c>
      <c r="J6" s="107">
        <v>25</v>
      </c>
      <c r="K6" s="105" t="e">
        <f>IF(I6&lt;1,"",I6*J6)</f>
        <v>#VALUE!</v>
      </c>
      <c r="L6" s="108" t="e">
        <f>IF(I6&lt;1,"",(IF(D6&gt;0,IF(M8&gt;0,F6/K6,0))))</f>
        <v>#VALUE!</v>
      </c>
    </row>
    <row r="7" spans="2:14" ht="14.25" customHeight="1">
      <c r="B7" s="37" t="s">
        <v>60</v>
      </c>
      <c r="C7" s="109" t="e">
        <f>IF(F7&gt;0,K7/F7,K7)</f>
        <v>#VALUE!</v>
      </c>
      <c r="D7" s="38">
        <v>1</v>
      </c>
      <c r="E7" s="110">
        <v>500000</v>
      </c>
      <c r="F7" s="111">
        <f>E7*D7</f>
        <v>500000</v>
      </c>
      <c r="G7" s="112">
        <v>25</v>
      </c>
      <c r="H7" s="110">
        <v>25</v>
      </c>
      <c r="I7" s="121">
        <f>(G7-H7)*Лист3!J11</f>
        <v>0</v>
      </c>
      <c r="J7" s="113">
        <v>25</v>
      </c>
      <c r="K7" s="105" t="str">
        <f>IF(I7&lt;1,"",I7*J7)</f>
        <v/>
      </c>
      <c r="L7" s="114" t="str">
        <f>IF(I7&lt;1,"",(IF(D7&gt;0,IF(I7&gt;0,F7/K7,0),0)))</f>
        <v/>
      </c>
    </row>
    <row r="8" spans="2:14" ht="14.25" customHeight="1">
      <c r="B8" s="37" t="s">
        <v>19</v>
      </c>
      <c r="C8" s="109" t="e">
        <f>IF(F8&gt;0,K8/F8,K8)</f>
        <v>#VALUE!</v>
      </c>
      <c r="D8" s="38">
        <v>1</v>
      </c>
      <c r="E8" s="110">
        <v>2028000</v>
      </c>
      <c r="F8" s="111">
        <f>E8*D8</f>
        <v>2028000</v>
      </c>
      <c r="G8" s="40">
        <v>7000</v>
      </c>
      <c r="H8" s="111">
        <v>7000</v>
      </c>
      <c r="I8" s="121">
        <f>G8-H8</f>
        <v>0</v>
      </c>
      <c r="J8" s="113">
        <v>25</v>
      </c>
      <c r="K8" s="105" t="str">
        <f>IF(I8&lt;1,"",I8*J8)</f>
        <v/>
      </c>
      <c r="L8" s="114" t="str">
        <f>IF(I8&lt;1,"",(IF(D8&gt;0,IF(K8&gt;0,F8/K8,0),0)))</f>
        <v/>
      </c>
    </row>
    <row r="9" spans="2:14">
      <c r="B9" s="37" t="s">
        <v>61</v>
      </c>
      <c r="C9" s="109" t="e">
        <f>IF(F9&gt;0,K9/F9,K9)</f>
        <v>#VALUE!</v>
      </c>
      <c r="D9" s="38">
        <v>5</v>
      </c>
      <c r="E9" s="110">
        <v>24000</v>
      </c>
      <c r="F9" s="111">
        <f>E9*D9</f>
        <v>120000</v>
      </c>
      <c r="G9" s="112">
        <v>7</v>
      </c>
      <c r="H9" s="115">
        <v>7</v>
      </c>
      <c r="I9" s="123" t="e">
        <f>((Лист3!C11*12)+(Лист3!D11*6)+(Лист3!E11*6)+(Лист3!G11*6)+(Лист3!H11*12))*(G9-H9)</f>
        <v>#VALUE!</v>
      </c>
      <c r="J9" s="113">
        <v>25</v>
      </c>
      <c r="K9" s="105" t="e">
        <f>IF(I9&lt;1,"",I9*J9)</f>
        <v>#VALUE!</v>
      </c>
      <c r="L9" s="114" t="e">
        <f>IF(I9&lt;1,"",(IF(D9&gt;0,IF(K9&gt;0,F9/K9,0),0)))</f>
        <v>#VALUE!</v>
      </c>
    </row>
    <row r="10" spans="2:14">
      <c r="B10" s="140" t="s">
        <v>62</v>
      </c>
      <c r="C10" s="150" t="e">
        <f>IF(F10&gt;0,(K10+K11)/F10,K10+K11)</f>
        <v>#VALUE!</v>
      </c>
      <c r="D10" s="152">
        <v>1</v>
      </c>
      <c r="E10" s="154">
        <v>1900000</v>
      </c>
      <c r="F10" s="156">
        <f>E10*D10</f>
        <v>1900000</v>
      </c>
      <c r="G10" s="39">
        <v>34</v>
      </c>
      <c r="H10" s="110">
        <v>34</v>
      </c>
      <c r="I10" s="122" t="e">
        <f>(Лист3!D11*6)*(G10-H10)</f>
        <v>#VALUE!</v>
      </c>
      <c r="J10" s="158">
        <v>25</v>
      </c>
      <c r="K10" s="105" t="e">
        <f>IF(I10&lt;1,"",I10*J10)</f>
        <v>#VALUE!</v>
      </c>
      <c r="L10" s="160" t="e">
        <f>IF(I10:I11&lt;1,"",(IF(K10&gt;0,F10/(K10+K11)+(IF(K11&gt;0,(F10/(K10+K11)))))))</f>
        <v>#VALUE!</v>
      </c>
    </row>
    <row r="11" spans="2:14">
      <c r="B11" s="141"/>
      <c r="C11" s="151"/>
      <c r="D11" s="153"/>
      <c r="E11" s="155"/>
      <c r="F11" s="157"/>
      <c r="G11" s="39">
        <v>25</v>
      </c>
      <c r="H11" s="110">
        <v>20</v>
      </c>
      <c r="I11" s="122" t="e">
        <f>(Лист3!C12*6+Лист3!H12*6)+(G11-H11)</f>
        <v>#VALUE!</v>
      </c>
      <c r="J11" s="159"/>
      <c r="K11" s="105" t="e">
        <f>IF(I11&lt;1,"",I11*J10)</f>
        <v>#VALUE!</v>
      </c>
      <c r="L11" s="161"/>
      <c r="M11" s="98"/>
    </row>
    <row r="12" spans="2:14">
      <c r="B12" s="116"/>
      <c r="C12" s="117"/>
      <c r="D12" s="118"/>
      <c r="E12" s="40"/>
      <c r="F12" s="40"/>
      <c r="G12" s="40"/>
      <c r="H12" s="40"/>
      <c r="I12" s="40"/>
      <c r="J12" s="119"/>
      <c r="K12" s="119"/>
      <c r="L12" s="117"/>
    </row>
    <row r="13" spans="2:14">
      <c r="B13" s="118"/>
      <c r="C13" s="117"/>
      <c r="D13" s="118"/>
      <c r="E13" s="40"/>
      <c r="F13" s="40"/>
      <c r="G13" s="40"/>
      <c r="H13" s="40"/>
      <c r="I13" s="40"/>
      <c r="J13" s="119"/>
      <c r="K13" s="119"/>
      <c r="L13" s="117"/>
    </row>
    <row r="14" spans="2:14">
      <c r="B14" s="118"/>
      <c r="C14" s="117"/>
      <c r="D14" s="118"/>
      <c r="E14" s="40"/>
      <c r="F14" s="40"/>
      <c r="G14" s="40"/>
      <c r="H14" s="40"/>
      <c r="I14" s="40"/>
      <c r="J14" s="119"/>
      <c r="K14" s="119"/>
      <c r="L14" s="117"/>
      <c r="N14" s="136"/>
    </row>
    <row r="15" spans="2:14">
      <c r="B15" s="117"/>
      <c r="C15" s="117"/>
      <c r="D15" s="117"/>
      <c r="E15" s="119"/>
      <c r="F15" s="119"/>
      <c r="G15" s="40"/>
      <c r="H15" s="119"/>
      <c r="I15" s="40"/>
      <c r="J15" s="119"/>
      <c r="K15" s="119"/>
      <c r="L15" s="117"/>
      <c r="N15" s="136"/>
    </row>
    <row r="16" spans="2:14">
      <c r="B16" s="117"/>
      <c r="C16" s="117"/>
      <c r="D16" s="117"/>
      <c r="E16" s="119"/>
      <c r="F16" s="119"/>
      <c r="G16" s="40"/>
      <c r="H16" s="119"/>
      <c r="I16" s="40"/>
      <c r="J16" s="119"/>
      <c r="K16" s="119"/>
      <c r="L16" s="117"/>
    </row>
    <row r="17" spans="2:14">
      <c r="B17" s="117"/>
      <c r="C17" s="117"/>
      <c r="D17" s="117"/>
      <c r="E17" s="119"/>
      <c r="F17" s="119"/>
      <c r="G17" s="40"/>
      <c r="H17" s="119"/>
      <c r="I17" s="110"/>
      <c r="J17" s="119"/>
      <c r="K17" s="119"/>
      <c r="L17" s="117"/>
      <c r="N17" s="135"/>
    </row>
    <row r="18" spans="2:14">
      <c r="B18" s="117"/>
      <c r="C18" s="117"/>
      <c r="D18" s="117"/>
      <c r="E18" s="119"/>
      <c r="F18" s="119"/>
      <c r="G18" s="40"/>
      <c r="H18" s="119"/>
      <c r="I18" s="40"/>
      <c r="J18" s="119"/>
      <c r="K18" s="119"/>
      <c r="L18" s="117"/>
    </row>
    <row r="19" spans="2:14">
      <c r="B19" s="117"/>
      <c r="C19" s="117"/>
      <c r="D19" s="117"/>
      <c r="E19" s="119"/>
      <c r="F19" s="119"/>
      <c r="G19" s="40"/>
      <c r="H19" s="119"/>
      <c r="I19" s="40"/>
      <c r="J19" s="119"/>
      <c r="K19" s="119"/>
      <c r="L19" s="117"/>
    </row>
    <row r="20" spans="2:14">
      <c r="B20" s="117"/>
      <c r="C20" s="117"/>
      <c r="D20" s="117"/>
      <c r="E20" s="119"/>
      <c r="F20" s="119"/>
      <c r="G20" s="40"/>
      <c r="H20" s="119"/>
      <c r="I20" s="40"/>
      <c r="J20" s="119"/>
      <c r="K20" s="119"/>
      <c r="L20" s="117"/>
    </row>
    <row r="21" spans="2:14">
      <c r="B21" s="117"/>
      <c r="C21" s="117"/>
      <c r="D21" s="117"/>
      <c r="E21" s="119"/>
      <c r="F21" s="119"/>
      <c r="G21" s="40"/>
      <c r="H21" s="119"/>
      <c r="I21" s="40"/>
      <c r="J21" s="119"/>
      <c r="K21" s="119"/>
      <c r="L21" s="117"/>
    </row>
    <row r="22" spans="2:14">
      <c r="B22" s="117"/>
      <c r="C22" s="117"/>
      <c r="D22" s="117"/>
      <c r="E22" s="119"/>
      <c r="F22" s="119"/>
      <c r="G22" s="40"/>
      <c r="H22" s="119"/>
      <c r="I22" s="40"/>
      <c r="J22" s="119"/>
      <c r="K22" s="119"/>
      <c r="L22" s="117"/>
    </row>
    <row r="23" spans="2:14">
      <c r="B23" s="118"/>
      <c r="C23" s="117"/>
      <c r="D23" s="120">
        <f>SUM(D6:D22)</f>
        <v>18</v>
      </c>
      <c r="E23" s="39">
        <f>SUM(E6:E22)</f>
        <v>4462000</v>
      </c>
      <c r="F23" s="39">
        <f>SUM(F6:F22)</f>
        <v>4648000</v>
      </c>
      <c r="G23" s="40"/>
      <c r="H23" s="40"/>
      <c r="I23" s="39" t="e">
        <f>SUM(I2:I22)</f>
        <v>#VALUE!</v>
      </c>
      <c r="J23" s="39">
        <f>AVERAGE(J6:J22)</f>
        <v>25</v>
      </c>
      <c r="K23" s="39" t="e">
        <f>SUM(K6:K22)</f>
        <v>#VALUE!</v>
      </c>
      <c r="L23" s="120" t="e">
        <f>SUM(L6:L22)</f>
        <v>#VALUE!</v>
      </c>
    </row>
    <row r="27" spans="2:14">
      <c r="G27" s="45"/>
      <c r="H27" s="131"/>
      <c r="I27" s="131"/>
      <c r="J27" s="131"/>
      <c r="K27" s="45"/>
      <c r="L27" s="131"/>
      <c r="M27" s="33"/>
      <c r="N27" s="45"/>
    </row>
    <row r="29" spans="2:14">
      <c r="B29" s="146" t="s">
        <v>63</v>
      </c>
      <c r="C29" s="146"/>
      <c r="D29" s="146"/>
      <c r="E29" s="146"/>
      <c r="F29" s="146"/>
      <c r="G29" s="146"/>
      <c r="H29" s="146"/>
      <c r="I29" s="146"/>
      <c r="J29" s="146"/>
      <c r="K29" s="45"/>
      <c r="L29" s="131"/>
      <c r="M29" s="33"/>
      <c r="N29" s="45"/>
    </row>
    <row r="30" spans="2:14">
      <c r="B30" s="147"/>
      <c r="C30" s="147"/>
      <c r="D30" s="147"/>
      <c r="E30" s="147"/>
      <c r="F30" s="147"/>
      <c r="G30" s="147"/>
      <c r="H30" s="147"/>
      <c r="I30" s="147"/>
      <c r="J30" s="147"/>
    </row>
    <row r="31" spans="2:14">
      <c r="B31" s="147"/>
      <c r="C31" s="147"/>
      <c r="D31" s="147"/>
      <c r="E31" s="147"/>
      <c r="F31" s="147"/>
      <c r="G31" s="147"/>
      <c r="H31" s="147"/>
      <c r="I31" s="147"/>
      <c r="J31" s="147"/>
    </row>
  </sheetData>
  <mergeCells count="20">
    <mergeCell ref="E2:H3"/>
    <mergeCell ref="B4:B5"/>
    <mergeCell ref="C4:C5"/>
    <mergeCell ref="D4:D5"/>
    <mergeCell ref="E4:E5"/>
    <mergeCell ref="B10:B11"/>
    <mergeCell ref="C10:C11"/>
    <mergeCell ref="D10:D11"/>
    <mergeCell ref="E10:E11"/>
    <mergeCell ref="F10:F11"/>
    <mergeCell ref="F4:F5"/>
    <mergeCell ref="G4:G5"/>
    <mergeCell ref="H4:H5"/>
    <mergeCell ref="I4:I5"/>
    <mergeCell ref="B29:J31"/>
    <mergeCell ref="J4:J5"/>
    <mergeCell ref="K4:K5"/>
    <mergeCell ref="L4:L5"/>
    <mergeCell ref="J10:J11"/>
    <mergeCell ref="L10:L11"/>
  </mergeCells>
  <pageMargins left="0.7" right="0.7" top="0.75" bottom="0.75" header="0.3" footer="0.3"/>
  <ignoredErrors>
    <ignoredError sqref="L10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B2:O61"/>
  <sheetViews>
    <sheetView showGridLines="0" topLeftCell="A2" zoomScale="80" zoomScaleNormal="80" workbookViewId="0">
      <selection activeCell="B51" sqref="B51"/>
    </sheetView>
  </sheetViews>
  <sheetFormatPr defaultRowHeight="14.25"/>
  <cols>
    <col min="1" max="1" width="5.375" style="33" customWidth="1"/>
    <col min="2" max="2" width="15.625" style="33" customWidth="1"/>
    <col min="3" max="3" width="9.75" style="33" customWidth="1"/>
    <col min="4" max="4" width="10.75" style="33" customWidth="1"/>
    <col min="5" max="5" width="11" style="33" customWidth="1"/>
    <col min="6" max="6" width="11.25" style="33" customWidth="1"/>
    <col min="7" max="7" width="12.625" style="33" customWidth="1"/>
    <col min="8" max="8" width="11" style="33" customWidth="1"/>
    <col min="9" max="9" width="10.875" style="33" customWidth="1"/>
    <col min="10" max="10" width="15.625" style="33" customWidth="1"/>
    <col min="11" max="11" width="9" style="33"/>
    <col min="12" max="12" width="11.625" style="33" customWidth="1"/>
    <col min="13" max="13" width="10.75" style="33" customWidth="1"/>
    <col min="14" max="14" width="9" style="33"/>
    <col min="15" max="15" width="22.625" style="33" customWidth="1"/>
    <col min="16" max="16384" width="9" style="33"/>
  </cols>
  <sheetData>
    <row r="2" spans="2:14" ht="15" customHeight="1"/>
    <row r="3" spans="2:14" ht="15" customHeight="1">
      <c r="E3" s="90"/>
    </row>
    <row r="5" spans="2:14">
      <c r="D5" s="124" t="s">
        <v>10</v>
      </c>
      <c r="E5" s="125" t="s">
        <v>11</v>
      </c>
      <c r="F5" s="126" t="s">
        <v>12</v>
      </c>
      <c r="G5" s="93"/>
    </row>
    <row r="6" spans="2:14">
      <c r="D6" s="127">
        <f>SUMPRODUCT(C11:I11,C9:I9)-F16-G16</f>
        <v>0</v>
      </c>
      <c r="E6" s="128">
        <f>SUMPRODUCT(C10:I10,C11:I11)-D16-E16-F16-G16-H16</f>
        <v>-8000</v>
      </c>
      <c r="F6" s="129">
        <f>IF(D6&lt;&gt;0,E6/D6,0)</f>
        <v>0</v>
      </c>
    </row>
    <row r="7" spans="2:14">
      <c r="B7" s="38"/>
      <c r="C7" s="37" t="s">
        <v>0</v>
      </c>
      <c r="D7" s="37" t="s">
        <v>1</v>
      </c>
      <c r="E7" s="37" t="s">
        <v>2</v>
      </c>
      <c r="F7" s="37" t="s">
        <v>3</v>
      </c>
      <c r="G7" s="37" t="s">
        <v>4</v>
      </c>
      <c r="H7" s="37" t="s">
        <v>5</v>
      </c>
      <c r="I7" s="37" t="s">
        <v>6</v>
      </c>
      <c r="J7" s="168" t="s">
        <v>40</v>
      </c>
    </row>
    <row r="8" spans="2:14">
      <c r="B8" s="37" t="s">
        <v>68</v>
      </c>
      <c r="C8" s="68">
        <f>Лист1!C8</f>
        <v>0</v>
      </c>
      <c r="D8" s="68">
        <f>Лист1!D8</f>
        <v>0</v>
      </c>
      <c r="E8" s="68">
        <f>Лист1!E8</f>
        <v>600</v>
      </c>
      <c r="F8" s="68">
        <f>Лист1!F8</f>
        <v>700</v>
      </c>
      <c r="G8" s="68">
        <f>Лист1!G8</f>
        <v>800</v>
      </c>
      <c r="H8" s="68">
        <f>Лист1!H8</f>
        <v>900</v>
      </c>
      <c r="I8" s="68">
        <f>Лист1!I8</f>
        <v>1000</v>
      </c>
      <c r="J8" s="171"/>
    </row>
    <row r="9" spans="2:14">
      <c r="B9" s="37" t="s">
        <v>69</v>
      </c>
      <c r="C9" s="69">
        <v>750</v>
      </c>
      <c r="D9" s="69">
        <v>454</v>
      </c>
      <c r="E9" s="69">
        <v>660</v>
      </c>
      <c r="F9" s="69">
        <v>960</v>
      </c>
      <c r="G9" s="69">
        <v>720</v>
      </c>
      <c r="H9" s="69">
        <v>960</v>
      </c>
      <c r="I9" s="69">
        <v>1500</v>
      </c>
      <c r="J9" s="169"/>
    </row>
    <row r="10" spans="2:14">
      <c r="B10" s="37" t="s">
        <v>67</v>
      </c>
      <c r="C10" s="88" t="str">
        <f>IF(C8&lt;1," ",C9-C8)</f>
        <v xml:space="preserve"> </v>
      </c>
      <c r="D10" s="94" t="str">
        <f>IF(D8&lt;1," ",D9-D8)</f>
        <v xml:space="preserve"> </v>
      </c>
      <c r="E10" s="95">
        <f>IF(E8&lt;1,"",E9-E8)</f>
        <v>60</v>
      </c>
      <c r="F10" s="95">
        <f>IF(F8&lt;1,"",F9-F8)</f>
        <v>260</v>
      </c>
      <c r="G10" s="95">
        <f>IF(G8&lt;1,"",G9-G8)</f>
        <v>-80</v>
      </c>
      <c r="H10" s="95">
        <f>IF(H8&lt;1,"",H9-H8)</f>
        <v>60</v>
      </c>
      <c r="I10" s="95">
        <f>IF(I8&lt;1,"",I9-I8)</f>
        <v>500</v>
      </c>
      <c r="J10" s="71"/>
      <c r="L10" s="65"/>
    </row>
    <row r="11" spans="2:14">
      <c r="B11" s="37" t="s">
        <v>64</v>
      </c>
      <c r="C11" s="96" t="str">
        <f>IF(C8&lt;1,"",0)</f>
        <v/>
      </c>
      <c r="D11" s="96" t="str">
        <f>IF(D8&lt;1,"",200)</f>
        <v/>
      </c>
      <c r="E11" s="96">
        <f>IF(E8&lt;1,"",0)</f>
        <v>0</v>
      </c>
      <c r="F11" s="96">
        <f>IF(F8&lt;1,"",0)</f>
        <v>0</v>
      </c>
      <c r="G11" s="96">
        <f>IF(G8&lt;0,"",0)</f>
        <v>0</v>
      </c>
      <c r="H11" s="96">
        <f>IF(H8&lt;0,"",0)</f>
        <v>0</v>
      </c>
      <c r="I11" s="96">
        <f>IF(I8&lt;0,"",0)</f>
        <v>0</v>
      </c>
      <c r="J11" s="96">
        <f>SUM(C11:I11)</f>
        <v>0</v>
      </c>
    </row>
    <row r="12" spans="2:14">
      <c r="B12" s="37" t="s">
        <v>65</v>
      </c>
      <c r="C12" s="67" t="str">
        <f t="shared" ref="C12:I12" si="0">IF(C8&lt;1,"",C11*C10)</f>
        <v/>
      </c>
      <c r="D12" s="67" t="str">
        <f t="shared" si="0"/>
        <v/>
      </c>
      <c r="E12" s="95">
        <f t="shared" si="0"/>
        <v>0</v>
      </c>
      <c r="F12" s="67">
        <f t="shared" si="0"/>
        <v>0</v>
      </c>
      <c r="G12" s="67">
        <f t="shared" si="0"/>
        <v>0</v>
      </c>
      <c r="H12" s="67">
        <f t="shared" si="0"/>
        <v>0</v>
      </c>
      <c r="I12" s="67">
        <f t="shared" si="0"/>
        <v>0</v>
      </c>
      <c r="J12" s="95">
        <f>SUM(C12:I12)</f>
        <v>0</v>
      </c>
      <c r="L12" s="70"/>
    </row>
    <row r="13" spans="2:14">
      <c r="B13" s="37" t="s">
        <v>66</v>
      </c>
      <c r="C13" s="89" t="str">
        <f t="shared" ref="C13:I13" si="1">IF(C8&lt;1,"",C10/C9)</f>
        <v/>
      </c>
      <c r="D13" s="97" t="str">
        <f t="shared" si="1"/>
        <v/>
      </c>
      <c r="E13" s="97">
        <f t="shared" si="1"/>
        <v>9.0909090909090912E-2</v>
      </c>
      <c r="F13" s="97">
        <f t="shared" si="1"/>
        <v>0.27083333333333331</v>
      </c>
      <c r="G13" s="97">
        <f t="shared" si="1"/>
        <v>-0.1111111111111111</v>
      </c>
      <c r="H13" s="97">
        <f t="shared" si="1"/>
        <v>6.25E-2</v>
      </c>
      <c r="I13" s="97">
        <f t="shared" si="1"/>
        <v>0.33333333333333331</v>
      </c>
      <c r="J13" s="130">
        <f>IF(AVERAGE(C13:I13)&gt;0,AVERAGEIF(C13:I13,"&gt;0"),0)</f>
        <v>0.18939393939393939</v>
      </c>
      <c r="L13" s="34"/>
      <c r="M13" s="34"/>
      <c r="N13" s="34"/>
    </row>
    <row r="14" spans="2:14">
      <c r="B14" s="34"/>
      <c r="C14" s="34"/>
      <c r="D14" s="34"/>
      <c r="E14" s="34"/>
      <c r="F14" s="34"/>
      <c r="G14" s="34"/>
      <c r="H14" s="34"/>
      <c r="I14" s="34"/>
      <c r="L14" s="34"/>
      <c r="M14" s="48"/>
      <c r="N14" s="34"/>
    </row>
    <row r="15" spans="2:14">
      <c r="B15" s="34"/>
      <c r="C15" s="86"/>
      <c r="D15" s="46" t="s">
        <v>7</v>
      </c>
      <c r="E15" s="46" t="s">
        <v>8</v>
      </c>
      <c r="F15" s="46" t="s">
        <v>13</v>
      </c>
      <c r="G15" s="46" t="s">
        <v>9</v>
      </c>
      <c r="H15" s="49">
        <v>0</v>
      </c>
      <c r="I15" s="34"/>
      <c r="K15" s="34"/>
      <c r="L15" s="34"/>
      <c r="M15" s="50"/>
      <c r="N15" s="34"/>
    </row>
    <row r="16" spans="2:14">
      <c r="B16" s="91"/>
      <c r="D16" s="36">
        <v>6000</v>
      </c>
      <c r="E16" s="36">
        <v>2000</v>
      </c>
      <c r="F16" s="36">
        <v>0</v>
      </c>
      <c r="G16" s="36">
        <v>0</v>
      </c>
      <c r="H16" s="41">
        <f>D6*H15</f>
        <v>0</v>
      </c>
      <c r="I16" s="34"/>
      <c r="J16" s="34"/>
      <c r="K16" s="34"/>
      <c r="L16" s="34"/>
      <c r="M16" s="34"/>
      <c r="N16" s="34"/>
    </row>
    <row r="17" spans="2:15">
      <c r="B17" s="87"/>
      <c r="C17" s="34"/>
      <c r="I17" s="34"/>
      <c r="J17" s="64"/>
      <c r="L17" s="34"/>
      <c r="M17" s="34"/>
      <c r="N17" s="34"/>
    </row>
    <row r="18" spans="2:15">
      <c r="B18" s="34"/>
      <c r="C18" s="34"/>
      <c r="D18" s="34"/>
      <c r="E18" s="34"/>
      <c r="F18" s="172" t="s">
        <v>21</v>
      </c>
      <c r="G18" s="172"/>
      <c r="H18" s="34"/>
      <c r="I18" s="34"/>
      <c r="J18" s="34"/>
    </row>
    <row r="19" spans="2:15" ht="15" thickBot="1">
      <c r="B19" s="34"/>
      <c r="C19" s="92"/>
      <c r="D19" s="34"/>
      <c r="E19" s="34"/>
      <c r="F19" s="173">
        <f>H20-E20</f>
        <v>-550000</v>
      </c>
      <c r="G19" s="173"/>
      <c r="H19" s="34"/>
      <c r="I19" s="34"/>
      <c r="J19" s="34"/>
    </row>
    <row r="20" spans="2:15" ht="33.75" customHeight="1">
      <c r="B20" s="34"/>
      <c r="C20" s="51" t="s">
        <v>14</v>
      </c>
      <c r="D20" s="45"/>
      <c r="E20" s="52">
        <v>350000</v>
      </c>
      <c r="F20" s="174" t="str">
        <f>IF((E20*2)&lt;H20,"ԱՅՈ","ՏԱԿ  ԿՏԱՔ")</f>
        <v>ՏԱԿ  ԿՏԱՔ</v>
      </c>
      <c r="G20" s="175"/>
      <c r="H20" s="35">
        <f>H21*H23</f>
        <v>-200000</v>
      </c>
      <c r="I20" s="51" t="s">
        <v>17</v>
      </c>
      <c r="J20" s="45"/>
      <c r="M20" s="66"/>
    </row>
    <row r="21" spans="2:15" ht="15" customHeight="1">
      <c r="B21" s="34"/>
      <c r="C21" s="45" t="s">
        <v>15</v>
      </c>
      <c r="D21" s="45"/>
      <c r="E21" s="43">
        <v>25</v>
      </c>
      <c r="F21" s="176"/>
      <c r="G21" s="177"/>
      <c r="H21" s="46">
        <f>E21</f>
        <v>25</v>
      </c>
      <c r="I21" s="53" t="s">
        <v>15</v>
      </c>
      <c r="J21" s="45"/>
    </row>
    <row r="22" spans="2:15" ht="15" customHeight="1" thickBot="1">
      <c r="F22" s="178"/>
      <c r="G22" s="179"/>
      <c r="H22" s="45"/>
      <c r="I22" s="45"/>
      <c r="J22" s="45"/>
    </row>
    <row r="23" spans="2:15" ht="15" customHeight="1">
      <c r="C23" s="45" t="s">
        <v>16</v>
      </c>
      <c r="D23" s="45"/>
      <c r="E23" s="46">
        <f>E20/E21</f>
        <v>14000</v>
      </c>
      <c r="F23" s="180">
        <f>H23-E23</f>
        <v>-22000</v>
      </c>
      <c r="G23" s="180"/>
      <c r="H23" s="35">
        <f>E6</f>
        <v>-8000</v>
      </c>
      <c r="I23" s="45" t="s">
        <v>18</v>
      </c>
      <c r="J23" s="45"/>
    </row>
    <row r="24" spans="2:15" ht="15" customHeight="1">
      <c r="F24" s="170" t="s">
        <v>20</v>
      </c>
      <c r="G24" s="170"/>
    </row>
    <row r="25" spans="2:15" ht="15.75" customHeight="1"/>
    <row r="26" spans="2:15">
      <c r="K26" s="90"/>
    </row>
    <row r="28" spans="2:15">
      <c r="H28" s="34"/>
      <c r="I28" s="34"/>
      <c r="J28" s="34"/>
      <c r="K28" s="34"/>
      <c r="L28" s="34"/>
      <c r="M28" s="34"/>
      <c r="N28" s="34"/>
      <c r="O28" s="34"/>
    </row>
    <row r="29" spans="2:15">
      <c r="B29" s="34"/>
      <c r="C29" s="34"/>
      <c r="D29" s="34"/>
      <c r="E29" s="34"/>
      <c r="F29" s="34"/>
      <c r="G29" s="34"/>
      <c r="H29" s="34"/>
      <c r="I29" s="34"/>
      <c r="J29" s="34"/>
      <c r="L29" s="34"/>
    </row>
    <row r="30" spans="2:1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</row>
    <row r="31" spans="2:15">
      <c r="B31" s="34"/>
      <c r="C31" s="132"/>
      <c r="D31" s="34"/>
      <c r="E31" s="34"/>
      <c r="F31" s="34"/>
      <c r="G31" s="34"/>
      <c r="H31" s="34"/>
      <c r="I31" s="34"/>
      <c r="J31" s="34"/>
      <c r="K31" s="34"/>
      <c r="L31" s="34"/>
      <c r="N31" s="34"/>
      <c r="O31" s="34"/>
    </row>
    <row r="32" spans="2:15">
      <c r="B32" s="34"/>
      <c r="C32" s="34"/>
      <c r="D32" s="34"/>
      <c r="E32" s="34"/>
      <c r="F32" s="34"/>
      <c r="G32" s="34"/>
      <c r="H32" s="34"/>
      <c r="I32" s="34"/>
      <c r="J32" s="34"/>
    </row>
    <row r="33" spans="2:10">
      <c r="B33" s="34"/>
      <c r="C33" s="133"/>
      <c r="D33" s="34"/>
      <c r="E33" s="34"/>
      <c r="F33" s="34"/>
      <c r="G33" s="34"/>
      <c r="H33" s="34"/>
      <c r="I33" s="34"/>
      <c r="J33" s="34"/>
    </row>
    <row r="34" spans="2:10">
      <c r="B34" s="34"/>
      <c r="C34" s="34"/>
      <c r="D34" s="34"/>
      <c r="E34" s="34"/>
      <c r="F34" s="34"/>
      <c r="G34" s="34"/>
      <c r="H34" s="34"/>
      <c r="I34" s="34"/>
      <c r="J34" s="34"/>
    </row>
    <row r="35" spans="2:10">
      <c r="B35" s="34"/>
      <c r="C35" s="34"/>
      <c r="D35" s="34"/>
      <c r="E35" s="34"/>
      <c r="F35" s="34"/>
      <c r="G35" s="34"/>
      <c r="H35" s="34"/>
      <c r="I35" s="34"/>
      <c r="J35" s="34"/>
    </row>
    <row r="36" spans="2:10">
      <c r="B36" s="34"/>
      <c r="C36" s="34"/>
      <c r="D36" s="133"/>
      <c r="E36" s="34"/>
      <c r="F36" s="34"/>
      <c r="G36" s="34"/>
      <c r="H36" s="34"/>
      <c r="I36" s="34"/>
      <c r="J36" s="34"/>
    </row>
    <row r="37" spans="2:10">
      <c r="B37" s="34"/>
      <c r="C37" s="34"/>
      <c r="D37" s="86"/>
      <c r="E37" s="86"/>
      <c r="F37" s="86"/>
      <c r="G37" s="86"/>
      <c r="H37" s="86"/>
      <c r="I37" s="86"/>
      <c r="J37" s="133"/>
    </row>
    <row r="38" spans="2:10">
      <c r="B38" s="133"/>
      <c r="C38" s="132"/>
      <c r="D38" s="34"/>
      <c r="E38" s="133"/>
      <c r="F38" s="34"/>
      <c r="G38" s="34"/>
      <c r="H38" s="34"/>
      <c r="I38" s="34"/>
      <c r="J38" s="34"/>
    </row>
    <row r="39" spans="2:10">
      <c r="B39" s="133"/>
      <c r="C39" s="132"/>
      <c r="D39" s="34"/>
      <c r="E39" s="133"/>
      <c r="F39" s="34"/>
      <c r="G39" s="34"/>
      <c r="H39" s="34"/>
      <c r="I39" s="34"/>
      <c r="J39" s="34"/>
    </row>
    <row r="40" spans="2:10">
      <c r="B40" s="133"/>
      <c r="C40" s="132"/>
      <c r="D40" s="34"/>
      <c r="E40" s="133"/>
      <c r="F40" s="34"/>
      <c r="G40" s="34"/>
      <c r="H40" s="34"/>
      <c r="I40" s="34"/>
      <c r="J40" s="34"/>
    </row>
    <row r="41" spans="2:10">
      <c r="B41" s="133"/>
      <c r="C41" s="132"/>
      <c r="D41" s="34"/>
      <c r="E41" s="133"/>
      <c r="F41" s="34"/>
      <c r="G41" s="34"/>
      <c r="H41" s="34"/>
      <c r="I41" s="34"/>
      <c r="J41" s="34"/>
    </row>
    <row r="42" spans="2:10">
      <c r="B42" s="133"/>
      <c r="C42" s="132"/>
      <c r="D42" s="34"/>
      <c r="E42" s="133"/>
      <c r="F42" s="34"/>
      <c r="G42" s="34"/>
      <c r="H42" s="34"/>
      <c r="I42" s="34"/>
      <c r="J42" s="34"/>
    </row>
    <row r="43" spans="2:10">
      <c r="B43" s="133"/>
      <c r="C43" s="132"/>
      <c r="D43" s="34"/>
      <c r="E43" s="133"/>
      <c r="F43" s="34"/>
      <c r="G43" s="34"/>
      <c r="H43" s="34"/>
      <c r="I43" s="34"/>
      <c r="J43" s="34"/>
    </row>
    <row r="44" spans="2:10">
      <c r="B44" s="34"/>
      <c r="C44" s="132"/>
      <c r="D44" s="34"/>
      <c r="E44" s="133"/>
      <c r="F44" s="34"/>
      <c r="G44" s="34"/>
      <c r="H44" s="34"/>
      <c r="I44" s="34"/>
      <c r="J44" s="34"/>
    </row>
    <row r="45" spans="2:10">
      <c r="B45" s="34"/>
      <c r="C45" s="34"/>
      <c r="D45" s="34"/>
      <c r="E45" s="34"/>
      <c r="F45" s="34"/>
      <c r="G45" s="34"/>
      <c r="H45" s="34"/>
      <c r="I45" s="34"/>
      <c r="J45" s="34"/>
    </row>
    <row r="46" spans="2:10">
      <c r="B46" s="34"/>
      <c r="C46" s="34"/>
      <c r="D46" s="34"/>
      <c r="E46" s="34"/>
      <c r="F46" s="34"/>
      <c r="G46" s="34"/>
      <c r="H46" s="34"/>
      <c r="I46" s="34"/>
      <c r="J46" s="34"/>
    </row>
    <row r="47" spans="2:10">
      <c r="B47" s="34"/>
      <c r="C47" s="34"/>
      <c r="D47" s="34"/>
      <c r="E47" s="34"/>
      <c r="F47" s="34"/>
      <c r="G47" s="34"/>
      <c r="H47" s="34"/>
      <c r="I47" s="34"/>
      <c r="J47" s="34"/>
    </row>
    <row r="48" spans="2:10">
      <c r="B48" s="34"/>
      <c r="C48" s="34"/>
      <c r="D48" s="34"/>
      <c r="E48" s="34"/>
      <c r="F48" s="34"/>
      <c r="G48" s="34"/>
      <c r="H48" s="34"/>
      <c r="I48" s="34"/>
      <c r="J48" s="34"/>
    </row>
    <row r="49" spans="2:10">
      <c r="B49" s="34"/>
      <c r="C49" s="133"/>
      <c r="D49" s="34"/>
      <c r="E49" s="34"/>
      <c r="F49" s="34"/>
      <c r="G49" s="34"/>
      <c r="H49" s="34"/>
      <c r="I49" s="34"/>
      <c r="J49" s="34"/>
    </row>
    <row r="50" spans="2:10">
      <c r="B50" s="34"/>
      <c r="C50" s="34"/>
      <c r="D50" s="34"/>
      <c r="E50" s="34"/>
      <c r="F50" s="34"/>
      <c r="G50" s="34"/>
      <c r="H50" s="34"/>
      <c r="I50" s="34"/>
      <c r="J50" s="34"/>
    </row>
    <row r="51" spans="2:10">
      <c r="B51" s="34"/>
      <c r="C51" s="34"/>
      <c r="D51" s="34"/>
      <c r="E51" s="34"/>
      <c r="F51" s="34"/>
      <c r="G51" s="34"/>
      <c r="H51" s="34"/>
      <c r="I51" s="34"/>
      <c r="J51" s="34"/>
    </row>
    <row r="52" spans="2:10">
      <c r="B52" s="34"/>
      <c r="C52" s="34"/>
      <c r="D52" s="34"/>
      <c r="E52" s="34"/>
      <c r="F52" s="34"/>
      <c r="G52" s="34"/>
      <c r="H52" s="34"/>
      <c r="I52" s="34"/>
      <c r="J52" s="34"/>
    </row>
    <row r="53" spans="2:10">
      <c r="B53" s="34"/>
      <c r="C53" s="34"/>
      <c r="D53" s="34"/>
      <c r="E53" s="34"/>
      <c r="F53" s="34"/>
      <c r="G53" s="34"/>
      <c r="H53" s="34"/>
      <c r="I53" s="34"/>
      <c r="J53" s="34"/>
    </row>
    <row r="54" spans="2:10">
      <c r="B54" s="34"/>
      <c r="C54" s="34"/>
      <c r="D54" s="34"/>
      <c r="E54" s="34"/>
      <c r="F54" s="34"/>
      <c r="G54" s="34"/>
      <c r="H54" s="34"/>
      <c r="I54" s="34"/>
      <c r="J54" s="34"/>
    </row>
    <row r="55" spans="2:10">
      <c r="B55" s="34"/>
      <c r="C55" s="34"/>
      <c r="D55" s="34"/>
      <c r="E55" s="34"/>
      <c r="F55" s="34"/>
      <c r="G55" s="34"/>
      <c r="H55" s="34"/>
      <c r="I55" s="34"/>
      <c r="J55" s="34"/>
    </row>
    <row r="56" spans="2:10">
      <c r="B56" s="34"/>
      <c r="C56" s="34"/>
      <c r="D56" s="34"/>
      <c r="E56" s="34"/>
      <c r="F56" s="34"/>
      <c r="G56" s="34"/>
      <c r="H56" s="34"/>
      <c r="I56" s="34"/>
      <c r="J56" s="34"/>
    </row>
    <row r="57" spans="2:10">
      <c r="B57" s="34"/>
      <c r="C57" s="34"/>
      <c r="D57" s="34"/>
      <c r="E57" s="34"/>
      <c r="F57" s="34"/>
      <c r="G57" s="34"/>
      <c r="H57" s="34"/>
      <c r="I57" s="34"/>
      <c r="J57" s="34"/>
    </row>
    <row r="58" spans="2:10">
      <c r="B58" s="34"/>
      <c r="C58" s="34"/>
      <c r="D58" s="34"/>
      <c r="E58" s="34"/>
      <c r="F58" s="34"/>
      <c r="G58" s="34"/>
      <c r="H58" s="34"/>
      <c r="I58" s="34"/>
      <c r="J58" s="34"/>
    </row>
    <row r="59" spans="2:10">
      <c r="B59" s="34"/>
      <c r="C59" s="34"/>
      <c r="D59" s="34"/>
      <c r="E59" s="34"/>
      <c r="F59" s="34"/>
      <c r="G59" s="34"/>
      <c r="H59" s="34"/>
      <c r="I59" s="34"/>
      <c r="J59" s="34"/>
    </row>
    <row r="60" spans="2:10">
      <c r="B60" s="34"/>
      <c r="C60" s="34"/>
      <c r="D60" s="34"/>
      <c r="E60" s="34"/>
      <c r="F60" s="34"/>
      <c r="G60" s="34"/>
      <c r="H60" s="34"/>
      <c r="I60" s="34"/>
      <c r="J60" s="34"/>
    </row>
    <row r="61" spans="2:10">
      <c r="B61" s="34"/>
      <c r="C61" s="34"/>
      <c r="D61" s="34"/>
      <c r="E61" s="34"/>
      <c r="F61" s="34"/>
      <c r="G61" s="34"/>
      <c r="H61" s="34"/>
      <c r="I61" s="34"/>
      <c r="J61" s="34"/>
    </row>
  </sheetData>
  <sheetProtection selectLockedCells="1"/>
  <mergeCells count="6">
    <mergeCell ref="F24:G24"/>
    <mergeCell ref="J7:J9"/>
    <mergeCell ref="F18:G18"/>
    <mergeCell ref="F19:G19"/>
    <mergeCell ref="F20:G22"/>
    <mergeCell ref="F23:G23"/>
  </mergeCells>
  <conditionalFormatting sqref="B8:B13">
    <cfRule type="colorScale" priority="15">
      <colorScale>
        <cfvo type="min" val="0"/>
        <cfvo type="max" val="0"/>
        <color rgb="FFFFEF9C"/>
        <color rgb="FF63BE7B"/>
      </colorScale>
    </cfRule>
  </conditionalFormatting>
  <conditionalFormatting sqref="C7:I7">
    <cfRule type="colorScale" priority="1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20">
    <cfRule type="containsText" dxfId="89" priority="10" operator="containsText" text="ՏԱԿ  ԿՏԱՔ">
      <formula>NOT(ISERROR(SEARCH("ՏԱԿ  ԿՏԱՔ",F20)))</formula>
    </cfRule>
    <cfRule type="containsText" dxfId="88" priority="11" operator="containsText" text="ԱՅՈ">
      <formula>NOT(ISERROR(SEARCH("ԱՅՈ",F20)))</formula>
    </cfRule>
  </conditionalFormatting>
  <conditionalFormatting sqref="K14">
    <cfRule type="cellIs" dxfId="87" priority="8" operator="equal">
      <formula>"МАКС($C$12:$I$12)"</formula>
    </cfRule>
  </conditionalFormatting>
  <conditionalFormatting sqref="C12:C13 C12:I12">
    <cfRule type="colorScale" priority="6">
      <colorScale>
        <cfvo type="min" val="0"/>
        <cfvo type="percentile" val="90"/>
        <color rgb="FFFFFF00"/>
        <color rgb="FF92D050"/>
      </colorScale>
    </cfRule>
  </conditionalFormatting>
  <conditionalFormatting sqref="C10">
    <cfRule type="colorScale" priority="4">
      <colorScale>
        <cfvo type="min" val="0"/>
        <cfvo type="percentile" val="90"/>
        <color rgb="FFFFFF00"/>
        <color rgb="FF92D050"/>
      </colorScale>
    </cfRule>
  </conditionalFormatting>
  <conditionalFormatting sqref="C13">
    <cfRule type="colorScale" priority="3">
      <colorScale>
        <cfvo type="min" val="0"/>
        <cfvo type="percentile" val="90"/>
        <color rgb="FFFFFF00"/>
        <color rgb="FF92D050"/>
      </colorScale>
    </cfRule>
  </conditionalFormatting>
  <conditionalFormatting sqref="B17">
    <cfRule type="cellIs" dxfId="86" priority="2" stopIfTrue="1" operator="equal">
      <formula>20</formula>
    </cfRule>
  </conditionalFormatting>
  <conditionalFormatting sqref="C19">
    <cfRule type="colorScale" priority="1">
      <colorScale>
        <cfvo type="min" val="0"/>
        <cfvo type="percentile" val="90"/>
        <color rgb="FFFFFF00"/>
        <color rgb="FF92D050"/>
      </colorScale>
    </cfRule>
  </conditionalFormatting>
  <pageMargins left="0.19685039370078741" right="0.19685039370078741" top="0.19685039370078741" bottom="0.19685039370078741" header="0.19685039370078741" footer="0.19685039370078741"/>
  <pageSetup paperSize="9" orientation="landscape" horizontalDpi="300" verticalDpi="300" r:id="rId1"/>
  <ignoredErrors>
    <ignoredError sqref="D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B1:Q48"/>
  <sheetViews>
    <sheetView showGridLines="0" zoomScale="60" zoomScaleNormal="60" workbookViewId="0">
      <selection activeCell="O50" sqref="O50"/>
    </sheetView>
  </sheetViews>
  <sheetFormatPr defaultRowHeight="14.25"/>
  <cols>
    <col min="1" max="1" width="2.5" style="33" customWidth="1"/>
    <col min="2" max="2" width="21.5" style="33" customWidth="1"/>
    <col min="3" max="3" width="10.5" style="33" customWidth="1"/>
    <col min="4" max="4" width="3.875" style="33" customWidth="1"/>
    <col min="5" max="5" width="24.625" style="33" customWidth="1"/>
    <col min="6" max="6" width="9.75" style="33" customWidth="1"/>
    <col min="7" max="7" width="3" style="33" customWidth="1"/>
    <col min="8" max="8" width="22.5" style="33" customWidth="1"/>
    <col min="9" max="9" width="11.25" style="33" customWidth="1"/>
    <col min="10" max="10" width="3" style="33" customWidth="1"/>
    <col min="11" max="11" width="15.5" style="33" customWidth="1"/>
    <col min="12" max="12" width="9.375" style="33" customWidth="1"/>
    <col min="13" max="13" width="3.75" style="33" customWidth="1"/>
    <col min="14" max="16384" width="9" style="33"/>
  </cols>
  <sheetData>
    <row r="1" spans="2:17">
      <c r="E1" s="43" t="s">
        <v>23</v>
      </c>
      <c r="G1" s="34"/>
      <c r="H1" s="34"/>
    </row>
    <row r="2" spans="2:17">
      <c r="B2" s="43" t="s">
        <v>26</v>
      </c>
      <c r="E2" s="54">
        <v>40940</v>
      </c>
      <c r="F2" s="80">
        <f>187*B3</f>
        <v>72369</v>
      </c>
      <c r="G2" s="77" t="b">
        <v>0</v>
      </c>
      <c r="H2" s="33" t="s">
        <v>27</v>
      </c>
      <c r="K2" s="43" t="s">
        <v>28</v>
      </c>
    </row>
    <row r="3" spans="2:17">
      <c r="B3" s="47">
        <v>387</v>
      </c>
      <c r="E3" s="54">
        <v>40969</v>
      </c>
      <c r="F3" s="80">
        <f>187*B3</f>
        <v>72369</v>
      </c>
      <c r="G3" s="77" t="b">
        <v>1</v>
      </c>
      <c r="H3" s="74">
        <v>40947</v>
      </c>
      <c r="I3" s="40">
        <v>38000</v>
      </c>
      <c r="J3" s="77" t="b">
        <v>1</v>
      </c>
      <c r="K3" s="55">
        <v>41061</v>
      </c>
      <c r="L3" s="40">
        <v>247000</v>
      </c>
      <c r="M3" s="77" t="b">
        <v>1</v>
      </c>
    </row>
    <row r="4" spans="2:17">
      <c r="E4" s="54">
        <v>41000</v>
      </c>
      <c r="F4" s="80">
        <f>187*B3</f>
        <v>72369</v>
      </c>
      <c r="G4" s="77" t="b">
        <v>1</v>
      </c>
      <c r="H4" s="74">
        <v>40976</v>
      </c>
      <c r="I4" s="40">
        <v>38000</v>
      </c>
      <c r="J4" s="77" t="b">
        <v>1</v>
      </c>
      <c r="K4" s="56"/>
      <c r="L4" s="57"/>
      <c r="M4" s="77" t="b">
        <v>1</v>
      </c>
    </row>
    <row r="5" spans="2:17">
      <c r="B5" s="33" t="s">
        <v>24</v>
      </c>
      <c r="E5" s="54">
        <v>41030</v>
      </c>
      <c r="F5" s="80">
        <f>187*B3</f>
        <v>72369</v>
      </c>
      <c r="G5" s="77" t="b">
        <v>1</v>
      </c>
      <c r="H5" s="74">
        <v>41007</v>
      </c>
      <c r="I5" s="40">
        <v>38000</v>
      </c>
      <c r="J5" s="77" t="b">
        <v>1</v>
      </c>
      <c r="K5" s="56"/>
      <c r="L5" s="57"/>
      <c r="M5" s="77" t="b">
        <v>1</v>
      </c>
    </row>
    <row r="6" spans="2:17">
      <c r="B6" s="58">
        <v>40817</v>
      </c>
      <c r="C6" s="40">
        <v>67730</v>
      </c>
      <c r="D6" s="77" t="b">
        <v>0</v>
      </c>
      <c r="E6" s="54">
        <v>41061</v>
      </c>
      <c r="F6" s="80">
        <f>187*B3</f>
        <v>72369</v>
      </c>
      <c r="G6" s="77" t="b">
        <v>1</v>
      </c>
      <c r="H6" s="74">
        <v>41037</v>
      </c>
      <c r="I6" s="40">
        <v>38000</v>
      </c>
      <c r="J6" s="77" t="b">
        <v>1</v>
      </c>
      <c r="K6" s="56"/>
      <c r="L6" s="57"/>
      <c r="M6" s="77" t="b">
        <v>1</v>
      </c>
      <c r="P6" s="44"/>
      <c r="Q6" s="59"/>
    </row>
    <row r="7" spans="2:17">
      <c r="B7" s="58">
        <v>40848</v>
      </c>
      <c r="C7" s="40">
        <v>67730</v>
      </c>
      <c r="D7" s="77" t="b">
        <v>0</v>
      </c>
      <c r="E7" s="54">
        <v>41091</v>
      </c>
      <c r="F7" s="80">
        <f>187*B3</f>
        <v>72369</v>
      </c>
      <c r="G7" s="77" t="b">
        <v>1</v>
      </c>
      <c r="H7" s="74">
        <v>41068</v>
      </c>
      <c r="I7" s="40">
        <v>38000</v>
      </c>
      <c r="J7" s="77" t="b">
        <v>1</v>
      </c>
      <c r="K7" s="56"/>
      <c r="L7" s="57"/>
      <c r="M7" s="77"/>
      <c r="P7" s="44"/>
      <c r="Q7" s="59"/>
    </row>
    <row r="8" spans="2:17">
      <c r="B8" s="58">
        <v>40878</v>
      </c>
      <c r="C8" s="40">
        <v>67730</v>
      </c>
      <c r="D8" s="77" t="b">
        <v>0</v>
      </c>
      <c r="E8" s="54">
        <v>41122</v>
      </c>
      <c r="F8" s="80">
        <f>187*B3</f>
        <v>72369</v>
      </c>
      <c r="G8" s="77" t="b">
        <v>1</v>
      </c>
      <c r="H8" s="74">
        <v>41098</v>
      </c>
      <c r="I8" s="40">
        <v>382000</v>
      </c>
      <c r="J8" s="77" t="b">
        <v>0</v>
      </c>
      <c r="K8" s="56"/>
      <c r="L8" s="57"/>
      <c r="M8" s="77"/>
      <c r="P8" s="44"/>
      <c r="Q8" s="59"/>
    </row>
    <row r="9" spans="2:17" ht="15" thickBot="1">
      <c r="B9" s="58">
        <v>40909</v>
      </c>
      <c r="C9" s="40">
        <v>25000</v>
      </c>
      <c r="D9" s="77" t="b">
        <v>0</v>
      </c>
      <c r="E9" s="54">
        <v>41153</v>
      </c>
      <c r="F9" s="80">
        <f>187*B3</f>
        <v>72369</v>
      </c>
      <c r="G9" s="77" t="b">
        <v>1</v>
      </c>
      <c r="J9" s="79"/>
      <c r="P9" s="44"/>
      <c r="Q9" s="59"/>
    </row>
    <row r="10" spans="2:17" ht="15" thickBot="1">
      <c r="B10" s="58">
        <v>40940</v>
      </c>
      <c r="C10" s="40">
        <v>16000</v>
      </c>
      <c r="D10" s="77" t="b">
        <v>0</v>
      </c>
      <c r="E10" s="54">
        <v>41183</v>
      </c>
      <c r="F10" s="80">
        <f>187*B3</f>
        <v>72369</v>
      </c>
      <c r="G10" s="77" t="b">
        <v>1</v>
      </c>
      <c r="I10" s="83">
        <f>SUMPRODUCT(I3:I8*J3:J8)</f>
        <v>190000</v>
      </c>
      <c r="L10" s="84">
        <f>SUMPRODUCT(L3:L8*M3:M8)</f>
        <v>247000</v>
      </c>
      <c r="P10" s="44"/>
      <c r="Q10" s="59"/>
    </row>
    <row r="11" spans="2:17" ht="15" thickBot="1">
      <c r="B11" s="58">
        <v>40969</v>
      </c>
      <c r="C11" s="40">
        <v>67730</v>
      </c>
      <c r="D11" s="77" t="b">
        <v>1</v>
      </c>
      <c r="E11" s="54">
        <v>41214</v>
      </c>
      <c r="F11" s="80">
        <f>187*B3</f>
        <v>72369</v>
      </c>
      <c r="G11" s="77" t="b">
        <v>1</v>
      </c>
      <c r="H11" s="60" t="s">
        <v>19</v>
      </c>
      <c r="P11" s="44"/>
      <c r="Q11" s="59"/>
    </row>
    <row r="12" spans="2:17">
      <c r="B12" s="58">
        <v>41000</v>
      </c>
      <c r="C12" s="40">
        <v>67730</v>
      </c>
      <c r="D12" s="77" t="b">
        <v>1</v>
      </c>
      <c r="E12" s="54">
        <v>41244</v>
      </c>
      <c r="F12" s="80">
        <f>187*B3</f>
        <v>72369</v>
      </c>
      <c r="G12" s="77" t="b">
        <v>1</v>
      </c>
      <c r="H12" s="74">
        <v>40983</v>
      </c>
      <c r="I12" s="39">
        <f>500*B3</f>
        <v>193500</v>
      </c>
      <c r="J12" s="77" t="b">
        <v>1</v>
      </c>
      <c r="K12" s="205" t="s">
        <v>39</v>
      </c>
      <c r="L12" s="206"/>
      <c r="M12" s="34"/>
      <c r="P12" s="44"/>
      <c r="Q12" s="59"/>
    </row>
    <row r="13" spans="2:17">
      <c r="B13" s="58">
        <v>41030</v>
      </c>
      <c r="C13" s="40">
        <v>67730</v>
      </c>
      <c r="D13" s="77" t="b">
        <v>1</v>
      </c>
      <c r="E13" s="54">
        <v>41275</v>
      </c>
      <c r="F13" s="80">
        <f>187*B3</f>
        <v>72369</v>
      </c>
      <c r="G13" s="77" t="b">
        <v>1</v>
      </c>
      <c r="H13" s="74">
        <v>41014</v>
      </c>
      <c r="I13" s="40">
        <f>500*B3</f>
        <v>193500</v>
      </c>
      <c r="J13" s="77" t="b">
        <v>1</v>
      </c>
      <c r="K13" s="207"/>
      <c r="L13" s="208"/>
      <c r="M13" s="42"/>
      <c r="P13" s="44"/>
      <c r="Q13" s="59"/>
    </row>
    <row r="14" spans="2:17" ht="13.5" customHeight="1" thickBot="1">
      <c r="B14" s="58">
        <v>41061</v>
      </c>
      <c r="C14" s="40">
        <v>67730</v>
      </c>
      <c r="D14" s="77" t="b">
        <v>1</v>
      </c>
      <c r="E14" s="54">
        <v>41306</v>
      </c>
      <c r="F14" s="80">
        <f>187*B3</f>
        <v>72369</v>
      </c>
      <c r="G14" s="77" t="b">
        <v>1</v>
      </c>
      <c r="H14" s="74">
        <v>41044</v>
      </c>
      <c r="I14" s="40">
        <f>500*B3</f>
        <v>193500</v>
      </c>
      <c r="J14" s="77" t="b">
        <v>1</v>
      </c>
      <c r="K14" s="209"/>
      <c r="L14" s="210"/>
      <c r="M14" s="34"/>
      <c r="P14" s="44"/>
      <c r="Q14" s="59"/>
    </row>
    <row r="15" spans="2:17" ht="15.75">
      <c r="B15" s="58">
        <v>41091</v>
      </c>
      <c r="C15" s="40">
        <v>67730</v>
      </c>
      <c r="D15" s="77" t="b">
        <v>1</v>
      </c>
      <c r="E15" s="54">
        <v>41334</v>
      </c>
      <c r="F15" s="80">
        <f>187*B3</f>
        <v>72369</v>
      </c>
      <c r="G15" s="77" t="b">
        <v>1</v>
      </c>
      <c r="H15" s="74">
        <v>41075</v>
      </c>
      <c r="I15" s="40">
        <f>500*B3</f>
        <v>193500</v>
      </c>
      <c r="J15" s="77" t="b">
        <v>1</v>
      </c>
      <c r="K15" s="181">
        <v>40909</v>
      </c>
      <c r="L15" s="182"/>
      <c r="M15" s="85"/>
      <c r="N15" s="85"/>
      <c r="P15" s="44"/>
      <c r="Q15" s="59"/>
    </row>
    <row r="16" spans="2:17" ht="13.5" customHeight="1">
      <c r="B16" s="58">
        <v>41122</v>
      </c>
      <c r="C16" s="40">
        <v>67730</v>
      </c>
      <c r="D16" s="77" t="b">
        <v>1</v>
      </c>
      <c r="E16" s="54">
        <v>41365</v>
      </c>
      <c r="F16" s="80">
        <f>187*B3</f>
        <v>72369</v>
      </c>
      <c r="G16" s="77" t="b">
        <v>1</v>
      </c>
      <c r="H16" s="74">
        <v>41105</v>
      </c>
      <c r="I16" s="40">
        <f>500*B3</f>
        <v>193500</v>
      </c>
      <c r="J16" s="77" t="b">
        <v>1</v>
      </c>
      <c r="K16" s="183">
        <f>SUMPRODUCT(((MONTH(B6:B29)=MONTH(K15))*(YEAR(B6:B29)=YEAR(K15))*C6:C29)+SUMPRODUCT((MONTH(E2:E37)=MONTH(K15))*(YEAR(E2:E37)=YEAR(K15))*F2:F37)+SUMPRODUCT((MONTH(B33:B36)=MONTH(K15))*(YEAR(B33:B36)=YEAR(K15))*C33:C36)+SUMPRODUCT((MONTH(H3:H8)=MONTH(K15))*(YEAR(H3:H8)=YEAR(K15))*I3:I8)+SUMPRODUCT((MONTH(H12:H19)=MONTH(K15))*(YEAR(H12:H19)=YEAR(K15))*I12:I19)+SUMPRODUCT((MONTH(H32:H37)=MONTH(K15))*(YEAR(H32:H37)=YEAR(K15))*I32:I37)+SUMPRODUCT((MONTH(K3:K8)=MONTH(K15))*(YEAR(K3:K8)=YEAR(K15))*L3:L8))</f>
        <v>25000</v>
      </c>
      <c r="L16" s="184"/>
      <c r="M16" s="85"/>
      <c r="N16" s="85"/>
      <c r="P16" s="44"/>
      <c r="Q16" s="59"/>
    </row>
    <row r="17" spans="2:17" ht="15.75">
      <c r="B17" s="58">
        <v>41153</v>
      </c>
      <c r="C17" s="40">
        <v>67730</v>
      </c>
      <c r="D17" s="77" t="b">
        <v>1</v>
      </c>
      <c r="E17" s="54">
        <v>41395</v>
      </c>
      <c r="F17" s="80">
        <f>187*B3</f>
        <v>72369</v>
      </c>
      <c r="G17" s="77" t="b">
        <v>1</v>
      </c>
      <c r="H17" s="74">
        <v>41136</v>
      </c>
      <c r="I17" s="40">
        <f>500*B3</f>
        <v>193500</v>
      </c>
      <c r="J17" s="77" t="b">
        <v>1</v>
      </c>
      <c r="K17" s="201">
        <v>40940</v>
      </c>
      <c r="L17" s="200"/>
      <c r="M17" s="85"/>
      <c r="N17" s="85"/>
      <c r="P17" s="44"/>
      <c r="Q17" s="59"/>
    </row>
    <row r="18" spans="2:17" ht="18">
      <c r="B18" s="58">
        <v>41183</v>
      </c>
      <c r="C18" s="40">
        <v>67730</v>
      </c>
      <c r="D18" s="77" t="b">
        <v>1</v>
      </c>
      <c r="E18" s="54">
        <v>41426</v>
      </c>
      <c r="F18" s="80">
        <f>187*B3</f>
        <v>72369</v>
      </c>
      <c r="G18" s="77" t="b">
        <v>1</v>
      </c>
      <c r="H18" s="74">
        <v>41167</v>
      </c>
      <c r="I18" s="40">
        <f>500*B3</f>
        <v>193500</v>
      </c>
      <c r="J18" s="77" t="b">
        <v>1</v>
      </c>
      <c r="K18" s="202">
        <f>SUMPRODUCT((MONTH(B6:B29)=MONTH(K17))*(YEAR(B6:B29)=YEAR(K17))*C6:C29)+SUMPRODUCT((MONTH(E2:E37)=MONTH(K17))*(YEAR(E2:E37)=YEAR(K17))*F2:F37)+SUMPRODUCT((MONTH(B33:B36)=MONTH(K17))*(YEAR(B33:B36)=YEAR(K17))*C33:C36)+SUMPRODUCT((MONTH(H3:H8)=MONTH(K17))*(YEAR(H3:H8)=YEAR(K17))*I3:I8)+SUMPRODUCT((MONTH(H12:H19)=MONTH(K17))*(YEAR(H12:H19)=YEAR(K17))*I12:I19)+SUMPRODUCT((MONTH(H32:H37)=MONTH(K17))*(YEAR(H32:H37)=YEAR(K17))*I32:I37)+SUMPRODUCT((MONTH(K3:K8)=MONTH(K17))*(YEAR(K3:K8)=YEAR(K17))*L3:L8)</f>
        <v>126369</v>
      </c>
      <c r="L18" s="198"/>
      <c r="M18" s="34"/>
      <c r="P18" s="44"/>
      <c r="Q18" s="59"/>
    </row>
    <row r="19" spans="2:17" ht="16.5" thickBot="1">
      <c r="B19" s="58">
        <v>41214</v>
      </c>
      <c r="C19" s="40">
        <v>67730</v>
      </c>
      <c r="D19" s="77" t="b">
        <v>1</v>
      </c>
      <c r="E19" s="54">
        <v>41456</v>
      </c>
      <c r="F19" s="80">
        <f>187*B3</f>
        <v>72369</v>
      </c>
      <c r="G19" s="77" t="b">
        <v>1</v>
      </c>
      <c r="H19" s="74">
        <v>41197</v>
      </c>
      <c r="I19" s="40">
        <f>200*B3</f>
        <v>77400</v>
      </c>
      <c r="J19" s="77" t="b">
        <v>1</v>
      </c>
      <c r="K19" s="201">
        <v>40969</v>
      </c>
      <c r="L19" s="200"/>
      <c r="P19" s="44"/>
      <c r="Q19" s="59"/>
    </row>
    <row r="20" spans="2:17" ht="17.25" customHeight="1" thickBot="1">
      <c r="B20" s="58">
        <v>41244</v>
      </c>
      <c r="C20" s="40">
        <v>67730</v>
      </c>
      <c r="D20" s="77" t="b">
        <v>1</v>
      </c>
      <c r="E20" s="54">
        <v>41487</v>
      </c>
      <c r="F20" s="80">
        <f>187*B3</f>
        <v>72369</v>
      </c>
      <c r="G20" s="77" t="b">
        <v>1</v>
      </c>
      <c r="I20" s="82">
        <f>SUMPRODUCT(I12:I19*J12:J19)</f>
        <v>1431900</v>
      </c>
      <c r="J20" s="79"/>
      <c r="K20" s="197">
        <f>SUMPRODUCT((MONTH(B6:B29)=MONTH(K19))*(YEAR(B6:B29)=YEAR(K19))*C6:C29)+SUMPRODUCT((MONTH(E2:E37)=MONTH(K19))*(YEAR(E2:E37)=YEAR(K19))*F2:F37)+SUMPRODUCT((MONTH(B33:B36)=MONTH(K19))*(YEAR(B33:B36)=YEAR(K19))*C33:C36)+SUMPRODUCT((MONTH(H3:H8)=MONTH(K19))*(YEAR(H3:H8)=YEAR(K19))*I3:I8)+SUMPRODUCT((MONTH(H12:H19)=MONTH(K19))*(YEAR(H12:H19)=YEAR(K19))*I12:I19)+SUMPRODUCT((MONTH(H32:H37)=MONTH(K19))*(YEAR(H32:H37)=YEAR(K19))*I32:I37)+SUMPRODUCT((MONTH(K3:K8)=MONTH(K19))*(YEAR(K3:K8)=YEAR(K19))*L3:L8)</f>
        <v>371599</v>
      </c>
      <c r="L20" s="198"/>
      <c r="M20" s="34"/>
      <c r="P20" s="44"/>
      <c r="Q20" s="59"/>
    </row>
    <row r="21" spans="2:17" ht="15" customHeight="1">
      <c r="B21" s="58">
        <v>41275</v>
      </c>
      <c r="C21" s="40">
        <v>12940</v>
      </c>
      <c r="D21" s="77" t="b">
        <v>1</v>
      </c>
      <c r="E21" s="54">
        <v>41518</v>
      </c>
      <c r="F21" s="80">
        <f>187*B3</f>
        <v>72369</v>
      </c>
      <c r="G21" s="77" t="b">
        <v>1</v>
      </c>
      <c r="H21" s="185" t="s">
        <v>30</v>
      </c>
      <c r="I21" s="186"/>
      <c r="K21" s="199">
        <v>41000</v>
      </c>
      <c r="L21" s="200"/>
      <c r="P21" s="44"/>
      <c r="Q21" s="59"/>
    </row>
    <row r="22" spans="2:17" ht="17.25" customHeight="1">
      <c r="B22" s="58">
        <v>41306</v>
      </c>
      <c r="C22" s="40">
        <v>10440</v>
      </c>
      <c r="D22" s="77" t="b">
        <v>1</v>
      </c>
      <c r="E22" s="54">
        <v>41548</v>
      </c>
      <c r="F22" s="80">
        <f>187*B3</f>
        <v>72369</v>
      </c>
      <c r="G22" s="77" t="b">
        <v>1</v>
      </c>
      <c r="H22" s="187"/>
      <c r="I22" s="188"/>
      <c r="K22" s="197">
        <f>SUMPRODUCT((MONTH(B6:B29)=MONTH(K21))*(YEAR(B6:B29)=YEAR(K21))*C6:C29)+SUMPRODUCT((MONTH(E2:E37)=MONTH(K21))*(YEAR(E2:E37)=YEAR(K21))*F2:F37)+SUMPRODUCT((MONTH(B33:B36)=MONTH(K21))*(YEAR(B33:B36)=YEAR(K21))*C33:C36)+SUMPRODUCT((MONTH(H3:H8)=MONTH(K21))*(YEAR(H3:H8)=YEAR(K21))*I3:I8)+SUMPRODUCT((MONTH(H12:H19)=MONTH(K21))*(YEAR(H12:H19)=YEAR(K21))*I12:I19)+SUMPRODUCT((MONTH(H32:H37)=MONTH(K21))*(YEAR(H32:H37)=YEAR(K21))*I32:I37)+SUMPRODUCT((MONTH(K3:K8)=MONTH(K21))*(YEAR(K3:K8)=YEAR(K21))*L3:L8)</f>
        <v>371599</v>
      </c>
      <c r="L22" s="198"/>
      <c r="M22" s="34"/>
      <c r="P22" s="44"/>
      <c r="Q22" s="59"/>
    </row>
    <row r="23" spans="2:17" ht="18" customHeight="1" thickBot="1">
      <c r="B23" s="58">
        <v>41334</v>
      </c>
      <c r="C23" s="40">
        <v>67730</v>
      </c>
      <c r="D23" s="77" t="b">
        <v>1</v>
      </c>
      <c r="E23" s="54">
        <v>41579</v>
      </c>
      <c r="F23" s="80">
        <f>187*B3</f>
        <v>72369</v>
      </c>
      <c r="G23" s="77" t="b">
        <v>1</v>
      </c>
      <c r="H23" s="189"/>
      <c r="I23" s="190"/>
      <c r="K23" s="199">
        <v>41030</v>
      </c>
      <c r="L23" s="200"/>
      <c r="P23" s="44"/>
      <c r="Q23" s="59"/>
    </row>
    <row r="24" spans="2:17" ht="15" customHeight="1">
      <c r="B24" s="58">
        <v>41365</v>
      </c>
      <c r="C24" s="40">
        <v>67730</v>
      </c>
      <c r="D24" s="77" t="b">
        <v>1</v>
      </c>
      <c r="E24" s="54">
        <v>41609</v>
      </c>
      <c r="F24" s="80">
        <f>187*B3</f>
        <v>72369</v>
      </c>
      <c r="G24" s="77" t="b">
        <v>1</v>
      </c>
      <c r="H24" s="191">
        <f>SUM(C31,C38,F38,I10,I20,I38,L10)</f>
        <v>6722265</v>
      </c>
      <c r="I24" s="192"/>
      <c r="K24" s="197">
        <f>SUMPRODUCT((MONTH(B6:B29)=MONTH(K23))*(YEAR(B6:B29)=YEAR(K23))*C6:C29)+SUMPRODUCT((MONTH(E2:E37)=MONTH(K23))*(YEAR(E2:E37)=YEAR(K23))*F2:F37)+SUMPRODUCT((MONTH(B33:B36)=MONTH(K23))*(YEAR(B33:B36)=YEAR(K23))*C33:C36)+SUMPRODUCT((MONTH(H3:H8)=MONTH(K23))*(YEAR(H3:H8)=YEAR(K23))*I3:I8)+SUMPRODUCT((MONTH(H12:H19)=MONTH(K23))*(YEAR(H12:H19)=YEAR(K23))*I12:I19)+SUMPRODUCT((MONTH(H32:H37)=MONTH(K23))*(YEAR(H32:H37)=YEAR(K23))*I32:I37)+SUMPRODUCT((MONTH(K3:K8)=MONTH(K23))*(YEAR(K3:K8)=YEAR(K23))*L3:L8)</f>
        <v>371599</v>
      </c>
      <c r="L24" s="198"/>
      <c r="M24" s="34"/>
      <c r="P24" s="44"/>
      <c r="Q24" s="59"/>
    </row>
    <row r="25" spans="2:17" ht="15" customHeight="1">
      <c r="B25" s="58">
        <v>41395</v>
      </c>
      <c r="C25" s="40">
        <v>67730</v>
      </c>
      <c r="D25" s="77" t="b">
        <v>1</v>
      </c>
      <c r="E25" s="54">
        <v>41640</v>
      </c>
      <c r="F25" s="80">
        <f>187*B3</f>
        <v>72369</v>
      </c>
      <c r="G25" s="77" t="b">
        <v>1</v>
      </c>
      <c r="H25" s="193"/>
      <c r="I25" s="194"/>
      <c r="K25" s="199">
        <v>41061</v>
      </c>
      <c r="L25" s="200"/>
      <c r="P25" s="44"/>
      <c r="Q25" s="59"/>
    </row>
    <row r="26" spans="2:17" ht="15.75" customHeight="1">
      <c r="B26" s="58">
        <v>41426</v>
      </c>
      <c r="C26" s="40">
        <v>67730</v>
      </c>
      <c r="D26" s="77" t="b">
        <v>1</v>
      </c>
      <c r="E26" s="54">
        <v>41671</v>
      </c>
      <c r="F26" s="80">
        <f>187*B3</f>
        <v>72369</v>
      </c>
      <c r="G26" s="77" t="b">
        <v>1</v>
      </c>
      <c r="H26" s="193"/>
      <c r="I26" s="194"/>
      <c r="K26" s="197">
        <f>SUMPRODUCT((MONTH(B6:B29)=MONTH(K25))*(YEAR(B6:B29)=YEAR(K25))*C6:C29)+SUMPRODUCT((MONTH(E2:E37)=MONTH(K25))*(YEAR(E2:E37)=YEAR(K25))*F2:F37)+SUMPRODUCT((MONTH(B33:B36)=MONTH(K25))*(YEAR(B33:B36)=YEAR(K25))*C33:C36)+SUMPRODUCT((MONTH(H3:H8)=MONTH(K25))*(YEAR(H3:H8)=YEAR(K25))*I3:I8)+SUMPRODUCT((MONTH(H12:H19)=MONTH(K25))*(YEAR(H12:H19)=YEAR(K25))*I12:I19)+SUMPRODUCT((MONTH(H32:H37)=MONTH(K25))*(YEAR(H32:H37)=YEAR(K25))*I32:I37)+SUMPRODUCT((MONTH(K3:K8)=MONTH(K25))*(YEAR(K3:K8)=YEAR(K25))*L3:L8)</f>
        <v>988679</v>
      </c>
      <c r="L26" s="198"/>
      <c r="M26" s="34"/>
      <c r="P26" s="44"/>
      <c r="Q26" s="59"/>
    </row>
    <row r="27" spans="2:17" ht="15" customHeight="1">
      <c r="B27" s="58">
        <v>41456</v>
      </c>
      <c r="C27" s="40">
        <v>67730</v>
      </c>
      <c r="D27" s="77" t="b">
        <v>1</v>
      </c>
      <c r="E27" s="54">
        <v>41699</v>
      </c>
      <c r="F27" s="80">
        <f>187*B3</f>
        <v>72369</v>
      </c>
      <c r="G27" s="77" t="b">
        <v>1</v>
      </c>
      <c r="H27" s="193"/>
      <c r="I27" s="194"/>
      <c r="K27" s="199">
        <v>41091</v>
      </c>
      <c r="L27" s="200"/>
      <c r="P27" s="44"/>
      <c r="Q27" s="59"/>
    </row>
    <row r="28" spans="2:17" ht="13.5" customHeight="1">
      <c r="B28" s="58">
        <v>41487</v>
      </c>
      <c r="C28" s="40">
        <v>67730</v>
      </c>
      <c r="D28" s="77" t="b">
        <v>1</v>
      </c>
      <c r="E28" s="54">
        <v>41730</v>
      </c>
      <c r="F28" s="80">
        <f>187*B3</f>
        <v>72369</v>
      </c>
      <c r="G28" s="77" t="b">
        <v>1</v>
      </c>
      <c r="H28" s="193"/>
      <c r="I28" s="194"/>
      <c r="K28" s="197">
        <f>SUMPRODUCT((MONTH(B6:B29)=MONTH(K27))*(YEAR(B6:B29)=YEAR(K27))*C6:C29)+SUMPRODUCT((MONTH(E2:E37)=MONTH(K27))*(YEAR(E2:E37)=YEAR(K27))*F2:F37)+SUMPRODUCT((MONTH(B33:B36)=MONTH(K27))*(YEAR(B33:B36)=YEAR(K27))*C33:C36)+SUMPRODUCT((MONTH(H3:H8)=MONTH(K27))*(YEAR(H3:H8)=YEAR(K27))*I3:I8)+SUMPRODUCT((MONTH(H12:H19)=MONTH(K27))*(YEAR(H12:H19)=YEAR(K27))*I12:I19)+SUMPRODUCT((MONTH(H32:H37)=MONTH(K27))*(YEAR(H32:H37)=YEAR(K27))*I32:I37)+SUMPRODUCT((MONTH(K3:K8)=MONTH(K27))*(YEAR(K3:K8)=YEAR(K27))*L3:L8)</f>
        <v>715599</v>
      </c>
      <c r="L28" s="198"/>
      <c r="M28" s="34"/>
      <c r="P28" s="44"/>
      <c r="Q28" s="59"/>
    </row>
    <row r="29" spans="2:17" ht="15.75" customHeight="1" thickBot="1">
      <c r="B29" s="58">
        <v>41518</v>
      </c>
      <c r="C29" s="40">
        <v>67730</v>
      </c>
      <c r="D29" s="77" t="b">
        <v>1</v>
      </c>
      <c r="E29" s="54">
        <v>41760</v>
      </c>
      <c r="F29" s="80">
        <f>187*B3</f>
        <v>72369</v>
      </c>
      <c r="G29" s="77" t="b">
        <v>1</v>
      </c>
      <c r="H29" s="195"/>
      <c r="I29" s="196"/>
      <c r="K29" s="199">
        <v>41122</v>
      </c>
      <c r="L29" s="200"/>
      <c r="P29" s="44"/>
      <c r="Q29" s="59"/>
    </row>
    <row r="30" spans="2:17" ht="15.75" customHeight="1" thickBot="1">
      <c r="C30" s="61"/>
      <c r="D30" s="78"/>
      <c r="E30" s="54">
        <v>41791</v>
      </c>
      <c r="F30" s="80">
        <f>187*B3</f>
        <v>72369</v>
      </c>
      <c r="G30" s="77" t="b">
        <v>1</v>
      </c>
      <c r="K30" s="197">
        <f>SUMPRODUCT((MONTH(B6:B29)=MONTH(K29))*(YEAR(B6:B29)=YEAR(K29))*C6:C29)+SUMPRODUCT((MONTH(E2:E37)=MONTH(K29))*(YEAR(E2:E37)=YEAR(K29))*F2:F37)+SUMPRODUCT((MONTH(B33:B36)=MONTH(K29))*(YEAR(B33:B36)=YEAR(K29))*C33:C36)+SUMPRODUCT((MONTH(H3:H8)=MONTH(K29))*(YEAR(H3:H8)=YEAR(K29))*I3:I8)+SUMPRODUCT((MONTH(H12:H19)=MONTH(K29))*(YEAR(H12:H19)=YEAR(K29))*I12:I19)+SUMPRODUCT((MONTH(H32:H37)=MONTH(K29))*(YEAR(H32:H37)=YEAR(K29))*I32:I37)+SUMPRODUCT((MONTH(K3:K8)=MONTH(K29))*(YEAR(K3:K8)=YEAR(K29))*L3:L8)</f>
        <v>333599</v>
      </c>
      <c r="L30" s="198"/>
      <c r="M30" s="34"/>
      <c r="P30" s="44"/>
      <c r="Q30" s="59"/>
    </row>
    <row r="31" spans="2:17" ht="17.25" customHeight="1" thickBot="1">
      <c r="C31" s="83">
        <f>SUMPRODUCT(C6:C29*D6:D29)</f>
        <v>1174790</v>
      </c>
      <c r="D31" s="34"/>
      <c r="E31" s="54">
        <v>41821</v>
      </c>
      <c r="F31" s="80">
        <f>187*B3</f>
        <v>72369</v>
      </c>
      <c r="G31" s="77" t="b">
        <v>1</v>
      </c>
      <c r="H31" s="43" t="s">
        <v>29</v>
      </c>
      <c r="J31" s="79"/>
      <c r="K31" s="199">
        <v>41153</v>
      </c>
      <c r="L31" s="200"/>
      <c r="P31" s="44"/>
      <c r="Q31" s="59"/>
    </row>
    <row r="32" spans="2:17" ht="15" customHeight="1">
      <c r="B32" s="43" t="s">
        <v>25</v>
      </c>
      <c r="D32" s="79"/>
      <c r="E32" s="54">
        <v>41852</v>
      </c>
      <c r="F32" s="80">
        <f>187*B3</f>
        <v>72369</v>
      </c>
      <c r="G32" s="77" t="b">
        <v>1</v>
      </c>
      <c r="H32" s="75">
        <v>41609</v>
      </c>
      <c r="I32" s="40">
        <v>120000</v>
      </c>
      <c r="J32" s="77" t="b">
        <v>1</v>
      </c>
      <c r="K32" s="202">
        <f>SUMPRODUCT((MONTH(B6:B29)=MONTH(K31))*(YEAR(B6:B29)=YEAR(K31))*C6:C29)+SUMPRODUCT((MONTH(E2:E37)=MONTH(K31))*(YEAR(E2:E37)=YEAR(K31))*F2:F37)+SUMPRODUCT((MONTH(B33:B36)=MONTH(K31))*(YEAR(B33:B36)=YEAR(K31))*C33:C36)+SUMPRODUCT((MONTH(H3:H8)=MONTH(K31))*(YEAR(H3:H8)=YEAR(K31))*I3:I8)+SUMPRODUCT((MONTH(H12:H19)=MONTH(K31))*(YEAR(H12:H19)=YEAR(K31))*I12:I19)+SUMPRODUCT((MONTH(H32:H37)=MONTH(K31))*(YEAR(H32:H37)=YEAR(K31))*I32:I37)+SUMPRODUCT((MONTH(K3:K8)=MONTH(K31))*(YEAR(K3:K8)=YEAR(K31))*L3:L8)</f>
        <v>333599</v>
      </c>
      <c r="L32" s="198"/>
      <c r="M32" s="34"/>
      <c r="P32" s="44"/>
      <c r="Q32" s="59"/>
    </row>
    <row r="33" spans="2:17" ht="15" customHeight="1">
      <c r="B33" s="54">
        <v>40902</v>
      </c>
      <c r="C33" s="40">
        <v>386000</v>
      </c>
      <c r="D33" s="77" t="b">
        <v>0</v>
      </c>
      <c r="E33" s="54">
        <v>41883</v>
      </c>
      <c r="F33" s="80">
        <f>187*B3</f>
        <v>72369</v>
      </c>
      <c r="G33" s="77" t="b">
        <v>1</v>
      </c>
      <c r="H33" s="76"/>
      <c r="I33" s="57"/>
      <c r="J33" s="77"/>
      <c r="K33" s="201">
        <v>41183</v>
      </c>
      <c r="L33" s="200"/>
      <c r="P33" s="44"/>
      <c r="Q33" s="59"/>
    </row>
    <row r="34" spans="2:17" ht="15" customHeight="1">
      <c r="B34" s="54">
        <v>41085</v>
      </c>
      <c r="C34" s="40">
        <v>370080</v>
      </c>
      <c r="D34" s="77" t="b">
        <v>1</v>
      </c>
      <c r="E34" s="54">
        <v>41913</v>
      </c>
      <c r="F34" s="80">
        <f>187*B3</f>
        <v>72369</v>
      </c>
      <c r="G34" s="77" t="b">
        <v>1</v>
      </c>
      <c r="H34" s="76"/>
      <c r="I34" s="57"/>
      <c r="J34" s="77"/>
      <c r="K34" s="202">
        <f>SUMPRODUCT((MONTH(B6:B29)=MONTH(K33))*(YEAR(B6:B29)=YEAR(K33))*C6:C29)+SUMPRODUCT((MONTH(E2:E37)=MONTH(K33))*(YEAR(E2:E37)=YEAR(K33))*F2:F37)+SUMPRODUCT((MONTH(B33:B36)=MONTH(K33))*(YEAR(B33:B36)=YEAR(K33))*C33:C36)+SUMPRODUCT((MONTH(H3:H8)=MONTH(K33))*(YEAR(H3:H8)=YEAR(K33))*I3:I8)+SUMPRODUCT((MONTH(H12:H19)=MONTH(K33))*(YEAR(H12:H19)=YEAR(K33))*I12:I19)+SUMPRODUCT((MONTH(H32:H37)=MONTH(K33))*(YEAR(H32:H37)=YEAR(K33))*I32:I37)+SUMPRODUCT((MONTH(K3:K8)=MONTH(K33))*(YEAR(K3:K8)=YEAR(K33))*L3:L8)</f>
        <v>217499</v>
      </c>
      <c r="L34" s="198"/>
      <c r="M34" s="34"/>
      <c r="P34" s="44"/>
      <c r="Q34" s="59"/>
    </row>
    <row r="35" spans="2:17" ht="15" customHeight="1">
      <c r="B35" s="54">
        <v>41268</v>
      </c>
      <c r="C35" s="40">
        <v>334750</v>
      </c>
      <c r="D35" s="77" t="b">
        <v>1</v>
      </c>
      <c r="E35" s="54">
        <v>41944</v>
      </c>
      <c r="F35" s="80">
        <f>187*B3</f>
        <v>72369</v>
      </c>
      <c r="G35" s="77" t="b">
        <v>1</v>
      </c>
      <c r="H35" s="76"/>
      <c r="I35" s="57"/>
      <c r="J35" s="77"/>
      <c r="K35" s="201">
        <v>41214</v>
      </c>
      <c r="L35" s="200"/>
      <c r="P35" s="44"/>
      <c r="Q35" s="59"/>
    </row>
    <row r="36" spans="2:17" ht="15.75" customHeight="1">
      <c r="B36" s="54">
        <v>41450</v>
      </c>
      <c r="C36" s="40">
        <v>320830</v>
      </c>
      <c r="D36" s="77" t="b">
        <v>1</v>
      </c>
      <c r="E36" s="54">
        <v>41974</v>
      </c>
      <c r="F36" s="80">
        <f>187*B3</f>
        <v>72369</v>
      </c>
      <c r="G36" s="77" t="b">
        <v>1</v>
      </c>
      <c r="H36" s="76"/>
      <c r="I36" s="57"/>
      <c r="J36" s="77"/>
      <c r="K36" s="202">
        <f>SUMPRODUCT((MONTH(B6:B29)=MONTH(K35))*(YEAR(B6:B29)=YEAR(K35))*C6:C29)+SUMPRODUCT((MONTH(E2:E37)=MONTH(K35))*(YEAR(E2:E37)=YEAR(K35))*F2:F37)+SUMPRODUCT((MONTH(B33:B36)=MONTH(K35))*(YEAR(B33:B36)=YEAR(K35))*C33:C36)+SUMPRODUCT((MONTH(H3:H8)=MONTH(K35))*(YEAR(H3:H8)=YEAR(K35))*I3:I8)+SUMPRODUCT((MONTH(H12:H19)=MONTH(K35))*(YEAR(H12:H19)=YEAR(K35))*I12:I19)+SUMPRODUCT((MONTH(H32:H37)=MONTH(K35))*(YEAR(H32:H37)=YEAR(K35))*I32:I37)+SUMPRODUCT((MONTH(K3:K8)=MONTH(K35))*(YEAR(K3:K8)=YEAR(K35))*L3:L8)</f>
        <v>140099</v>
      </c>
      <c r="L36" s="198"/>
      <c r="M36" s="34"/>
      <c r="P36" s="44"/>
      <c r="Q36" s="59"/>
    </row>
    <row r="37" spans="2:17" ht="15.75" customHeight="1" thickBot="1">
      <c r="E37" s="54">
        <v>42005</v>
      </c>
      <c r="F37" s="80">
        <f>187*B3</f>
        <v>72369</v>
      </c>
      <c r="G37" s="77" t="b">
        <v>1</v>
      </c>
      <c r="H37" s="76"/>
      <c r="I37" s="57"/>
      <c r="J37" s="77"/>
      <c r="K37" s="201">
        <v>41244</v>
      </c>
      <c r="L37" s="200"/>
      <c r="P37" s="44"/>
      <c r="Q37" s="59"/>
    </row>
    <row r="38" spans="2:17" ht="15.75" customHeight="1" thickBot="1">
      <c r="B38" s="60"/>
      <c r="C38" s="83">
        <f>SUMPRODUCT(C33:C36*D33:D36)</f>
        <v>1025660</v>
      </c>
      <c r="F38" s="81">
        <f>SUMPRODUCT(F2:F37*G2:G37)</f>
        <v>2532915</v>
      </c>
      <c r="G38" s="77"/>
      <c r="I38" s="84">
        <f>SUMPRODUCT(I32:I37*J32:J37)</f>
        <v>120000</v>
      </c>
      <c r="J38" s="79"/>
      <c r="K38" s="203">
        <f>SUMPRODUCT((MONTH(B6:B29)=MONTH(K37))*(YEAR(B6:B29)=YEAR(K37))*C6:C29)+SUMPRODUCT((MONTH(E2:E37)=MONTH(K37))*(YEAR(E2:E37)=YEAR(K37))*F2:F37)+SUMPRODUCT((MONTH(B33:B36)=MONTH(K37))*(YEAR(B33:B36)=YEAR(K37))*C33:C36)+SUMPRODUCT((MONTH(H3:H8)=MONTH(K37))*(YEAR(H3:H8)=YEAR(K37))*I3:I8)+SUMPRODUCT((MONTH(H12:H19)=MONTH(K37))*(YEAR(H12:H19)=YEAR(K37))*I12:I19)+SUMPRODUCT((MONTH(H32:H37)=MONTH(K37))*(YEAR(H32:H37)=YEAR(K37))*I32:I37)+SUMPRODUCT((MONTH(K3:K8)=MONTH(K37))*(YEAR(K3:K8)=YEAR(K37))*L3:L8)</f>
        <v>474849</v>
      </c>
      <c r="L38" s="204"/>
      <c r="P38" s="44"/>
      <c r="Q38" s="59"/>
    </row>
    <row r="39" spans="2:17" ht="15" customHeight="1">
      <c r="C39" s="61"/>
      <c r="P39" s="44"/>
      <c r="Q39" s="59"/>
    </row>
    <row r="40" spans="2:17" ht="15" customHeight="1">
      <c r="C40" s="61"/>
      <c r="H40" s="62"/>
      <c r="I40" s="62"/>
      <c r="P40" s="44"/>
      <c r="Q40" s="59"/>
    </row>
    <row r="41" spans="2:17" ht="15" customHeight="1">
      <c r="C41" s="61"/>
      <c r="H41" s="62"/>
      <c r="I41" s="62"/>
      <c r="P41" s="44"/>
      <c r="Q41" s="59"/>
    </row>
    <row r="42" spans="2:17">
      <c r="C42" s="61"/>
      <c r="H42" s="60"/>
      <c r="P42" s="44"/>
      <c r="Q42" s="59"/>
    </row>
    <row r="43" spans="2:17">
      <c r="C43" s="61"/>
      <c r="H43" s="60"/>
      <c r="P43" s="44"/>
      <c r="Q43" s="59"/>
    </row>
    <row r="44" spans="2:17">
      <c r="C44" s="61"/>
      <c r="H44" s="60"/>
      <c r="P44" s="44"/>
      <c r="Q44" s="59"/>
    </row>
    <row r="45" spans="2:17">
      <c r="C45" s="61"/>
      <c r="H45" s="44"/>
      <c r="P45" s="44"/>
      <c r="Q45" s="59"/>
    </row>
    <row r="46" spans="2:17">
      <c r="C46" s="34"/>
      <c r="D46" s="34"/>
      <c r="E46" s="63"/>
      <c r="F46" s="34"/>
    </row>
    <row r="47" spans="2:17">
      <c r="D47" s="63"/>
      <c r="E47" s="63"/>
      <c r="F47" s="36"/>
    </row>
    <row r="48" spans="2:17">
      <c r="D48" s="34"/>
      <c r="E48" s="34"/>
      <c r="F48" s="34"/>
    </row>
  </sheetData>
  <sheetProtection selectLockedCells="1"/>
  <mergeCells count="27">
    <mergeCell ref="K38:L38"/>
    <mergeCell ref="K37:L37"/>
    <mergeCell ref="K12:L14"/>
    <mergeCell ref="K34:L34"/>
    <mergeCell ref="K35:L35"/>
    <mergeCell ref="K36:L36"/>
    <mergeCell ref="K32:L32"/>
    <mergeCell ref="K17:L17"/>
    <mergeCell ref="K28:L28"/>
    <mergeCell ref="K29:L29"/>
    <mergeCell ref="K30:L30"/>
    <mergeCell ref="K31:L31"/>
    <mergeCell ref="K33:L33"/>
    <mergeCell ref="K23:L23"/>
    <mergeCell ref="K24:L24"/>
    <mergeCell ref="K25:L25"/>
    <mergeCell ref="K15:L15"/>
    <mergeCell ref="K16:L16"/>
    <mergeCell ref="H21:I23"/>
    <mergeCell ref="H24:I29"/>
    <mergeCell ref="K26:L26"/>
    <mergeCell ref="K27:L27"/>
    <mergeCell ref="K19:L19"/>
    <mergeCell ref="K18:L18"/>
    <mergeCell ref="K20:L20"/>
    <mergeCell ref="K21:L21"/>
    <mergeCell ref="K22:L22"/>
  </mergeCells>
  <conditionalFormatting sqref="C2">
    <cfRule type="containsText" dxfId="85" priority="91" operator="containsText" text="D33=ИСТИНА">
      <formula>NOT(ISERROR(SEARCH("D33=ИСТИНА",C2)))</formula>
    </cfRule>
  </conditionalFormatting>
  <conditionalFormatting sqref="C33">
    <cfRule type="expression" dxfId="84" priority="84">
      <formula>$D$33=TRUE</formula>
    </cfRule>
  </conditionalFormatting>
  <conditionalFormatting sqref="C34">
    <cfRule type="expression" dxfId="83" priority="83">
      <formula>$D$34=TRUE</formula>
    </cfRule>
  </conditionalFormatting>
  <conditionalFormatting sqref="C35">
    <cfRule type="expression" dxfId="82" priority="82">
      <formula>$D$35=TRUE</formula>
    </cfRule>
  </conditionalFormatting>
  <conditionalFormatting sqref="C36">
    <cfRule type="expression" dxfId="81" priority="81">
      <formula>$D$36=TRUE</formula>
    </cfRule>
  </conditionalFormatting>
  <conditionalFormatting sqref="C6">
    <cfRule type="expression" dxfId="80" priority="80">
      <formula>$D$6=TRUE</formula>
    </cfRule>
  </conditionalFormatting>
  <conditionalFormatting sqref="C7">
    <cfRule type="expression" dxfId="79" priority="78">
      <formula>$D$7=TRUE</formula>
    </cfRule>
  </conditionalFormatting>
  <conditionalFormatting sqref="C8">
    <cfRule type="expression" dxfId="78" priority="77">
      <formula>$D$8=TRUE</formula>
    </cfRule>
  </conditionalFormatting>
  <conditionalFormatting sqref="C9">
    <cfRule type="expression" dxfId="77" priority="76">
      <formula>$D$9=TRUE</formula>
    </cfRule>
  </conditionalFormatting>
  <conditionalFormatting sqref="C10">
    <cfRule type="expression" dxfId="76" priority="75">
      <formula>$D$10=TRUE</formula>
    </cfRule>
  </conditionalFormatting>
  <conditionalFormatting sqref="C11">
    <cfRule type="expression" dxfId="75" priority="74">
      <formula>$D$11=TRUE</formula>
    </cfRule>
  </conditionalFormatting>
  <conditionalFormatting sqref="C12">
    <cfRule type="expression" dxfId="74" priority="73">
      <formula>$D$12=TRUE</formula>
    </cfRule>
  </conditionalFormatting>
  <conditionalFormatting sqref="C13">
    <cfRule type="expression" dxfId="73" priority="72">
      <formula>$D$13=TRUE</formula>
    </cfRule>
  </conditionalFormatting>
  <conditionalFormatting sqref="C14">
    <cfRule type="expression" dxfId="72" priority="71">
      <formula>$D$14=TRUE</formula>
    </cfRule>
  </conditionalFormatting>
  <conditionalFormatting sqref="C15">
    <cfRule type="expression" dxfId="71" priority="70">
      <formula>$D$15=TRUE</formula>
    </cfRule>
  </conditionalFormatting>
  <conditionalFormatting sqref="C16">
    <cfRule type="expression" dxfId="70" priority="69">
      <formula>$D$16=TRUE</formula>
    </cfRule>
  </conditionalFormatting>
  <conditionalFormatting sqref="C17">
    <cfRule type="expression" dxfId="69" priority="68">
      <formula>$D$17=TRUE</formula>
    </cfRule>
  </conditionalFormatting>
  <conditionalFormatting sqref="C18">
    <cfRule type="expression" dxfId="68" priority="67">
      <formula>$D$18=TRUE</formula>
    </cfRule>
  </conditionalFormatting>
  <conditionalFormatting sqref="C19">
    <cfRule type="expression" dxfId="67" priority="66">
      <formula>$D$19=TRUE</formula>
    </cfRule>
  </conditionalFormatting>
  <conditionalFormatting sqref="C20">
    <cfRule type="expression" dxfId="66" priority="65">
      <formula>$D$20=TRUE</formula>
    </cfRule>
  </conditionalFormatting>
  <conditionalFormatting sqref="C21">
    <cfRule type="expression" dxfId="65" priority="64">
      <formula>$D$21=TRUE</formula>
    </cfRule>
  </conditionalFormatting>
  <conditionalFormatting sqref="C22">
    <cfRule type="expression" dxfId="64" priority="63">
      <formula>$D$22=TRUE</formula>
    </cfRule>
  </conditionalFormatting>
  <conditionalFormatting sqref="C23">
    <cfRule type="expression" dxfId="63" priority="62">
      <formula>$D$23=TRUE</formula>
    </cfRule>
  </conditionalFormatting>
  <conditionalFormatting sqref="C24">
    <cfRule type="expression" dxfId="62" priority="61">
      <formula>$D$24=TRUE</formula>
    </cfRule>
  </conditionalFormatting>
  <conditionalFormatting sqref="C25">
    <cfRule type="expression" dxfId="61" priority="60">
      <formula>$D$25=TRUE</formula>
    </cfRule>
  </conditionalFormatting>
  <conditionalFormatting sqref="C26">
    <cfRule type="expression" dxfId="60" priority="59">
      <formula>$D$26=TRUE</formula>
    </cfRule>
  </conditionalFormatting>
  <conditionalFormatting sqref="C27">
    <cfRule type="expression" dxfId="59" priority="58">
      <formula>$D$27=TRUE</formula>
    </cfRule>
  </conditionalFormatting>
  <conditionalFormatting sqref="C28">
    <cfRule type="expression" dxfId="58" priority="57">
      <formula>$D$28=TRUE</formula>
    </cfRule>
  </conditionalFormatting>
  <conditionalFormatting sqref="C29">
    <cfRule type="expression" dxfId="57" priority="56">
      <formula>$D$29=TRUE</formula>
    </cfRule>
  </conditionalFormatting>
  <conditionalFormatting sqref="F2">
    <cfRule type="expression" dxfId="56" priority="55">
      <formula>$G$2=TRUE</formula>
    </cfRule>
  </conditionalFormatting>
  <conditionalFormatting sqref="F3">
    <cfRule type="expression" dxfId="55" priority="54">
      <formula>$G$3=TRUE</formula>
    </cfRule>
  </conditionalFormatting>
  <conditionalFormatting sqref="F4">
    <cfRule type="expression" dxfId="54" priority="53">
      <formula>$G$4=TRUE</formula>
    </cfRule>
  </conditionalFormatting>
  <conditionalFormatting sqref="F5">
    <cfRule type="expression" dxfId="53" priority="52">
      <formula>$G$5=TRUE</formula>
    </cfRule>
  </conditionalFormatting>
  <conditionalFormatting sqref="F6">
    <cfRule type="expression" dxfId="52" priority="50">
      <formula>$G$6=TRUE</formula>
    </cfRule>
  </conditionalFormatting>
  <conditionalFormatting sqref="F7">
    <cfRule type="expression" dxfId="51" priority="49">
      <formula>$G$7=TRUE</formula>
    </cfRule>
  </conditionalFormatting>
  <conditionalFormatting sqref="F8">
    <cfRule type="expression" dxfId="50" priority="48">
      <formula>$G$8=TRUE</formula>
    </cfRule>
  </conditionalFormatting>
  <conditionalFormatting sqref="F9">
    <cfRule type="expression" dxfId="49" priority="47">
      <formula>$G$9=TRUE</formula>
    </cfRule>
  </conditionalFormatting>
  <conditionalFormatting sqref="F10">
    <cfRule type="expression" dxfId="48" priority="46">
      <formula>$G$10=TRUE</formula>
    </cfRule>
  </conditionalFormatting>
  <conditionalFormatting sqref="F11">
    <cfRule type="expression" dxfId="47" priority="45">
      <formula>$G$11=TRUE</formula>
    </cfRule>
  </conditionalFormatting>
  <conditionalFormatting sqref="F12">
    <cfRule type="expression" dxfId="46" priority="44">
      <formula>$G$12=TRUE</formula>
    </cfRule>
  </conditionalFormatting>
  <conditionalFormatting sqref="F13">
    <cfRule type="expression" dxfId="45" priority="43">
      <formula>$G$13=TRUE</formula>
    </cfRule>
  </conditionalFormatting>
  <conditionalFormatting sqref="F14">
    <cfRule type="expression" dxfId="44" priority="42">
      <formula>$G$14=TRUE</formula>
    </cfRule>
  </conditionalFormatting>
  <conditionalFormatting sqref="F15">
    <cfRule type="expression" dxfId="43" priority="41">
      <formula>$G$15=TRUE</formula>
    </cfRule>
  </conditionalFormatting>
  <conditionalFormatting sqref="F16">
    <cfRule type="expression" dxfId="42" priority="40">
      <formula>$G$16=TRUE</formula>
    </cfRule>
  </conditionalFormatting>
  <conditionalFormatting sqref="F17">
    <cfRule type="expression" dxfId="41" priority="39">
      <formula>$G$17=TRUE</formula>
    </cfRule>
  </conditionalFormatting>
  <conditionalFormatting sqref="F18">
    <cfRule type="expression" dxfId="40" priority="38">
      <formula>$G$18=TRUE</formula>
    </cfRule>
  </conditionalFormatting>
  <conditionalFormatting sqref="F19">
    <cfRule type="expression" dxfId="39" priority="37">
      <formula>$G$19=TRUE</formula>
    </cfRule>
  </conditionalFormatting>
  <conditionalFormatting sqref="F20">
    <cfRule type="expression" dxfId="38" priority="36">
      <formula>$G$20=TRUE</formula>
    </cfRule>
  </conditionalFormatting>
  <conditionalFormatting sqref="F21">
    <cfRule type="expression" dxfId="37" priority="35">
      <formula>$G$21=TRUE</formula>
    </cfRule>
  </conditionalFormatting>
  <conditionalFormatting sqref="F22">
    <cfRule type="expression" dxfId="36" priority="34">
      <formula>$G$22=TRUE</formula>
    </cfRule>
  </conditionalFormatting>
  <conditionalFormatting sqref="F23">
    <cfRule type="expression" dxfId="35" priority="33">
      <formula>$G$23=TRUE</formula>
    </cfRule>
  </conditionalFormatting>
  <conditionalFormatting sqref="F24">
    <cfRule type="expression" dxfId="34" priority="32">
      <formula>$G$24=TRUE</formula>
    </cfRule>
  </conditionalFormatting>
  <conditionalFormatting sqref="F25">
    <cfRule type="expression" dxfId="33" priority="31">
      <formula>$G$25=TRUE</formula>
    </cfRule>
  </conditionalFormatting>
  <conditionalFormatting sqref="F26">
    <cfRule type="expression" dxfId="32" priority="30">
      <formula>$G$26=TRUE</formula>
    </cfRule>
  </conditionalFormatting>
  <conditionalFormatting sqref="F27">
    <cfRule type="expression" dxfId="31" priority="29">
      <formula>$G$27=TRUE</formula>
    </cfRule>
  </conditionalFormatting>
  <conditionalFormatting sqref="F28">
    <cfRule type="expression" dxfId="30" priority="28">
      <formula>$G$28=TRUE</formula>
    </cfRule>
  </conditionalFormatting>
  <conditionalFormatting sqref="F29">
    <cfRule type="expression" dxfId="29" priority="27">
      <formula>$G$29=TRUE</formula>
    </cfRule>
  </conditionalFormatting>
  <conditionalFormatting sqref="F30">
    <cfRule type="expression" dxfId="28" priority="26">
      <formula>$G$30=TRUE</formula>
    </cfRule>
  </conditionalFormatting>
  <conditionalFormatting sqref="F31">
    <cfRule type="expression" dxfId="27" priority="25">
      <formula>$G$31=TRUE</formula>
    </cfRule>
  </conditionalFormatting>
  <conditionalFormatting sqref="F32">
    <cfRule type="expression" dxfId="26" priority="24">
      <formula>$G$32=TRUE</formula>
    </cfRule>
  </conditionalFormatting>
  <conditionalFormatting sqref="F33">
    <cfRule type="expression" dxfId="25" priority="23">
      <formula>$G$33=TRUE</formula>
    </cfRule>
  </conditionalFormatting>
  <conditionalFormatting sqref="F34">
    <cfRule type="expression" dxfId="24" priority="22">
      <formula>$G$34=TRUE</formula>
    </cfRule>
  </conditionalFormatting>
  <conditionalFormatting sqref="F35">
    <cfRule type="expression" dxfId="23" priority="21">
      <formula>$G$35=TRUE</formula>
    </cfRule>
  </conditionalFormatting>
  <conditionalFormatting sqref="F36">
    <cfRule type="expression" dxfId="22" priority="20">
      <formula>$G$36=TRUE</formula>
    </cfRule>
  </conditionalFormatting>
  <conditionalFormatting sqref="F37">
    <cfRule type="expression" dxfId="21" priority="19">
      <formula>$G$37=TRUE</formula>
    </cfRule>
  </conditionalFormatting>
  <conditionalFormatting sqref="I3">
    <cfRule type="expression" dxfId="20" priority="18">
      <formula>$J$3=TRUE</formula>
    </cfRule>
  </conditionalFormatting>
  <conditionalFormatting sqref="I4">
    <cfRule type="expression" dxfId="19" priority="17">
      <formula>$J$4=TRUE</formula>
    </cfRule>
  </conditionalFormatting>
  <conditionalFormatting sqref="I5">
    <cfRule type="expression" dxfId="18" priority="16">
      <formula>$J$5=TRUE</formula>
    </cfRule>
  </conditionalFormatting>
  <conditionalFormatting sqref="I6">
    <cfRule type="expression" dxfId="17" priority="15">
      <formula>$J$6=TRUE</formula>
    </cfRule>
  </conditionalFormatting>
  <conditionalFormatting sqref="I7">
    <cfRule type="expression" dxfId="16" priority="14">
      <formula>$J$7=TRUE</formula>
    </cfRule>
  </conditionalFormatting>
  <conditionalFormatting sqref="I8">
    <cfRule type="expression" dxfId="15" priority="13">
      <formula>$J$8=TRUE</formula>
    </cfRule>
  </conditionalFormatting>
  <conditionalFormatting sqref="L3">
    <cfRule type="expression" dxfId="14" priority="12">
      <formula>$M$3=TRUE</formula>
    </cfRule>
  </conditionalFormatting>
  <conditionalFormatting sqref="I32">
    <cfRule type="expression" dxfId="13" priority="11">
      <formula>$J$32=TRUE</formula>
    </cfRule>
  </conditionalFormatting>
  <conditionalFormatting sqref="I12">
    <cfRule type="expression" dxfId="12" priority="10">
      <formula>$J$12=TRUE</formula>
    </cfRule>
  </conditionalFormatting>
  <conditionalFormatting sqref="I13">
    <cfRule type="expression" dxfId="11" priority="9">
      <formula>$J$13=TRUE</formula>
    </cfRule>
  </conditionalFormatting>
  <conditionalFormatting sqref="I14">
    <cfRule type="expression" dxfId="10" priority="8">
      <formula>$J$14=TRUE</formula>
    </cfRule>
  </conditionalFormatting>
  <conditionalFormatting sqref="I15">
    <cfRule type="expression" dxfId="9" priority="7">
      <formula>$J$15=TRUE</formula>
    </cfRule>
  </conditionalFormatting>
  <conditionalFormatting sqref="I16">
    <cfRule type="expression" dxfId="8" priority="6">
      <formula>$J$16=TRUE</formula>
    </cfRule>
  </conditionalFormatting>
  <conditionalFormatting sqref="I17">
    <cfRule type="expression" dxfId="7" priority="5">
      <formula>$J$17=TRUE</formula>
    </cfRule>
  </conditionalFormatting>
  <conditionalFormatting sqref="I18">
    <cfRule type="expression" dxfId="6" priority="4">
      <formula>$J$18=TRUE</formula>
    </cfRule>
  </conditionalFormatting>
  <conditionalFormatting sqref="I19">
    <cfRule type="expression" dxfId="5" priority="3">
      <formula>$J$19=TRUE</formula>
    </cfRule>
  </conditionalFormatting>
  <conditionalFormatting sqref="H24:I29">
    <cfRule type="cellIs" dxfId="4" priority="2" operator="greaterThan">
      <formula>3000000</formula>
    </cfRule>
    <cfRule type="cellIs" dxfId="3" priority="1" operator="lessThan">
      <formula>3500000</formula>
    </cfRule>
  </conditionalFormatting>
  <pageMargins left="0.19685039370078741" right="0.19685039370078741" top="0.19685039370078741" bottom="0.19685039370078741" header="0.19685039370078741" footer="0.19685039370078741"/>
  <pageSetup paperSize="9" orientation="landscape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Z42"/>
  <sheetViews>
    <sheetView showGridLines="0" topLeftCell="B1" zoomScale="80" zoomScaleNormal="80" workbookViewId="0">
      <selection activeCell="S25" sqref="S25:T25"/>
    </sheetView>
  </sheetViews>
  <sheetFormatPr defaultRowHeight="14.25"/>
  <cols>
    <col min="1" max="1" width="2.25" hidden="1" customWidth="1"/>
    <col min="2" max="2" width="3.25" customWidth="1"/>
    <col min="3" max="3" width="9.875" customWidth="1"/>
    <col min="4" max="4" width="4.5" customWidth="1"/>
    <col min="5" max="5" width="5" customWidth="1"/>
    <col min="6" max="6" width="5.375" customWidth="1"/>
    <col min="7" max="8" width="4.625" customWidth="1"/>
    <col min="9" max="9" width="5.25" customWidth="1"/>
    <col min="10" max="10" width="5.5" customWidth="1"/>
    <col min="11" max="11" width="6.25" customWidth="1"/>
    <col min="12" max="12" width="5" customWidth="1"/>
    <col min="13" max="13" width="4.625" customWidth="1"/>
    <col min="14" max="14" width="5.5" customWidth="1"/>
    <col min="15" max="15" width="6.25" customWidth="1"/>
    <col min="16" max="16" width="5.5" customWidth="1"/>
    <col min="17" max="18" width="5" customWidth="1"/>
    <col min="19" max="19" width="7.625" customWidth="1"/>
    <col min="20" max="20" width="4.75" customWidth="1"/>
    <col min="21" max="21" width="6.75" customWidth="1"/>
    <col min="22" max="22" width="5.625" customWidth="1"/>
    <col min="23" max="23" width="5" customWidth="1"/>
    <col min="24" max="24" width="5.5" customWidth="1"/>
    <col min="25" max="25" width="5.875" customWidth="1"/>
    <col min="26" max="26" width="5.375" customWidth="1"/>
    <col min="27" max="27" width="13" customWidth="1"/>
    <col min="28" max="28" width="8"/>
    <col min="29" max="29" width="8.625" bestFit="1" customWidth="1"/>
  </cols>
  <sheetData>
    <row r="1" spans="1:26" ht="23.25">
      <c r="B1" s="3"/>
      <c r="C1" s="3"/>
      <c r="D1" s="3"/>
      <c r="E1" s="4"/>
      <c r="F1" s="5"/>
      <c r="G1" s="5"/>
      <c r="H1" s="5"/>
      <c r="I1" s="221" t="s">
        <v>31</v>
      </c>
      <c r="J1" s="222"/>
      <c r="K1" s="222"/>
      <c r="L1" s="222"/>
      <c r="M1" s="222"/>
      <c r="N1" s="222"/>
      <c r="O1" s="222"/>
      <c r="P1" s="223"/>
      <c r="Q1" s="6"/>
      <c r="R1" s="6"/>
      <c r="S1" s="6"/>
      <c r="T1" s="6"/>
      <c r="U1" s="6"/>
      <c r="V1" s="6"/>
      <c r="W1" s="6"/>
      <c r="X1" s="6"/>
      <c r="Y1" s="6"/>
    </row>
    <row r="2" spans="1:26" ht="23.25">
      <c r="B2" s="3"/>
      <c r="C2" s="3"/>
      <c r="D2" s="3"/>
      <c r="E2" s="4"/>
      <c r="F2" s="5"/>
      <c r="G2" s="5"/>
      <c r="H2" s="5"/>
      <c r="I2" s="224"/>
      <c r="J2" s="225"/>
      <c r="K2" s="225"/>
      <c r="L2" s="225"/>
      <c r="M2" s="225"/>
      <c r="N2" s="225"/>
      <c r="O2" s="225"/>
      <c r="P2" s="226"/>
      <c r="Q2" s="7"/>
      <c r="R2" s="7"/>
      <c r="S2" s="7"/>
      <c r="T2" s="7"/>
      <c r="U2" s="7"/>
      <c r="V2" s="7"/>
      <c r="W2" s="7"/>
      <c r="X2" s="7"/>
      <c r="Y2" s="6"/>
    </row>
    <row r="3" spans="1:26" ht="36.75" customHeight="1">
      <c r="B3" s="8" t="s">
        <v>32</v>
      </c>
      <c r="C3" s="31" t="s">
        <v>33</v>
      </c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10" t="s">
        <v>34</v>
      </c>
      <c r="L3" s="9">
        <v>8</v>
      </c>
      <c r="M3" s="9">
        <v>9</v>
      </c>
      <c r="N3" s="9">
        <v>10</v>
      </c>
      <c r="O3" s="9">
        <v>11</v>
      </c>
      <c r="P3" s="9">
        <v>12</v>
      </c>
      <c r="Q3" s="9">
        <v>13</v>
      </c>
      <c r="R3" s="9">
        <v>14</v>
      </c>
      <c r="S3" s="10" t="s">
        <v>34</v>
      </c>
      <c r="T3" s="9">
        <v>15</v>
      </c>
      <c r="U3" s="9">
        <v>16</v>
      </c>
      <c r="V3" s="9">
        <v>17</v>
      </c>
      <c r="W3" s="9">
        <v>18</v>
      </c>
      <c r="X3" s="9">
        <v>19</v>
      </c>
      <c r="Y3" s="9">
        <v>20</v>
      </c>
      <c r="Z3" s="9">
        <v>21</v>
      </c>
    </row>
    <row r="4" spans="1:26">
      <c r="A4" s="2" t="s">
        <v>38</v>
      </c>
      <c r="B4" s="11">
        <v>1</v>
      </c>
      <c r="C4" s="29" t="s">
        <v>41</v>
      </c>
      <c r="D4" s="72"/>
      <c r="E4" s="72" t="s">
        <v>38</v>
      </c>
      <c r="F4" s="72" t="s">
        <v>38</v>
      </c>
      <c r="G4" s="72"/>
      <c r="H4" s="72"/>
      <c r="I4" s="72"/>
      <c r="J4" s="72"/>
      <c r="K4" s="13">
        <f t="array" ref="K4">SUM(IF(ISNUMBER(FIND("-",D4:J4)),--RIGHT(D4:J4,LEN(D4:J4)-FIND("-",D4:J4))-(--LEFT(D4:J4,FIND("-",D4:J4)-1))))</f>
        <v>20</v>
      </c>
      <c r="L4" s="12"/>
      <c r="M4" s="12"/>
      <c r="N4" s="12"/>
      <c r="O4" s="12"/>
      <c r="P4" s="12"/>
      <c r="Q4" s="12"/>
      <c r="R4" s="12"/>
      <c r="S4" s="13">
        <f t="array" ref="S4">SUM(IF(ISNUMBER(FIND("-",L4:R4)),--RIGHT(L4:R4,LEN(L4:R4)-FIND("-",L4:R4))-(--LEFT(L4:R4,FIND("-",L4:R4)-1))))</f>
        <v>0</v>
      </c>
      <c r="T4" s="12"/>
      <c r="U4" s="12"/>
      <c r="V4" s="12"/>
      <c r="W4" s="12"/>
      <c r="X4" s="12"/>
      <c r="Y4" s="12"/>
      <c r="Z4" s="12"/>
    </row>
    <row r="5" spans="1:26">
      <c r="A5" s="2" t="s">
        <v>36</v>
      </c>
      <c r="B5" s="11">
        <v>2</v>
      </c>
      <c r="C5" s="30" t="s">
        <v>35</v>
      </c>
      <c r="D5" s="72"/>
      <c r="E5" s="72" t="s">
        <v>36</v>
      </c>
      <c r="F5" s="72" t="s">
        <v>36</v>
      </c>
      <c r="G5" s="72"/>
      <c r="H5" s="72"/>
      <c r="I5" s="72"/>
      <c r="J5" s="72"/>
      <c r="K5" s="13">
        <f t="array" ref="K5">SUM(IF(ISNUMBER(FIND("-",D5:J5)),--RIGHT(D5:J5,LEN(D5:J5)-FIND("-",D5:J5))-(--LEFT(D5:J5,FIND("-",D5:J5)-1))))</f>
        <v>22</v>
      </c>
      <c r="L5" s="12"/>
      <c r="M5" s="12"/>
      <c r="N5" s="12"/>
      <c r="O5" s="12"/>
      <c r="P5" s="12"/>
      <c r="Q5" s="12"/>
      <c r="R5" s="12"/>
      <c r="S5" s="13">
        <f t="array" ref="S5">SUM(IF(ISNUMBER(FIND("-",L5:R5)),--RIGHT(L5:R5,LEN(L5:R5)-FIND("-",L5:R5))-(--LEFT(L5:R5,FIND("-",L5:R5)-1))))</f>
        <v>0</v>
      </c>
      <c r="T5" s="12"/>
      <c r="U5" s="12"/>
      <c r="V5" s="12"/>
      <c r="W5" s="12"/>
      <c r="X5" s="12"/>
      <c r="Y5" s="12"/>
      <c r="Z5" s="12"/>
    </row>
    <row r="6" spans="1:26">
      <c r="A6" s="2" t="s">
        <v>43</v>
      </c>
      <c r="B6" s="11">
        <v>3</v>
      </c>
      <c r="C6" s="30" t="s">
        <v>42</v>
      </c>
      <c r="D6" s="73" t="s">
        <v>44</v>
      </c>
      <c r="E6" s="73" t="s">
        <v>38</v>
      </c>
      <c r="F6" s="73" t="s">
        <v>38</v>
      </c>
      <c r="G6" s="73"/>
      <c r="H6" s="73"/>
      <c r="I6" s="73"/>
      <c r="J6" s="73"/>
      <c r="K6" s="13">
        <f t="array" ref="K6">SUM(IF(ISNUMBER(FIND("-",D6:J6)),--RIGHT(D6:J6,LEN(D6:J6)-FIND("-",D6:J6))-(--LEFT(D6:J6,FIND("-",D6:J6)-1))))</f>
        <v>25</v>
      </c>
      <c r="L6" s="15"/>
      <c r="M6" s="15"/>
      <c r="N6" s="15"/>
      <c r="O6" s="15"/>
      <c r="P6" s="15"/>
      <c r="Q6" s="15"/>
      <c r="R6" s="15"/>
      <c r="S6" s="13">
        <f t="array" ref="S6">SUM(IF(ISNUMBER(FIND("-",L6:R6)),--RIGHT(L6:R6,LEN(L6:R6)-FIND("-",L6:R6))-(--LEFT(L6:R6,FIND("-",L6:R6)-1))))</f>
        <v>0</v>
      </c>
      <c r="T6" s="15"/>
      <c r="U6" s="15"/>
      <c r="V6" s="15"/>
      <c r="W6" s="15"/>
      <c r="X6" s="15"/>
      <c r="Y6" s="15"/>
      <c r="Z6" s="12"/>
    </row>
    <row r="7" spans="1:26">
      <c r="B7" s="11">
        <v>4</v>
      </c>
      <c r="C7" s="30" t="s">
        <v>45</v>
      </c>
      <c r="D7" s="73" t="s">
        <v>44</v>
      </c>
      <c r="E7" s="73"/>
      <c r="F7" s="73"/>
      <c r="G7" s="73"/>
      <c r="H7" s="73"/>
      <c r="I7" s="73"/>
      <c r="J7" s="73"/>
      <c r="K7" s="13">
        <f t="array" ref="K7">SUM(IF(ISNUMBER(FIND("-",D7:J7)),--RIGHT(D7:J7,LEN(D7:J7)-FIND("-",D7:J7))-(--LEFT(D7:J7,FIND("-",D7:J7)-1))))</f>
        <v>5</v>
      </c>
      <c r="L7" s="15"/>
      <c r="M7" s="15"/>
      <c r="N7" s="15"/>
      <c r="O7" s="15"/>
      <c r="P7" s="15"/>
      <c r="Q7" s="15"/>
      <c r="R7" s="15"/>
      <c r="S7" s="13">
        <f t="array" ref="S7">SUM(IF(ISNUMBER(FIND("-",L7:R7)),--RIGHT(L7:R7,LEN(L7:R7)-FIND("-",L7:R7))-(--LEFT(L7:R7,FIND("-",L7:R7)-1))))</f>
        <v>0</v>
      </c>
      <c r="T7" s="15"/>
      <c r="U7" s="15"/>
      <c r="V7" s="15"/>
      <c r="W7" s="15"/>
      <c r="X7" s="15"/>
      <c r="Y7" s="15"/>
      <c r="Z7" s="12"/>
    </row>
    <row r="8" spans="1:26">
      <c r="B8" s="11">
        <v>5</v>
      </c>
      <c r="C8" s="30"/>
      <c r="D8" s="72"/>
      <c r="E8" s="72"/>
      <c r="F8" s="72"/>
      <c r="G8" s="72"/>
      <c r="H8" s="72"/>
      <c r="I8" s="72"/>
      <c r="J8" s="72"/>
      <c r="K8" s="13">
        <f t="array" ref="K8">SUM(IF(ISNUMBER(FIND("-",D8:J8)),--RIGHT(D8:J8,LEN(D8:J8)-FIND("-",D8:J8))-(--LEFT(D8:J8,FIND("-",D8:J8)-1))))</f>
        <v>0</v>
      </c>
      <c r="L8" s="12"/>
      <c r="M8" s="12"/>
      <c r="N8" s="12"/>
      <c r="O8" s="12"/>
      <c r="P8" s="12"/>
      <c r="Q8" s="12"/>
      <c r="R8" s="12"/>
      <c r="S8" s="13">
        <f t="array" ref="S8">SUM(IF(ISNUMBER(FIND("-",L8:R8)),--RIGHT(L8:R8,LEN(L8:R8)-FIND("-",L8:R8))-(--LEFT(L8:R8,FIND("-",L8:R8)-1))))</f>
        <v>0</v>
      </c>
      <c r="T8" s="12"/>
      <c r="U8" s="12"/>
      <c r="V8" s="12"/>
      <c r="W8" s="12"/>
      <c r="X8" s="12"/>
      <c r="Y8" s="12"/>
      <c r="Z8" s="12"/>
    </row>
    <row r="9" spans="1:26">
      <c r="B9" s="11">
        <v>6</v>
      </c>
      <c r="C9" s="30"/>
      <c r="D9" s="73"/>
      <c r="E9" s="73"/>
      <c r="F9" s="73"/>
      <c r="G9" s="73"/>
      <c r="H9" s="73"/>
      <c r="I9" s="73"/>
      <c r="J9" s="73"/>
      <c r="K9" s="13">
        <f t="array" ref="K9">SUM(IF(ISNUMBER(FIND("-",D9:J9)),--RIGHT(D9:J9,LEN(D9:J9)-FIND("-",D9:J9))-(--LEFT(D9:J9,FIND("-",D9:J9)-1))))</f>
        <v>0</v>
      </c>
      <c r="L9" s="15"/>
      <c r="M9" s="15"/>
      <c r="N9" s="15"/>
      <c r="O9" s="15"/>
      <c r="P9" s="15"/>
      <c r="Q9" s="15"/>
      <c r="R9" s="15"/>
      <c r="S9" s="13">
        <f t="array" ref="S9">SUM(IF(ISNUMBER(FIND("-",L9:R9)),--RIGHT(L9:R9,LEN(L9:R9)-FIND("-",L9:R9))-(--LEFT(L9:R9,FIND("-",L9:R9)-1))))</f>
        <v>0</v>
      </c>
      <c r="T9" s="12"/>
      <c r="U9" s="12"/>
      <c r="V9" s="12"/>
      <c r="W9" s="15"/>
      <c r="X9" s="15"/>
      <c r="Y9" s="15"/>
      <c r="Z9" s="12"/>
    </row>
    <row r="10" spans="1:26">
      <c r="B10" s="11">
        <v>7</v>
      </c>
      <c r="C10" s="30"/>
      <c r="D10" s="73"/>
      <c r="E10" s="73"/>
      <c r="F10" s="73"/>
      <c r="G10" s="73"/>
      <c r="H10" s="73"/>
      <c r="I10" s="73"/>
      <c r="J10" s="73"/>
      <c r="K10" s="13">
        <f t="array" ref="K10">SUM(IF(ISNUMBER(FIND("-",D10:J10)),--RIGHT(D10:J10,LEN(D10:J10)-FIND("-",D10:J10))-(--LEFT(D10:J10,FIND("-",D10:J10)-1))))</f>
        <v>0</v>
      </c>
      <c r="L10" s="15"/>
      <c r="M10" s="15"/>
      <c r="N10" s="15"/>
      <c r="O10" s="15"/>
      <c r="P10" s="15"/>
      <c r="Q10" s="15"/>
      <c r="R10" s="15"/>
      <c r="S10" s="13">
        <f t="array" ref="S10">SUM(IF(ISNUMBER(FIND("-",L10:R10)),--RIGHT(L10:R10,LEN(L10:R10)-FIND("-",L10:R10))-(--LEFT(L10:R10,FIND("-",L10:R10)-1))))</f>
        <v>0</v>
      </c>
      <c r="T10" s="12"/>
      <c r="U10" s="12"/>
      <c r="V10" s="12"/>
      <c r="W10" s="15"/>
      <c r="X10" s="15"/>
      <c r="Y10" s="15"/>
      <c r="Z10" s="12"/>
    </row>
    <row r="11" spans="1:26">
      <c r="B11" s="11">
        <v>8</v>
      </c>
      <c r="C11" s="30"/>
      <c r="D11" s="72"/>
      <c r="E11" s="72"/>
      <c r="F11" s="72"/>
      <c r="G11" s="72"/>
      <c r="H11" s="72"/>
      <c r="I11" s="72"/>
      <c r="J11" s="72"/>
      <c r="K11" s="13">
        <f t="array" ref="K11">SUM(IF(ISNUMBER(FIND("-",D11:J11)),--RIGHT(D11:J11,LEN(D11:J11)-FIND("-",D11:J11))-(--LEFT(D11:J11,FIND("-",D11:J11)-1))))</f>
        <v>0</v>
      </c>
      <c r="L11" s="12"/>
      <c r="M11" s="12"/>
      <c r="N11" s="12"/>
      <c r="O11" s="12"/>
      <c r="P11" s="12"/>
      <c r="Q11" s="12"/>
      <c r="R11" s="12"/>
      <c r="S11" s="13">
        <f t="array" ref="S11">SUM(IF(ISNUMBER(FIND("-",L11:R11)),--RIGHT(L11:R11,LEN(L11:R11)-FIND("-",L11:R11))-(--LEFT(L11:R11,FIND("-",L11:R11)-1))))</f>
        <v>0</v>
      </c>
      <c r="T11" s="12"/>
      <c r="U11" s="12"/>
      <c r="V11" s="12"/>
      <c r="W11" s="12"/>
      <c r="X11" s="12"/>
      <c r="Y11" s="12"/>
      <c r="Z11" s="12"/>
    </row>
    <row r="12" spans="1:26">
      <c r="A12" s="16"/>
      <c r="B12" s="16"/>
      <c r="C12" s="17"/>
      <c r="D12" s="5"/>
      <c r="E12" s="17"/>
      <c r="F12" s="17"/>
      <c r="G12" s="17"/>
      <c r="H12" s="17"/>
      <c r="I12" s="17"/>
      <c r="J12" s="17"/>
      <c r="K12" s="17"/>
      <c r="L12" s="18"/>
      <c r="M12" s="17"/>
      <c r="N12" s="17"/>
      <c r="O12" s="17"/>
      <c r="P12" s="17"/>
      <c r="Q12" s="17"/>
      <c r="R12" s="17"/>
      <c r="S12" s="17"/>
      <c r="T12" s="18"/>
      <c r="U12" s="17"/>
      <c r="V12" s="17"/>
      <c r="W12" s="17"/>
      <c r="X12" s="17"/>
      <c r="Y12" s="17"/>
    </row>
    <row r="13" spans="1:26" ht="37.5" customHeight="1">
      <c r="A13" s="16"/>
      <c r="B13" s="16"/>
      <c r="C13" s="28"/>
      <c r="D13" s="14"/>
      <c r="F13" s="10" t="s">
        <v>34</v>
      </c>
      <c r="G13" s="9">
        <v>22</v>
      </c>
      <c r="H13" s="9">
        <v>23</v>
      </c>
      <c r="I13" s="9">
        <v>24</v>
      </c>
      <c r="J13" s="9">
        <v>25</v>
      </c>
      <c r="K13" s="9">
        <v>26</v>
      </c>
      <c r="L13" s="9">
        <v>27</v>
      </c>
      <c r="M13" s="9">
        <v>28</v>
      </c>
      <c r="N13" s="10" t="s">
        <v>34</v>
      </c>
      <c r="O13" s="9">
        <v>29</v>
      </c>
      <c r="P13" s="9">
        <v>30</v>
      </c>
      <c r="Q13" s="9">
        <v>31</v>
      </c>
      <c r="R13" s="10" t="s">
        <v>34</v>
      </c>
      <c r="S13" s="19" t="s">
        <v>37</v>
      </c>
      <c r="T13" s="213" t="s">
        <v>22</v>
      </c>
      <c r="U13" s="214"/>
      <c r="V13" s="229" t="str">
        <f>C3</f>
        <v>Աշխատողի  Անուն</v>
      </c>
      <c r="W13" s="230"/>
      <c r="X13" s="17"/>
      <c r="Y13" s="17"/>
    </row>
    <row r="14" spans="1:26">
      <c r="A14" s="16"/>
      <c r="B14" s="16"/>
      <c r="C14" s="28"/>
      <c r="D14" s="14"/>
      <c r="F14" s="13">
        <f t="array" ref="F14">SUM(IF(ISNUMBER(FIND("-",T4:Z4)),--RIGHT(T4:Z4,LEN(T4:Z4)-FIND("-",T4:Z4))-(--LEFT(T4:Z4,FIND("-",T4:Z4)-1))))</f>
        <v>0</v>
      </c>
      <c r="G14" s="12"/>
      <c r="H14" s="12"/>
      <c r="I14" s="12"/>
      <c r="J14" s="12"/>
      <c r="K14" s="12"/>
      <c r="L14" s="12"/>
      <c r="M14" s="12"/>
      <c r="N14" s="13">
        <f t="array" ref="N14">SUM(IF(ISNUMBER(FIND("-",G14:M14)),--RIGHT(G14:M14,LEN(G14:M14)-FIND("-",G14:M14))-(--LEFT(G14:M14,FIND("-",G14:M14)-1))))</f>
        <v>0</v>
      </c>
      <c r="O14" s="12"/>
      <c r="P14" s="12"/>
      <c r="Q14" s="12"/>
      <c r="R14" s="13">
        <f t="array" ref="R14">SUM(IF(ISNUMBER(FIND("-",O14:Q14)),--RIGHT(O14:Q14,LEN(O14:Q14)-FIND("-",O14:Q14))-(--LEFT(O14:Q14,FIND("-",O14:Q14)-1))))</f>
        <v>0</v>
      </c>
      <c r="S14" s="13">
        <f t="shared" ref="S14:S21" si="0">SUM(D4:Y4,E14:R14)</f>
        <v>20</v>
      </c>
      <c r="T14" s="212">
        <f>(S14/10)*1500</f>
        <v>3000</v>
      </c>
      <c r="U14" s="212"/>
      <c r="V14" s="228" t="str">
        <f>C4</f>
        <v>Արփինե</v>
      </c>
      <c r="W14" s="228"/>
      <c r="X14" s="17"/>
      <c r="Y14" s="17"/>
    </row>
    <row r="15" spans="1:26">
      <c r="A15" s="16"/>
      <c r="B15" s="16"/>
      <c r="C15" s="14"/>
      <c r="D15" s="14"/>
      <c r="F15" s="13">
        <f t="array" ref="F15">SUM(IF(ISNUMBER(FIND("-",T5:Z5)),--RIGHT(T5:Z5,LEN(T5:Z5)-FIND("-",T5:Z5))-(--LEFT(T5:Z5,FIND("-",T5:Z5)-1))))</f>
        <v>0</v>
      </c>
      <c r="G15" s="12"/>
      <c r="H15" s="12"/>
      <c r="I15" s="12"/>
      <c r="J15" s="12"/>
      <c r="K15" s="12"/>
      <c r="L15" s="12"/>
      <c r="M15" s="12"/>
      <c r="N15" s="13">
        <f t="array" ref="N15">SUM(IF(ISNUMBER(FIND("-",G15:M15)),--RIGHT(G15:M15,LEN(G15:M15)-FIND("-",G15:M15))-(--LEFT(G15:M15,FIND("-",G15:M15)-1))))</f>
        <v>0</v>
      </c>
      <c r="O15" s="12"/>
      <c r="P15" s="12"/>
      <c r="Q15" s="12"/>
      <c r="R15" s="13">
        <f t="array" ref="R15">SUM(IF(ISNUMBER(FIND("-",O15:Q15)),--RIGHT(O15:Q15,LEN(O15:Q15)-FIND("-",O15:Q15))-(--LEFT(O15:Q15,FIND("-",O15:Q15)-1))))</f>
        <v>0</v>
      </c>
      <c r="S15" s="13">
        <f t="shared" si="0"/>
        <v>22</v>
      </c>
      <c r="T15" s="212">
        <f>(S15/11)*2000</f>
        <v>4000</v>
      </c>
      <c r="U15" s="212"/>
      <c r="V15" s="228" t="str">
        <f t="shared" ref="V15:V21" si="1">C5</f>
        <v>Կարեն</v>
      </c>
      <c r="W15" s="228"/>
      <c r="Y15" s="227"/>
      <c r="Z15" s="227"/>
    </row>
    <row r="16" spans="1:26">
      <c r="A16" s="16"/>
      <c r="B16" s="16"/>
      <c r="C16" s="14"/>
      <c r="D16" s="14"/>
      <c r="F16" s="13">
        <f t="array" ref="F16">SUM(IF(ISNUMBER(FIND("-",T6:Z6)),--RIGHT(T6:Z6,LEN(T6:Z6)-FIND("-",T6:Z6))-(--LEFT(T6:Z6,FIND("-",T6:Z6)-1))))</f>
        <v>0</v>
      </c>
      <c r="G16" s="12"/>
      <c r="H16" s="12"/>
      <c r="I16" s="15"/>
      <c r="J16" s="15"/>
      <c r="K16" s="15"/>
      <c r="L16" s="15"/>
      <c r="M16" s="15"/>
      <c r="N16" s="13">
        <f t="array" ref="N16">SUM(IF(ISNUMBER(FIND("-",G16:M16)),--RIGHT(G16:M16,LEN(G16:M16)-FIND("-",G16:M16))-(--LEFT(G16:M16,FIND("-",G16:M16)-1))))</f>
        <v>0</v>
      </c>
      <c r="O16" s="15"/>
      <c r="P16" s="15"/>
      <c r="Q16" s="15"/>
      <c r="R16" s="13">
        <f t="array" ref="R16">SUM(IF(ISNUMBER(FIND("-",O16:Q16)),--RIGHT(O16:Q16,LEN(O16:Q16)-FIND("-",O16:Q16))-(--LEFT(O16:Q16,FIND("-",O16:Q16)-1))))</f>
        <v>0</v>
      </c>
      <c r="S16" s="13">
        <f t="shared" si="0"/>
        <v>25</v>
      </c>
      <c r="T16" s="212">
        <f t="shared" ref="T16:T21" si="2">(S16/10)*1500</f>
        <v>3750</v>
      </c>
      <c r="U16" s="212"/>
      <c r="V16" s="228" t="str">
        <f t="shared" si="1"/>
        <v>Նարինե</v>
      </c>
      <c r="W16" s="228"/>
      <c r="X16" s="17"/>
      <c r="Y16" s="227"/>
      <c r="Z16" s="227"/>
    </row>
    <row r="17" spans="1:26">
      <c r="A17" s="16"/>
      <c r="B17" s="16"/>
      <c r="C17" s="14"/>
      <c r="D17" s="14"/>
      <c r="F17" s="13">
        <f t="array" ref="F17">SUM(IF(ISNUMBER(FIND("-",T7:Z7)),--RIGHT(T7:Z7,LEN(T7:Z7)-FIND("-",T7:Z7))-(--LEFT(T7:Z7,FIND("-",T7:Z7)-1))))</f>
        <v>0</v>
      </c>
      <c r="G17" s="12"/>
      <c r="H17" s="12"/>
      <c r="I17" s="15"/>
      <c r="J17" s="15"/>
      <c r="K17" s="15"/>
      <c r="L17" s="15"/>
      <c r="M17" s="15"/>
      <c r="N17" s="13">
        <f t="array" ref="N17">SUM(IF(ISNUMBER(FIND("-",G17:M17)),--RIGHT(G17:M17,LEN(G17:M17)-FIND("-",G17:M17))-(--LEFT(G17:M17,FIND("-",G17:M17)-1))))</f>
        <v>0</v>
      </c>
      <c r="O17" s="15"/>
      <c r="P17" s="15"/>
      <c r="Q17" s="15"/>
      <c r="R17" s="13">
        <f t="array" ref="R17">SUM(IF(ISNUMBER(FIND("-",O17:Q17)),--RIGHT(O17:Q17,LEN(O17:Q17)-FIND("-",O17:Q17))-(--LEFT(O17:Q17,FIND("-",O17:Q17)-1))))</f>
        <v>0</v>
      </c>
      <c r="S17" s="13">
        <f t="shared" si="0"/>
        <v>5</v>
      </c>
      <c r="T17" s="212">
        <f t="shared" si="2"/>
        <v>750</v>
      </c>
      <c r="U17" s="212"/>
      <c r="V17" s="228" t="str">
        <f t="shared" si="1"/>
        <v>Կարինե</v>
      </c>
      <c r="W17" s="228"/>
      <c r="X17" s="17"/>
      <c r="Y17" s="227"/>
      <c r="Z17" s="227"/>
    </row>
    <row r="18" spans="1:26">
      <c r="A18" s="16"/>
      <c r="B18" s="16"/>
      <c r="C18" s="14"/>
      <c r="D18" s="14"/>
      <c r="F18" s="13">
        <f t="array" ref="F18">SUM(IF(ISNUMBER(FIND("-",T8:Z8)),--RIGHT(T8:Z8,LEN(T8:Z8)-FIND("-",T8:Z8))-(--LEFT(T8:Z8,FIND("-",T8:Z8)-1))))</f>
        <v>0</v>
      </c>
      <c r="G18" s="12"/>
      <c r="H18" s="12"/>
      <c r="I18" s="12"/>
      <c r="J18" s="12"/>
      <c r="K18" s="12"/>
      <c r="L18" s="12"/>
      <c r="M18" s="12"/>
      <c r="N18" s="13">
        <f t="array" ref="N18">SUM(IF(ISNUMBER(FIND("-",G18:M18)),--RIGHT(G18:M18,LEN(G18:M18)-FIND("-",G18:M18))-(--LEFT(G18:M18,FIND("-",G18:M18)-1))))</f>
        <v>0</v>
      </c>
      <c r="O18" s="12"/>
      <c r="P18" s="12"/>
      <c r="Q18" s="12"/>
      <c r="R18" s="13">
        <f t="array" ref="R18">SUM(IF(ISNUMBER(FIND("-",O18:Q18)),--RIGHT(O18:Q18,LEN(O18:Q18)-FIND("-",O18:Q18))-(--LEFT(O18:Q18,FIND("-",O18:Q18)-1))))</f>
        <v>0</v>
      </c>
      <c r="S18" s="13">
        <f t="shared" si="0"/>
        <v>0</v>
      </c>
      <c r="T18" s="212">
        <f t="shared" si="2"/>
        <v>0</v>
      </c>
      <c r="U18" s="212"/>
      <c r="V18" s="228">
        <f t="shared" si="1"/>
        <v>0</v>
      </c>
      <c r="W18" s="228"/>
      <c r="X18" s="17"/>
      <c r="Y18" s="227"/>
      <c r="Z18" s="227"/>
    </row>
    <row r="19" spans="1:26">
      <c r="A19" s="16"/>
      <c r="B19" s="16"/>
      <c r="C19" s="20"/>
      <c r="D19" s="14"/>
      <c r="F19" s="13">
        <f t="array" ref="F19">SUM(IF(ISNUMBER(FIND("-",T9:Z9)),--RIGHT(T9:Z9,LEN(T9:Z9)-FIND("-",T9:Z9))-(--LEFT(T9:Z9,FIND("-",T9:Z9)-1))))</f>
        <v>0</v>
      </c>
      <c r="G19" s="12"/>
      <c r="H19" s="12"/>
      <c r="I19" s="15"/>
      <c r="J19" s="15"/>
      <c r="K19" s="15"/>
      <c r="L19" s="15"/>
      <c r="M19" s="15"/>
      <c r="N19" s="13">
        <f t="array" ref="N19">SUM(IF(ISNUMBER(FIND("-",G19:M19)),--RIGHT(G19:M19,LEN(G19:M19)-FIND("-",G19:M19))-(--LEFT(G19:M19,FIND("-",G19:M19)-1))))</f>
        <v>0</v>
      </c>
      <c r="O19" s="15"/>
      <c r="P19" s="15"/>
      <c r="Q19" s="15"/>
      <c r="R19" s="13">
        <f t="array" ref="R19">SUM(IF(ISNUMBER(FIND("-",O19:Q19)),--RIGHT(O19:Q19,LEN(O19:Q19)-FIND("-",O19:Q19))-(--LEFT(O19:Q19,FIND("-",O19:Q19)-1))))</f>
        <v>0</v>
      </c>
      <c r="S19" s="13">
        <f t="shared" si="0"/>
        <v>0</v>
      </c>
      <c r="T19" s="212">
        <f t="shared" si="2"/>
        <v>0</v>
      </c>
      <c r="U19" s="212"/>
      <c r="V19" s="228">
        <f t="shared" si="1"/>
        <v>0</v>
      </c>
      <c r="W19" s="228"/>
      <c r="X19" s="17"/>
      <c r="Y19" s="227"/>
      <c r="Z19" s="227"/>
    </row>
    <row r="20" spans="1:26">
      <c r="A20" s="16"/>
      <c r="B20" s="16"/>
      <c r="C20" s="14"/>
      <c r="D20" s="14"/>
      <c r="F20" s="13">
        <f t="array" ref="F20">SUM(IF(ISNUMBER(FIND("-",T10:Z10)),--RIGHT(T10:Z10,LEN(T10:Z10)-FIND("-",T10:Z10))-(--LEFT(T10:Z10,FIND("-",T10:Z10)-1))))</f>
        <v>0</v>
      </c>
      <c r="G20" s="15"/>
      <c r="H20" s="15"/>
      <c r="I20" s="15"/>
      <c r="J20" s="15"/>
      <c r="K20" s="15"/>
      <c r="L20" s="15"/>
      <c r="M20" s="15"/>
      <c r="N20" s="13">
        <f t="array" ref="N20">SUM(IF(ISNUMBER(FIND("-",G20:M20)),--RIGHT(G20:M20,LEN(G20:M20)-FIND("-",G20:M20))-(--LEFT(G20:M20,FIND("-",G20:M20)-1))))</f>
        <v>0</v>
      </c>
      <c r="O20" s="15"/>
      <c r="P20" s="15"/>
      <c r="Q20" s="15"/>
      <c r="R20" s="13">
        <f t="array" ref="R20">SUM(IF(ISNUMBER(FIND("-",O20:Q20)),--RIGHT(O20:Q20,LEN(O20:Q20)-FIND("-",O20:Q20))-(--LEFT(O20:Q20,FIND("-",O20:Q20)-1))))</f>
        <v>0</v>
      </c>
      <c r="S20" s="13">
        <f t="shared" si="0"/>
        <v>0</v>
      </c>
      <c r="T20" s="212">
        <f t="shared" si="2"/>
        <v>0</v>
      </c>
      <c r="U20" s="212"/>
      <c r="V20" s="228">
        <f t="shared" si="1"/>
        <v>0</v>
      </c>
      <c r="W20" s="228"/>
      <c r="X20" s="17"/>
      <c r="Y20" s="227"/>
      <c r="Z20" s="227"/>
    </row>
    <row r="21" spans="1:26" ht="15" thickBot="1">
      <c r="A21" s="16"/>
      <c r="B21" s="16"/>
      <c r="C21" s="14"/>
      <c r="D21" s="14"/>
      <c r="F21" s="13">
        <f t="array" ref="F21">SUM(IF(ISNUMBER(FIND("-",T11:Z11)),--RIGHT(T11:Z11,LEN(T11:Z11)-FIND("-",T11:Z11))-(--LEFT(T11:Z11,FIND("-",T11:Z11)-1))))</f>
        <v>0</v>
      </c>
      <c r="G21" s="12"/>
      <c r="H21" s="12"/>
      <c r="I21" s="12"/>
      <c r="J21" s="12"/>
      <c r="K21" s="12"/>
      <c r="L21" s="12"/>
      <c r="M21" s="12"/>
      <c r="N21" s="13">
        <f t="array" ref="N21">SUM(IF(ISNUMBER(FIND("-",G21:M21)),--RIGHT(G21:M21,LEN(G21:M21)-FIND("-",G21:M21))-(--LEFT(G21:M21,FIND("-",G21:M21)-1))))</f>
        <v>0</v>
      </c>
      <c r="O21" s="12"/>
      <c r="P21" s="12"/>
      <c r="Q21" s="12"/>
      <c r="R21" s="13">
        <f t="array" ref="R21">SUM(IF(ISNUMBER(FIND("-",O21:Q21)),--RIGHT(O21:Q21,LEN(O21:Q21)-FIND("-",O21:Q21))-(--LEFT(O21:Q21,FIND("-",O21:Q21)-1))))</f>
        <v>0</v>
      </c>
      <c r="S21" s="13">
        <f t="shared" si="0"/>
        <v>0</v>
      </c>
      <c r="T21" s="211">
        <f t="shared" si="2"/>
        <v>0</v>
      </c>
      <c r="U21" s="211"/>
      <c r="V21" s="228">
        <f t="shared" si="1"/>
        <v>0</v>
      </c>
      <c r="W21" s="228"/>
      <c r="X21" s="17"/>
      <c r="Y21" s="227"/>
      <c r="Z21" s="227"/>
    </row>
    <row r="22" spans="1:26" ht="15" thickBot="1">
      <c r="A22" s="16"/>
      <c r="B22" s="16"/>
      <c r="C22" s="5"/>
      <c r="D22" s="5"/>
      <c r="E22" s="17"/>
      <c r="F22" s="17"/>
      <c r="G22" s="17"/>
      <c r="H22" s="17"/>
      <c r="I22" s="17"/>
      <c r="J22" s="17"/>
      <c r="K22" s="17"/>
      <c r="L22" s="18"/>
      <c r="M22" s="17"/>
      <c r="N22" s="17"/>
      <c r="O22" s="17"/>
      <c r="P22" s="17"/>
      <c r="Q22" s="17"/>
      <c r="R22" s="17"/>
      <c r="S22" s="17"/>
      <c r="T22" s="215">
        <f>SUM(T14:U21)</f>
        <v>11500</v>
      </c>
      <c r="U22" s="216"/>
      <c r="V22" s="17"/>
      <c r="W22" s="17"/>
      <c r="X22" s="17"/>
      <c r="Y22" s="227"/>
      <c r="Z22" s="227"/>
    </row>
    <row r="23" spans="1:26">
      <c r="A23" s="16"/>
      <c r="B23" s="16"/>
      <c r="C23" s="5"/>
      <c r="D23" s="5"/>
      <c r="E23" s="17"/>
      <c r="F23" s="17"/>
      <c r="G23" s="17"/>
      <c r="H23" s="17"/>
      <c r="I23" s="17"/>
      <c r="J23" s="17"/>
      <c r="K23" s="17"/>
      <c r="L23" s="18"/>
      <c r="M23" s="17"/>
      <c r="N23" s="17"/>
      <c r="O23" s="17"/>
      <c r="P23" s="17"/>
      <c r="Q23" s="17"/>
      <c r="R23" s="17"/>
      <c r="S23" s="17"/>
      <c r="T23" s="18"/>
      <c r="U23" s="17"/>
      <c r="X23" s="17"/>
      <c r="Y23" s="17"/>
    </row>
    <row r="24" spans="1:26">
      <c r="A24" s="16"/>
      <c r="B24" s="16"/>
      <c r="C24" s="5"/>
      <c r="D24" s="5"/>
      <c r="E24" s="17"/>
      <c r="F24" s="17"/>
      <c r="G24" s="17"/>
      <c r="H24" s="17"/>
      <c r="I24" s="17"/>
      <c r="J24" s="17"/>
      <c r="K24" s="17"/>
      <c r="L24" s="18"/>
      <c r="M24" s="17"/>
      <c r="N24" s="17"/>
      <c r="O24" s="17"/>
      <c r="P24" s="17"/>
      <c r="Q24" s="17"/>
      <c r="R24" s="17"/>
      <c r="S24" s="17"/>
      <c r="T24" s="18"/>
      <c r="U24" s="17"/>
      <c r="V24" s="17"/>
      <c r="W24" s="17"/>
      <c r="X24" s="17"/>
      <c r="Y24" s="17"/>
    </row>
    <row r="25" spans="1:26">
      <c r="A25" s="16"/>
      <c r="E25" s="22"/>
      <c r="F25" s="22"/>
      <c r="G25" s="17"/>
      <c r="H25" s="17"/>
      <c r="I25" s="17"/>
      <c r="J25" s="17"/>
      <c r="K25" s="17"/>
      <c r="L25" s="18"/>
      <c r="M25" s="17"/>
      <c r="N25" s="17"/>
      <c r="O25" s="17"/>
      <c r="P25" s="17"/>
      <c r="Q25" s="17"/>
      <c r="R25" s="17"/>
      <c r="S25" s="217">
        <v>40938</v>
      </c>
      <c r="T25" s="218"/>
      <c r="U25" s="32">
        <v>30</v>
      </c>
      <c r="V25" s="219">
        <f>S25+$U$25</f>
        <v>40968</v>
      </c>
      <c r="W25" s="219"/>
      <c r="X25" s="220"/>
      <c r="Y25" s="17"/>
    </row>
    <row r="26" spans="1:26">
      <c r="A26" s="16"/>
      <c r="B26" s="21"/>
      <c r="C26" s="21"/>
      <c r="D26" s="21"/>
      <c r="E26" s="22"/>
      <c r="F26" s="22"/>
      <c r="G26" s="17"/>
      <c r="H26" s="17"/>
      <c r="I26" s="17"/>
      <c r="J26" s="17"/>
      <c r="K26" s="17"/>
      <c r="L26" s="18"/>
      <c r="M26" s="17"/>
      <c r="N26" s="17"/>
      <c r="O26" s="17"/>
      <c r="P26" s="17"/>
      <c r="Q26" s="17"/>
      <c r="R26" s="17"/>
      <c r="S26" s="17"/>
      <c r="T26" s="18"/>
      <c r="U26" s="17"/>
      <c r="V26" s="17"/>
      <c r="W26" s="17"/>
      <c r="X26" s="17"/>
      <c r="Y26" s="17"/>
    </row>
    <row r="27" spans="1:26">
      <c r="A27" s="16"/>
      <c r="B27" s="21"/>
      <c r="C27" s="21"/>
      <c r="D27" s="21"/>
      <c r="E27" s="22"/>
      <c r="F27" s="23"/>
      <c r="G27" s="17"/>
      <c r="H27" s="17"/>
      <c r="I27" s="17"/>
      <c r="J27" s="17"/>
      <c r="K27" s="17"/>
      <c r="L27" s="18"/>
      <c r="M27" s="17"/>
      <c r="N27" s="17"/>
      <c r="O27" s="17"/>
      <c r="P27" s="17"/>
      <c r="Q27" s="17"/>
      <c r="R27" s="17"/>
      <c r="S27" s="17"/>
      <c r="T27" s="18"/>
      <c r="U27" s="17"/>
      <c r="V27" s="17"/>
      <c r="W27" s="17"/>
      <c r="X27" s="17"/>
      <c r="Y27" s="17"/>
    </row>
    <row r="28" spans="1:26">
      <c r="A28" s="16"/>
      <c r="B28" s="21"/>
      <c r="C28" s="21"/>
      <c r="D28" s="21"/>
      <c r="E28" s="22"/>
      <c r="F28" s="22"/>
      <c r="G28" s="17"/>
      <c r="H28" s="17"/>
      <c r="I28" s="17"/>
      <c r="J28" s="17"/>
      <c r="K28" s="17"/>
      <c r="L28" s="18"/>
      <c r="M28" s="17"/>
      <c r="N28" s="17"/>
      <c r="O28" s="17"/>
      <c r="P28" s="17"/>
      <c r="Q28" s="17"/>
      <c r="R28" s="17"/>
      <c r="S28" s="17"/>
      <c r="T28" s="18"/>
      <c r="U28" s="17"/>
      <c r="V28" s="17"/>
      <c r="W28" s="17"/>
      <c r="X28" s="17"/>
      <c r="Y28" s="17"/>
    </row>
    <row r="29" spans="1:26">
      <c r="A29" s="16"/>
      <c r="B29" s="21"/>
      <c r="C29" s="21"/>
      <c r="D29" s="21"/>
      <c r="E29" s="22"/>
      <c r="F29" s="22"/>
      <c r="G29" s="17"/>
      <c r="H29" s="17"/>
      <c r="I29" s="17"/>
      <c r="J29" s="17"/>
      <c r="K29" s="17"/>
      <c r="L29" s="18"/>
      <c r="M29" s="17"/>
      <c r="N29" s="17"/>
      <c r="O29" s="17"/>
      <c r="P29" s="17"/>
      <c r="Q29" s="17"/>
      <c r="R29" s="17"/>
      <c r="S29" s="17"/>
      <c r="T29" s="18"/>
      <c r="U29" s="17"/>
      <c r="V29" s="17"/>
      <c r="W29" s="17"/>
      <c r="X29" s="17"/>
      <c r="Y29" s="17"/>
    </row>
    <row r="30" spans="1:26">
      <c r="A30" s="16"/>
      <c r="B30" s="21"/>
      <c r="C30" s="21"/>
      <c r="D30" s="21"/>
      <c r="E30" s="22"/>
      <c r="F30" s="22"/>
      <c r="G30" s="17"/>
      <c r="H30" s="17"/>
      <c r="I30" s="17"/>
      <c r="J30" s="17"/>
      <c r="K30" s="17"/>
      <c r="L30" s="18"/>
      <c r="M30" s="17"/>
      <c r="N30" s="17"/>
      <c r="O30" s="17"/>
      <c r="P30" s="17"/>
      <c r="Q30" s="17"/>
      <c r="R30" s="17"/>
      <c r="S30" s="17"/>
      <c r="T30" s="18"/>
      <c r="U30" s="17"/>
      <c r="V30" s="17"/>
      <c r="W30" s="17"/>
      <c r="X30" s="17"/>
      <c r="Y30" s="17"/>
    </row>
    <row r="31" spans="1:26">
      <c r="A31" s="16"/>
      <c r="B31" s="21"/>
      <c r="C31" s="21"/>
      <c r="D31" s="21"/>
      <c r="E31" s="22"/>
      <c r="F31" s="22"/>
      <c r="G31" s="17"/>
      <c r="H31" s="17"/>
      <c r="I31" s="17"/>
      <c r="J31" s="17"/>
      <c r="K31" s="17"/>
      <c r="L31" s="18"/>
      <c r="M31" s="17"/>
      <c r="N31" s="17"/>
      <c r="O31" s="17"/>
      <c r="P31" s="17"/>
      <c r="Q31" s="17"/>
      <c r="R31" s="17"/>
      <c r="S31" s="17"/>
      <c r="T31" s="18"/>
      <c r="U31" s="17"/>
      <c r="V31" s="17"/>
      <c r="W31" s="17"/>
      <c r="X31" s="17"/>
      <c r="Y31" s="17"/>
    </row>
    <row r="32" spans="1:26">
      <c r="A32" s="16"/>
      <c r="B32" s="21"/>
      <c r="C32" s="21"/>
      <c r="D32" s="21"/>
      <c r="E32" s="22"/>
      <c r="F32" s="22"/>
      <c r="G32" s="17"/>
      <c r="H32" s="17"/>
      <c r="I32" s="17"/>
      <c r="J32" s="17"/>
      <c r="K32" s="17"/>
      <c r="L32" s="18"/>
      <c r="M32" s="17"/>
      <c r="N32" s="17"/>
      <c r="O32" s="17"/>
      <c r="P32" s="17"/>
      <c r="Q32" s="17"/>
      <c r="R32" s="17"/>
      <c r="S32" s="17"/>
      <c r="T32" s="18"/>
      <c r="U32" s="17"/>
      <c r="V32" s="17"/>
      <c r="W32" s="17"/>
      <c r="X32" s="17"/>
      <c r="Y32" s="17"/>
    </row>
    <row r="33" spans="1:25">
      <c r="A33" s="16"/>
      <c r="B33" s="21"/>
      <c r="C33" s="21"/>
      <c r="D33" s="21"/>
      <c r="E33" s="22"/>
      <c r="F33" s="22"/>
      <c r="G33" s="17"/>
      <c r="H33" s="17"/>
      <c r="I33" s="17"/>
      <c r="J33" s="17"/>
      <c r="K33" s="17"/>
      <c r="L33" s="18"/>
      <c r="M33" s="17"/>
      <c r="N33" s="17"/>
      <c r="O33" s="17"/>
      <c r="P33" s="17"/>
      <c r="Q33" s="17"/>
      <c r="R33" s="17"/>
      <c r="S33" s="17"/>
      <c r="T33" s="18"/>
      <c r="U33" s="17"/>
      <c r="V33" s="17"/>
      <c r="W33" s="17"/>
      <c r="X33" s="17"/>
      <c r="Y33" s="17"/>
    </row>
    <row r="34" spans="1:25">
      <c r="A34" s="16"/>
      <c r="B34" s="21"/>
      <c r="C34" s="21"/>
      <c r="D34" s="21"/>
      <c r="E34" s="22"/>
      <c r="F34" s="22"/>
      <c r="G34" s="17"/>
      <c r="H34" s="17"/>
      <c r="I34" s="17"/>
      <c r="J34" s="17"/>
      <c r="K34" s="17"/>
      <c r="L34" s="18"/>
      <c r="M34" s="17"/>
      <c r="N34" s="17"/>
      <c r="O34" s="17"/>
      <c r="P34" s="17"/>
      <c r="Q34" s="17"/>
      <c r="R34" s="17"/>
      <c r="S34" s="17"/>
      <c r="T34" s="18"/>
      <c r="U34" s="17"/>
      <c r="V34" s="17"/>
      <c r="W34" s="17"/>
      <c r="X34" s="17"/>
      <c r="Y34" s="17"/>
    </row>
    <row r="35" spans="1:25">
      <c r="A35" s="16"/>
      <c r="B35" s="24"/>
      <c r="C35" s="17"/>
      <c r="D35" s="17"/>
      <c r="E35" s="17"/>
      <c r="F35" s="17"/>
      <c r="G35" s="17"/>
      <c r="H35" s="17"/>
      <c r="I35" s="17"/>
      <c r="J35" s="17"/>
      <c r="K35" s="17"/>
      <c r="L35" s="18"/>
      <c r="M35" s="17"/>
      <c r="N35" s="17"/>
      <c r="O35" s="17"/>
      <c r="P35" s="17"/>
      <c r="Q35" s="17"/>
      <c r="R35" s="17"/>
      <c r="S35" s="17"/>
      <c r="T35" s="18"/>
      <c r="U35" s="17"/>
      <c r="V35" s="17"/>
      <c r="W35" s="17"/>
      <c r="X35" s="17"/>
      <c r="Y35" s="17"/>
    </row>
    <row r="36" spans="1:25">
      <c r="A36" s="16"/>
      <c r="B36" s="25"/>
      <c r="C36" s="17"/>
      <c r="D36" s="17"/>
      <c r="E36" s="26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>
      <c r="A37" s="16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>
      <c r="A38" s="16"/>
      <c r="B38" s="25"/>
      <c r="C38" s="17"/>
      <c r="D38" s="17"/>
      <c r="E38" s="27"/>
      <c r="F38" s="17"/>
      <c r="G38" s="5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>
      <c r="A39" s="16"/>
      <c r="B39" s="25"/>
      <c r="C39" s="28"/>
      <c r="D39" s="28"/>
      <c r="E39" s="28"/>
      <c r="F39" s="28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>
      <c r="A40" s="16"/>
      <c r="B40" s="25"/>
      <c r="C40" s="28"/>
      <c r="D40" s="28"/>
      <c r="E40" s="28"/>
      <c r="F40" s="28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>
      <c r="A41" s="16"/>
      <c r="B41" s="25"/>
      <c r="C41" s="28"/>
      <c r="D41" s="28"/>
      <c r="E41" s="28"/>
      <c r="F41" s="28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>
      <c r="A42" s="16"/>
      <c r="B42" s="25"/>
      <c r="C42" s="28"/>
      <c r="D42" s="28"/>
      <c r="E42" s="28"/>
      <c r="F42" s="28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</sheetData>
  <mergeCells count="30">
    <mergeCell ref="V18:W18"/>
    <mergeCell ref="V19:W19"/>
    <mergeCell ref="V20:W20"/>
    <mergeCell ref="V21:W21"/>
    <mergeCell ref="V13:W13"/>
    <mergeCell ref="V14:W14"/>
    <mergeCell ref="V15:W15"/>
    <mergeCell ref="V16:W16"/>
    <mergeCell ref="V17:W17"/>
    <mergeCell ref="S25:T25"/>
    <mergeCell ref="V25:X25"/>
    <mergeCell ref="I1:P2"/>
    <mergeCell ref="Y16:Z16"/>
    <mergeCell ref="Y15:Z15"/>
    <mergeCell ref="Y17:Z17"/>
    <mergeCell ref="Y18:Z18"/>
    <mergeCell ref="Y19:Z19"/>
    <mergeCell ref="Y20:Z20"/>
    <mergeCell ref="Y21:Z21"/>
    <mergeCell ref="Y22:Z22"/>
    <mergeCell ref="T16:U16"/>
    <mergeCell ref="T17:U17"/>
    <mergeCell ref="T18:U18"/>
    <mergeCell ref="T19:U19"/>
    <mergeCell ref="T20:U20"/>
    <mergeCell ref="T21:U21"/>
    <mergeCell ref="T14:U14"/>
    <mergeCell ref="T15:U15"/>
    <mergeCell ref="T13:U13"/>
    <mergeCell ref="T22:U22"/>
  </mergeCells>
  <conditionalFormatting sqref="D4:J11 L4:R11 T4:Z11 G14:M21 O14:Q21">
    <cfRule type="cellIs" dxfId="2" priority="2" operator="equal">
      <formula>$A$4</formula>
    </cfRule>
    <cfRule type="cellIs" dxfId="1" priority="1" operator="equal">
      <formula>$A$5</formula>
    </cfRule>
    <cfRule type="cellIs" dxfId="0" priority="3" operator="greaterThan">
      <formula>$A$6</formula>
    </cfRule>
  </conditionalFormatting>
  <pageMargins left="0.19685039370078741" right="0.19685039370078741" top="0.19685039370078741" bottom="0.19685039370078741" header="0.19685039370078741" footer="0.19685039370078741"/>
  <pageSetup paperSize="9" orientation="landscape" horizontalDpi="300" verticalDpi="300" r:id="rId1"/>
  <ignoredErrors>
    <ignoredError sqref="D7:J7 E4:F4 D6:F6 E5:F5" twoDigitTextYear="1"/>
    <ignoredError sqref="T15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0B979A6-8077-4B5C-9375-2F88F57CDD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ՊԱ</vt:lpstr>
      <vt:lpstr>ԱԺ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2011-11-24T20:08:26Z</dcterms:created>
  <dcterms:modified xsi:type="dcterms:W3CDTF">2012-02-08T18:47:30Z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