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005" windowWidth="14520" windowHeight="10935" tabRatio="779" firstSheet="1" activeTab="1"/>
  </bookViews>
  <sheets>
    <sheet name="СФО" sheetId="8" state="hidden" r:id="rId1"/>
    <sheet name="Отчет" sheetId="27" r:id="rId2"/>
  </sheets>
  <definedNames>
    <definedName name="_xlnm._FilterDatabase" localSheetId="1" hidden="1">Отчет!$A$6:$DK$269</definedName>
    <definedName name="_xlnm._FilterDatabase" localSheetId="0" hidden="1">СФО!$A$9:$K$9</definedName>
    <definedName name="_xlnm.Print_Titles" localSheetId="1">Отчет!$3:$5</definedName>
    <definedName name="_xlnm.Print_Titles" localSheetId="0">СФО!$6:$8</definedName>
    <definedName name="_xlnm.Print_Area" localSheetId="1">Отчет!$A$1:$AB$268</definedName>
    <definedName name="_xlnm.Print_Area" localSheetId="0">СФО!$A$2:$K$87</definedName>
  </definedNames>
  <calcPr calcId="145621"/>
</workbook>
</file>

<file path=xl/calcChain.xml><?xml version="1.0" encoding="utf-8"?>
<calcChain xmlns="http://schemas.openxmlformats.org/spreadsheetml/2006/main">
  <c r="Y116" i="27" l="1"/>
  <c r="AB116" i="27"/>
  <c r="Y117" i="27"/>
  <c r="AB117" i="27"/>
  <c r="Y118" i="27"/>
  <c r="AB118" i="27"/>
  <c r="Y119" i="27"/>
  <c r="Y36" i="27" s="1"/>
  <c r="AB119" i="27"/>
  <c r="AB37" i="27" s="1"/>
  <c r="Y224" i="27"/>
  <c r="AB224" i="27"/>
  <c r="Y241" i="27"/>
  <c r="AB241" i="27"/>
  <c r="N46" i="27"/>
  <c r="Z40" i="27"/>
  <c r="AA204" i="27"/>
  <c r="Z204" i="27"/>
  <c r="X204" i="27"/>
  <c r="W204" i="27"/>
  <c r="V204" i="27"/>
  <c r="U204" i="27"/>
  <c r="T204" i="27"/>
  <c r="S204" i="27"/>
  <c r="R204" i="27"/>
  <c r="Q204" i="27"/>
  <c r="P204" i="27"/>
  <c r="O204" i="27"/>
  <c r="N204" i="27"/>
  <c r="M204" i="27"/>
  <c r="M195" i="27" s="1"/>
  <c r="L204" i="27"/>
  <c r="K204" i="27"/>
  <c r="AB174" i="27"/>
  <c r="AA174" i="27"/>
  <c r="AA165" i="27" s="1"/>
  <c r="Z174" i="27"/>
  <c r="Y174" i="27"/>
  <c r="X174" i="27"/>
  <c r="W174" i="27"/>
  <c r="W165" i="27" s="1"/>
  <c r="V174" i="27"/>
  <c r="U174" i="27"/>
  <c r="T174" i="27"/>
  <c r="S174" i="27"/>
  <c r="R174" i="27"/>
  <c r="Q174" i="27"/>
  <c r="P174" i="27"/>
  <c r="O174" i="27"/>
  <c r="N174" i="27"/>
  <c r="M174" i="27"/>
  <c r="L174" i="27"/>
  <c r="K174" i="27"/>
  <c r="K165" i="27" s="1"/>
  <c r="AB136" i="27"/>
  <c r="AA136" i="27"/>
  <c r="Z136" i="27"/>
  <c r="Y136" i="27"/>
  <c r="X136" i="27"/>
  <c r="W136" i="27"/>
  <c r="V136" i="27"/>
  <c r="U136" i="27"/>
  <c r="T136" i="27"/>
  <c r="S136" i="27"/>
  <c r="R136" i="27"/>
  <c r="Q136" i="27"/>
  <c r="Q127" i="27" s="1"/>
  <c r="P136" i="27"/>
  <c r="O136" i="27"/>
  <c r="N136" i="27"/>
  <c r="M136" i="27"/>
  <c r="L136" i="27"/>
  <c r="K136" i="27"/>
  <c r="AB98" i="27"/>
  <c r="AA98" i="27"/>
  <c r="Z98" i="27"/>
  <c r="Y98" i="27"/>
  <c r="X98" i="27"/>
  <c r="W98" i="27"/>
  <c r="V98" i="27"/>
  <c r="U98" i="27"/>
  <c r="T98" i="27"/>
  <c r="S98" i="27"/>
  <c r="R98" i="27"/>
  <c r="Q98" i="27"/>
  <c r="P98" i="27"/>
  <c r="O98" i="27"/>
  <c r="N98" i="27"/>
  <c r="M98" i="27"/>
  <c r="L98" i="27"/>
  <c r="K98" i="27"/>
  <c r="AA53" i="27"/>
  <c r="Z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AA51" i="27"/>
  <c r="Z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AA205" i="27"/>
  <c r="Z205" i="27"/>
  <c r="X205" i="27"/>
  <c r="W205" i="27"/>
  <c r="V205" i="27"/>
  <c r="U205" i="27"/>
  <c r="T205" i="27"/>
  <c r="S205" i="27"/>
  <c r="R205" i="27"/>
  <c r="Q205" i="27"/>
  <c r="P205" i="27"/>
  <c r="O205" i="27"/>
  <c r="N205" i="27"/>
  <c r="M205" i="27"/>
  <c r="L205" i="27"/>
  <c r="K205" i="27"/>
  <c r="AB175" i="27"/>
  <c r="AA175" i="27"/>
  <c r="Z175" i="27"/>
  <c r="Y175" i="27"/>
  <c r="X175" i="27"/>
  <c r="W175" i="27"/>
  <c r="V175" i="27"/>
  <c r="U175" i="27"/>
  <c r="T175" i="27"/>
  <c r="S175" i="27"/>
  <c r="R175" i="27"/>
  <c r="Q175" i="27"/>
  <c r="P175" i="27"/>
  <c r="O175" i="27"/>
  <c r="N175" i="27"/>
  <c r="M175" i="27"/>
  <c r="L175" i="27"/>
  <c r="K175" i="27"/>
  <c r="AB137" i="27"/>
  <c r="AA137" i="27"/>
  <c r="Z137" i="27"/>
  <c r="Y137" i="27"/>
  <c r="X137" i="27"/>
  <c r="W137" i="27"/>
  <c r="V137" i="27"/>
  <c r="U137" i="27"/>
  <c r="T137" i="27"/>
  <c r="S137" i="27"/>
  <c r="R137" i="27"/>
  <c r="Q137" i="27"/>
  <c r="P137" i="27"/>
  <c r="O137" i="27"/>
  <c r="N137" i="27"/>
  <c r="M137" i="27"/>
  <c r="L137" i="27"/>
  <c r="K137" i="27"/>
  <c r="AB99" i="27"/>
  <c r="AA99" i="27"/>
  <c r="Z99" i="27"/>
  <c r="Y99" i="27"/>
  <c r="X99" i="27"/>
  <c r="W99" i="27"/>
  <c r="V99" i="27"/>
  <c r="U99" i="27"/>
  <c r="T99" i="27"/>
  <c r="S99" i="27"/>
  <c r="S89" i="27" s="1"/>
  <c r="R99" i="27"/>
  <c r="Q99" i="27"/>
  <c r="P99" i="27"/>
  <c r="O99" i="27"/>
  <c r="N99" i="27"/>
  <c r="M99" i="27"/>
  <c r="L99" i="27"/>
  <c r="K99" i="27"/>
  <c r="AA56" i="27"/>
  <c r="Z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AA54" i="27"/>
  <c r="Z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AB263" i="27"/>
  <c r="AA263" i="27"/>
  <c r="Z263" i="27"/>
  <c r="Y263" i="27"/>
  <c r="X263" i="27"/>
  <c r="W263" i="27"/>
  <c r="V263" i="27"/>
  <c r="U263" i="27"/>
  <c r="T263" i="27"/>
  <c r="S263" i="27"/>
  <c r="R263" i="27"/>
  <c r="Q263" i="27"/>
  <c r="P263" i="27"/>
  <c r="O263" i="27"/>
  <c r="O257" i="27" s="1"/>
  <c r="N263" i="27"/>
  <c r="M263" i="27"/>
  <c r="L263" i="27"/>
  <c r="K263" i="27"/>
  <c r="K257" i="27" s="1"/>
  <c r="AB250" i="27"/>
  <c r="AA250" i="27"/>
  <c r="Z250" i="27"/>
  <c r="Y250" i="27"/>
  <c r="Y73" i="27" s="1"/>
  <c r="X250" i="27"/>
  <c r="W250" i="27"/>
  <c r="V250" i="27"/>
  <c r="U250" i="27"/>
  <c r="U75" i="27" s="1"/>
  <c r="T250" i="27"/>
  <c r="S250" i="27"/>
  <c r="R250" i="27"/>
  <c r="Q250" i="27"/>
  <c r="Q75" i="27" s="1"/>
  <c r="P250" i="27"/>
  <c r="O250" i="27"/>
  <c r="N250" i="27"/>
  <c r="M250" i="27"/>
  <c r="M73" i="27" s="1"/>
  <c r="L250" i="27"/>
  <c r="K250" i="27"/>
  <c r="AB233" i="27"/>
  <c r="AA233" i="27"/>
  <c r="AA73" i="27" s="1"/>
  <c r="Z233" i="27"/>
  <c r="Y233" i="27"/>
  <c r="X233" i="27"/>
  <c r="X75" i="27" s="1"/>
  <c r="W233" i="27"/>
  <c r="V233" i="27"/>
  <c r="U233" i="27"/>
  <c r="T233" i="27"/>
  <c r="T75" i="27" s="1"/>
  <c r="S233" i="27"/>
  <c r="S227" i="27" s="1"/>
  <c r="R233" i="27"/>
  <c r="Q233" i="27"/>
  <c r="P233" i="27"/>
  <c r="P75" i="27" s="1"/>
  <c r="O233" i="27"/>
  <c r="N233" i="27"/>
  <c r="M233" i="27"/>
  <c r="L233" i="27"/>
  <c r="L227" i="27" s="1"/>
  <c r="K233" i="27"/>
  <c r="AB214" i="27"/>
  <c r="AA214" i="27"/>
  <c r="Z214" i="27"/>
  <c r="Y214" i="27"/>
  <c r="X214" i="27"/>
  <c r="W214" i="27"/>
  <c r="V214" i="27"/>
  <c r="U214" i="27"/>
  <c r="T214" i="27"/>
  <c r="S214" i="27"/>
  <c r="R214" i="27"/>
  <c r="R75" i="27" s="1"/>
  <c r="Q214" i="27"/>
  <c r="P214" i="27"/>
  <c r="O214" i="27"/>
  <c r="N214" i="27"/>
  <c r="M214" i="27"/>
  <c r="L214" i="27"/>
  <c r="K214" i="27"/>
  <c r="AB182" i="27"/>
  <c r="AB74" i="27" s="1"/>
  <c r="AA182" i="27"/>
  <c r="Z182" i="27"/>
  <c r="Y182" i="27"/>
  <c r="X182" i="27"/>
  <c r="X73" i="27" s="1"/>
  <c r="W182" i="27"/>
  <c r="V182" i="27"/>
  <c r="U182" i="27"/>
  <c r="T182" i="27"/>
  <c r="S182" i="27"/>
  <c r="R182" i="27"/>
  <c r="Q182" i="27"/>
  <c r="P182" i="27"/>
  <c r="O182" i="27"/>
  <c r="N182" i="27"/>
  <c r="M182" i="27"/>
  <c r="L182" i="27"/>
  <c r="L74" i="27" s="1"/>
  <c r="K182" i="27"/>
  <c r="AB144" i="27"/>
  <c r="AA144" i="27"/>
  <c r="Z144" i="27"/>
  <c r="Z73" i="27" s="1"/>
  <c r="Y144" i="27"/>
  <c r="X144" i="27"/>
  <c r="W144" i="27"/>
  <c r="W74" i="27"/>
  <c r="V144" i="27"/>
  <c r="U144" i="27"/>
  <c r="T144" i="27"/>
  <c r="S144" i="27"/>
  <c r="S74" i="27" s="1"/>
  <c r="R144" i="27"/>
  <c r="Q144" i="27"/>
  <c r="P144" i="27"/>
  <c r="O144" i="27"/>
  <c r="N144" i="27"/>
  <c r="M144" i="27"/>
  <c r="L144" i="27"/>
  <c r="K144" i="27"/>
  <c r="AB106" i="27"/>
  <c r="AA106" i="27"/>
  <c r="Z106" i="27"/>
  <c r="Y106" i="27"/>
  <c r="Y74" i="27" s="1"/>
  <c r="X106" i="27"/>
  <c r="W106" i="27"/>
  <c r="V106" i="27"/>
  <c r="V74" i="27" s="1"/>
  <c r="U106" i="27"/>
  <c r="T106" i="27"/>
  <c r="S106" i="27"/>
  <c r="R106" i="27"/>
  <c r="Q106" i="27"/>
  <c r="P106" i="27"/>
  <c r="O106" i="27"/>
  <c r="N106" i="27"/>
  <c r="M106" i="27"/>
  <c r="M74" i="27" s="1"/>
  <c r="L106" i="27"/>
  <c r="K106" i="27"/>
  <c r="AB264" i="27"/>
  <c r="AA264" i="27"/>
  <c r="Z264" i="27"/>
  <c r="Y264" i="27"/>
  <c r="X264" i="27"/>
  <c r="W264" i="27"/>
  <c r="V264" i="27"/>
  <c r="U264" i="27"/>
  <c r="T264" i="27"/>
  <c r="S264" i="27"/>
  <c r="R264" i="27"/>
  <c r="Q264" i="27"/>
  <c r="P264" i="27"/>
  <c r="O264" i="27"/>
  <c r="N264" i="27"/>
  <c r="M264" i="27"/>
  <c r="L264" i="27"/>
  <c r="K264" i="27"/>
  <c r="AB251" i="27"/>
  <c r="AA251" i="27"/>
  <c r="AA78" i="27" s="1"/>
  <c r="Z251" i="27"/>
  <c r="Y251" i="27"/>
  <c r="X251" i="27"/>
  <c r="W251" i="27"/>
  <c r="V251" i="27"/>
  <c r="U251" i="27"/>
  <c r="T251" i="27"/>
  <c r="S251" i="27"/>
  <c r="R251" i="27"/>
  <c r="Q251" i="27"/>
  <c r="P251" i="27"/>
  <c r="P78" i="27" s="1"/>
  <c r="O251" i="27"/>
  <c r="N251" i="27"/>
  <c r="M251" i="27"/>
  <c r="L251" i="27"/>
  <c r="L78" i="27" s="1"/>
  <c r="K251" i="27"/>
  <c r="K78" i="27" s="1"/>
  <c r="AB234" i="27"/>
  <c r="AA234" i="27"/>
  <c r="Z234" i="27"/>
  <c r="Z78" i="27" s="1"/>
  <c r="Y234" i="27"/>
  <c r="X234" i="27"/>
  <c r="W234" i="27"/>
  <c r="V234" i="27"/>
  <c r="V78" i="27" s="1"/>
  <c r="U234" i="27"/>
  <c r="T234" i="27"/>
  <c r="S234" i="27"/>
  <c r="R234" i="27"/>
  <c r="Q234" i="27"/>
  <c r="P234" i="27"/>
  <c r="O234" i="27"/>
  <c r="N234" i="27"/>
  <c r="M234" i="27"/>
  <c r="L234" i="27"/>
  <c r="K234" i="27"/>
  <c r="AB215" i="27"/>
  <c r="AA215" i="27"/>
  <c r="Z215" i="27"/>
  <c r="Y215" i="27"/>
  <c r="X215" i="27"/>
  <c r="X76" i="27" s="1"/>
  <c r="W215" i="27"/>
  <c r="V215" i="27"/>
  <c r="U215" i="27"/>
  <c r="U78" i="27"/>
  <c r="T215" i="27"/>
  <c r="S215" i="27"/>
  <c r="R215" i="27"/>
  <c r="Q215" i="27"/>
  <c r="Q78" i="27" s="1"/>
  <c r="P215" i="27"/>
  <c r="O215" i="27"/>
  <c r="N215" i="27"/>
  <c r="M215" i="27"/>
  <c r="M78" i="27" s="1"/>
  <c r="L215" i="27"/>
  <c r="K215" i="27"/>
  <c r="AA183" i="27"/>
  <c r="Z183" i="27"/>
  <c r="X183" i="27"/>
  <c r="W183" i="27"/>
  <c r="V183" i="27"/>
  <c r="U183" i="27"/>
  <c r="T183" i="27"/>
  <c r="S183" i="27"/>
  <c r="R183" i="27"/>
  <c r="Q183" i="27"/>
  <c r="P183" i="27"/>
  <c r="O183" i="27"/>
  <c r="N183" i="27"/>
  <c r="M183" i="27"/>
  <c r="L183" i="27"/>
  <c r="K183" i="27"/>
  <c r="K77" i="27" s="1"/>
  <c r="AB145" i="27"/>
  <c r="AA145" i="27"/>
  <c r="Z145" i="27"/>
  <c r="Y145" i="27"/>
  <c r="X145" i="27"/>
  <c r="W145" i="27"/>
  <c r="V145" i="27"/>
  <c r="U145" i="27"/>
  <c r="T145" i="27"/>
  <c r="S145" i="27"/>
  <c r="R145" i="27"/>
  <c r="Q145" i="27"/>
  <c r="P145" i="27"/>
  <c r="O145" i="27"/>
  <c r="N145" i="27"/>
  <c r="M145" i="27"/>
  <c r="L145" i="27"/>
  <c r="K145" i="27"/>
  <c r="AA107" i="27"/>
  <c r="Z107" i="27"/>
  <c r="X107" i="27"/>
  <c r="W107" i="27"/>
  <c r="V107" i="27"/>
  <c r="U107" i="27"/>
  <c r="T107" i="27"/>
  <c r="S107" i="27"/>
  <c r="R107" i="27"/>
  <c r="Q107" i="27"/>
  <c r="P107" i="27"/>
  <c r="O107" i="27"/>
  <c r="N107" i="27"/>
  <c r="M107" i="27"/>
  <c r="L107" i="27"/>
  <c r="K107" i="27"/>
  <c r="K76" i="27" s="1"/>
  <c r="AA262" i="27"/>
  <c r="Z262" i="27"/>
  <c r="X262" i="27"/>
  <c r="W262" i="27"/>
  <c r="V262" i="27"/>
  <c r="U262" i="27"/>
  <c r="T262" i="27"/>
  <c r="S262" i="27"/>
  <c r="R262" i="27"/>
  <c r="Q262" i="27"/>
  <c r="P262" i="27"/>
  <c r="O262" i="27"/>
  <c r="N262" i="27"/>
  <c r="M262" i="27"/>
  <c r="L262" i="27"/>
  <c r="K262" i="27"/>
  <c r="AB249" i="27"/>
  <c r="AA249" i="27"/>
  <c r="Z249" i="27"/>
  <c r="Y249" i="27"/>
  <c r="X249" i="27"/>
  <c r="W249" i="27"/>
  <c r="V249" i="27"/>
  <c r="U249" i="27"/>
  <c r="T249" i="27"/>
  <c r="S249" i="27"/>
  <c r="R249" i="27"/>
  <c r="Q249" i="27"/>
  <c r="P249" i="27"/>
  <c r="O249" i="27"/>
  <c r="N249" i="27"/>
  <c r="M249" i="27"/>
  <c r="L249" i="27"/>
  <c r="K249" i="27"/>
  <c r="AB232" i="27"/>
  <c r="AA232" i="27"/>
  <c r="Z232" i="27"/>
  <c r="Y232" i="27"/>
  <c r="X232" i="27"/>
  <c r="W232" i="27"/>
  <c r="V232" i="27"/>
  <c r="V72" i="27" s="1"/>
  <c r="U232" i="27"/>
  <c r="T232" i="27"/>
  <c r="S232" i="27"/>
  <c r="R232" i="27"/>
  <c r="R72" i="27" s="1"/>
  <c r="Q232" i="27"/>
  <c r="P232" i="27"/>
  <c r="O232" i="27"/>
  <c r="N232" i="27"/>
  <c r="M232" i="27"/>
  <c r="L232" i="27"/>
  <c r="K232" i="27"/>
  <c r="AB213" i="27"/>
  <c r="AA213" i="27"/>
  <c r="Z213" i="27"/>
  <c r="Y213" i="27"/>
  <c r="X213" i="27"/>
  <c r="X72" i="27" s="1"/>
  <c r="W213" i="27"/>
  <c r="V213" i="27"/>
  <c r="U213" i="27"/>
  <c r="T213" i="27"/>
  <c r="T72" i="27" s="1"/>
  <c r="S213" i="27"/>
  <c r="R213" i="27"/>
  <c r="Q213" i="27"/>
  <c r="P213" i="27"/>
  <c r="O213" i="27"/>
  <c r="O72" i="27" s="1"/>
  <c r="N213" i="27"/>
  <c r="M213" i="27"/>
  <c r="L213" i="27"/>
  <c r="K213" i="27"/>
  <c r="K72" i="27" s="1"/>
  <c r="AB181" i="27"/>
  <c r="AA181" i="27"/>
  <c r="Z181" i="27"/>
  <c r="Y181" i="27"/>
  <c r="Y71" i="27" s="1"/>
  <c r="X181" i="27"/>
  <c r="W181" i="27"/>
  <c r="V181" i="27"/>
  <c r="U181" i="27"/>
  <c r="U71" i="27" s="1"/>
  <c r="T181" i="27"/>
  <c r="S181" i="27"/>
  <c r="R181" i="27"/>
  <c r="Q181" i="27"/>
  <c r="P181" i="27"/>
  <c r="O181" i="27"/>
  <c r="N181" i="27"/>
  <c r="M181" i="27"/>
  <c r="L181" i="27"/>
  <c r="K181" i="27"/>
  <c r="AB143" i="27"/>
  <c r="AA143" i="27"/>
  <c r="Z143" i="27"/>
  <c r="Y143" i="27"/>
  <c r="X143" i="27"/>
  <c r="X71" i="27" s="1"/>
  <c r="W143" i="27"/>
  <c r="V143" i="27"/>
  <c r="U143" i="27"/>
  <c r="T143" i="27"/>
  <c r="S143" i="27"/>
  <c r="R143" i="27"/>
  <c r="Q143" i="27"/>
  <c r="P143" i="27"/>
  <c r="O143" i="27"/>
  <c r="N143" i="27"/>
  <c r="M143" i="27"/>
  <c r="L143" i="27"/>
  <c r="K143" i="27"/>
  <c r="K71" i="27" s="1"/>
  <c r="AA105" i="27"/>
  <c r="X105" i="27"/>
  <c r="W105" i="27"/>
  <c r="V105" i="27"/>
  <c r="U105" i="27"/>
  <c r="T105" i="27"/>
  <c r="S105" i="27"/>
  <c r="R105" i="27"/>
  <c r="Q105" i="27"/>
  <c r="P105" i="27"/>
  <c r="O105" i="27"/>
  <c r="N105" i="27"/>
  <c r="M105" i="27"/>
  <c r="L105" i="27"/>
  <c r="K105" i="27"/>
  <c r="AB261" i="27"/>
  <c r="AA261" i="27"/>
  <c r="Z261" i="27"/>
  <c r="Y261" i="27"/>
  <c r="X261" i="27"/>
  <c r="W261" i="27"/>
  <c r="V261" i="27"/>
  <c r="U261" i="27"/>
  <c r="T261" i="27"/>
  <c r="S261" i="27"/>
  <c r="R261" i="27"/>
  <c r="Q261" i="27"/>
  <c r="P261" i="27"/>
  <c r="O261" i="27"/>
  <c r="N261" i="27"/>
  <c r="M261" i="27"/>
  <c r="L261" i="27"/>
  <c r="K261" i="27"/>
  <c r="AA248" i="27"/>
  <c r="Z248" i="27"/>
  <c r="X248" i="27"/>
  <c r="W248" i="27"/>
  <c r="V248" i="27"/>
  <c r="U248" i="27"/>
  <c r="T248" i="27"/>
  <c r="S248" i="27"/>
  <c r="R248" i="27"/>
  <c r="Q248" i="27"/>
  <c r="P248" i="27"/>
  <c r="O248" i="27"/>
  <c r="N248" i="27"/>
  <c r="M248" i="27"/>
  <c r="L248" i="27"/>
  <c r="K248" i="27"/>
  <c r="AB231" i="27"/>
  <c r="AA231" i="27"/>
  <c r="AA69" i="27" s="1"/>
  <c r="Z231" i="27"/>
  <c r="Y231" i="27"/>
  <c r="X231" i="27"/>
  <c r="W231" i="27"/>
  <c r="V231" i="27"/>
  <c r="V69" i="27" s="1"/>
  <c r="U231" i="27"/>
  <c r="T231" i="27"/>
  <c r="S231" i="27"/>
  <c r="R231" i="27"/>
  <c r="Q231" i="27"/>
  <c r="P231" i="27"/>
  <c r="O231" i="27"/>
  <c r="O69" i="27" s="1"/>
  <c r="N231" i="27"/>
  <c r="N69" i="27" s="1"/>
  <c r="M231" i="27"/>
  <c r="L231" i="27"/>
  <c r="K231" i="27"/>
  <c r="K69" i="27" s="1"/>
  <c r="AB212" i="27"/>
  <c r="AA212" i="27"/>
  <c r="Z212" i="27"/>
  <c r="Y212" i="27"/>
  <c r="X212" i="27"/>
  <c r="W212" i="27"/>
  <c r="V212" i="27"/>
  <c r="U212" i="27"/>
  <c r="T212" i="27"/>
  <c r="S212" i="27"/>
  <c r="R212" i="27"/>
  <c r="Q212" i="27"/>
  <c r="Q69" i="27" s="1"/>
  <c r="P212" i="27"/>
  <c r="O212" i="27"/>
  <c r="N212" i="27"/>
  <c r="M212" i="27"/>
  <c r="M69" i="27" s="1"/>
  <c r="L212" i="27"/>
  <c r="K212" i="27"/>
  <c r="AA180" i="27"/>
  <c r="X180" i="27"/>
  <c r="W180" i="27"/>
  <c r="V180" i="27"/>
  <c r="U180" i="27"/>
  <c r="T180" i="27"/>
  <c r="S180" i="27"/>
  <c r="R180" i="27"/>
  <c r="Q180" i="27"/>
  <c r="P180" i="27"/>
  <c r="P68" i="27" s="1"/>
  <c r="O180" i="27"/>
  <c r="N180" i="27"/>
  <c r="M180" i="27"/>
  <c r="L180" i="27"/>
  <c r="AB142" i="27"/>
  <c r="AA142" i="27"/>
  <c r="Z142" i="27"/>
  <c r="Y142" i="27"/>
  <c r="X142" i="27"/>
  <c r="W142" i="27"/>
  <c r="V142" i="27"/>
  <c r="U142" i="27"/>
  <c r="T142" i="27"/>
  <c r="S142" i="27"/>
  <c r="R142" i="27"/>
  <c r="Q142" i="27"/>
  <c r="P142" i="27"/>
  <c r="O142" i="27"/>
  <c r="N142" i="27"/>
  <c r="M142" i="27"/>
  <c r="L142" i="27"/>
  <c r="K142" i="27"/>
  <c r="AA104" i="27"/>
  <c r="Z104" i="27"/>
  <c r="X104" i="27"/>
  <c r="W104" i="27"/>
  <c r="V104" i="27"/>
  <c r="U104" i="27"/>
  <c r="T104" i="27"/>
  <c r="S104" i="27"/>
  <c r="R104" i="27"/>
  <c r="Q104" i="27"/>
  <c r="P104" i="27"/>
  <c r="O104" i="27"/>
  <c r="M104" i="27"/>
  <c r="L104" i="27"/>
  <c r="K104" i="27"/>
  <c r="AB260" i="27"/>
  <c r="AA260" i="27"/>
  <c r="Z260" i="27"/>
  <c r="Z66" i="27" s="1"/>
  <c r="Y260" i="27"/>
  <c r="X260" i="27"/>
  <c r="W260" i="27"/>
  <c r="V260" i="27"/>
  <c r="U260" i="27"/>
  <c r="T260" i="27"/>
  <c r="S260" i="27"/>
  <c r="R260" i="27"/>
  <c r="R66" i="27" s="1"/>
  <c r="Q260" i="27"/>
  <c r="P260" i="27"/>
  <c r="O260" i="27"/>
  <c r="N260" i="27"/>
  <c r="M260" i="27"/>
  <c r="L260" i="27"/>
  <c r="K260" i="27"/>
  <c r="AB247" i="27"/>
  <c r="AA247" i="27"/>
  <c r="Z247" i="27"/>
  <c r="Y247" i="27"/>
  <c r="X247" i="27"/>
  <c r="W247" i="27"/>
  <c r="V247" i="27"/>
  <c r="U247" i="27"/>
  <c r="T247" i="27"/>
  <c r="S247" i="27"/>
  <c r="R247" i="27"/>
  <c r="Q247" i="27"/>
  <c r="P247" i="27"/>
  <c r="O247" i="27"/>
  <c r="N247" i="27"/>
  <c r="M247" i="27"/>
  <c r="M66" i="27"/>
  <c r="L247" i="27"/>
  <c r="K247" i="27"/>
  <c r="AB230" i="27"/>
  <c r="AA230" i="27"/>
  <c r="Z230" i="27"/>
  <c r="Y230" i="27"/>
  <c r="X230" i="27"/>
  <c r="W230" i="27"/>
  <c r="V230" i="27"/>
  <c r="U230" i="27"/>
  <c r="T230" i="27"/>
  <c r="S230" i="27"/>
  <c r="R230" i="27"/>
  <c r="Q230" i="27"/>
  <c r="P230" i="27"/>
  <c r="O230" i="27"/>
  <c r="N230" i="27"/>
  <c r="M230" i="27"/>
  <c r="L230" i="27"/>
  <c r="K230" i="27"/>
  <c r="AA211" i="27"/>
  <c r="Z211" i="27"/>
  <c r="X211" i="27"/>
  <c r="W211" i="27"/>
  <c r="W66" i="27" s="1"/>
  <c r="V211" i="27"/>
  <c r="U211" i="27"/>
  <c r="T211" i="27"/>
  <c r="S211" i="27"/>
  <c r="S66" i="27" s="1"/>
  <c r="R211" i="27"/>
  <c r="Q211" i="27"/>
  <c r="P211" i="27"/>
  <c r="O211" i="27"/>
  <c r="N211" i="27"/>
  <c r="M211" i="27"/>
  <c r="L211" i="27"/>
  <c r="K211" i="27"/>
  <c r="AB179" i="27"/>
  <c r="AA179" i="27"/>
  <c r="Z179" i="27"/>
  <c r="Y179" i="27"/>
  <c r="X179" i="27"/>
  <c r="W179" i="27"/>
  <c r="V179" i="27"/>
  <c r="U179" i="27"/>
  <c r="T179" i="27"/>
  <c r="S179" i="27"/>
  <c r="R179" i="27"/>
  <c r="Q179" i="27"/>
  <c r="P179" i="27"/>
  <c r="O179" i="27"/>
  <c r="N179" i="27"/>
  <c r="M179" i="27"/>
  <c r="L179" i="27"/>
  <c r="K179" i="27"/>
  <c r="AB141" i="27"/>
  <c r="AA141" i="27"/>
  <c r="Z141" i="27"/>
  <c r="Y141" i="27"/>
  <c r="X141" i="27"/>
  <c r="W141" i="27"/>
  <c r="V141" i="27"/>
  <c r="U141" i="27"/>
  <c r="T141" i="27"/>
  <c r="S141" i="27"/>
  <c r="R141" i="27"/>
  <c r="Q141" i="27"/>
  <c r="P141" i="27"/>
  <c r="P65" i="27" s="1"/>
  <c r="O141" i="27"/>
  <c r="N141" i="27"/>
  <c r="M141" i="27"/>
  <c r="M65" i="27" s="1"/>
  <c r="L141" i="27"/>
  <c r="L65" i="27" s="1"/>
  <c r="K141" i="27"/>
  <c r="AB103" i="27"/>
  <c r="AA103" i="27"/>
  <c r="AA65" i="27" s="1"/>
  <c r="Z103" i="27"/>
  <c r="Y103" i="27"/>
  <c r="X103" i="27"/>
  <c r="W103" i="27"/>
  <c r="W64" i="27" s="1"/>
  <c r="V103" i="27"/>
  <c r="V65" i="27" s="1"/>
  <c r="U103" i="27"/>
  <c r="T103" i="27"/>
  <c r="S103" i="27"/>
  <c r="S64" i="27" s="1"/>
  <c r="R103" i="27"/>
  <c r="Q103" i="27"/>
  <c r="P103" i="27"/>
  <c r="O103" i="27"/>
  <c r="O65" i="27" s="1"/>
  <c r="N103" i="27"/>
  <c r="M103" i="27"/>
  <c r="L103" i="27"/>
  <c r="K103" i="27"/>
  <c r="K65" i="27" s="1"/>
  <c r="AB258" i="27"/>
  <c r="AA258" i="27"/>
  <c r="Z258" i="27"/>
  <c r="Y258" i="27"/>
  <c r="X258" i="27"/>
  <c r="W258" i="27"/>
  <c r="V258" i="27"/>
  <c r="U258" i="27"/>
  <c r="T258" i="27"/>
  <c r="S258" i="27"/>
  <c r="R258" i="27"/>
  <c r="Q258" i="27"/>
  <c r="P258" i="27"/>
  <c r="O258" i="27"/>
  <c r="N258" i="27"/>
  <c r="M258" i="27"/>
  <c r="L258" i="27"/>
  <c r="K258" i="27"/>
  <c r="AB245" i="27"/>
  <c r="AA245" i="27"/>
  <c r="AA60" i="27" s="1"/>
  <c r="Z245" i="27"/>
  <c r="Y245" i="27"/>
  <c r="X245" i="27"/>
  <c r="W245" i="27"/>
  <c r="V245" i="27"/>
  <c r="U245" i="27"/>
  <c r="T245" i="27"/>
  <c r="S245" i="27"/>
  <c r="R245" i="27"/>
  <c r="Q245" i="27"/>
  <c r="P245" i="27"/>
  <c r="O245" i="27"/>
  <c r="N245" i="27"/>
  <c r="M245" i="27"/>
  <c r="L245" i="27"/>
  <c r="K245" i="27"/>
  <c r="AA228" i="27"/>
  <c r="Z228" i="27"/>
  <c r="X228" i="27"/>
  <c r="W228" i="27"/>
  <c r="V228" i="27"/>
  <c r="U228" i="27"/>
  <c r="T228" i="27"/>
  <c r="S228" i="27"/>
  <c r="R228" i="27"/>
  <c r="Q228" i="27"/>
  <c r="P228" i="27"/>
  <c r="O228" i="27"/>
  <c r="O227" i="27" s="1"/>
  <c r="N228" i="27"/>
  <c r="M228" i="27"/>
  <c r="L228" i="27"/>
  <c r="K228" i="27"/>
  <c r="AA209" i="27"/>
  <c r="Z209" i="27"/>
  <c r="X209" i="27"/>
  <c r="W209" i="27"/>
  <c r="V209" i="27"/>
  <c r="U209" i="27"/>
  <c r="T209" i="27"/>
  <c r="T58" i="27" s="1"/>
  <c r="S209" i="27"/>
  <c r="R209" i="27"/>
  <c r="Q209" i="27"/>
  <c r="P209" i="27"/>
  <c r="O209" i="27"/>
  <c r="O208" i="27" s="1"/>
  <c r="N209" i="27"/>
  <c r="M209" i="27"/>
  <c r="L209" i="27"/>
  <c r="L60" i="27" s="1"/>
  <c r="K209" i="27"/>
  <c r="K60" i="27" s="1"/>
  <c r="AB177" i="27"/>
  <c r="AA177" i="27"/>
  <c r="Z177" i="27"/>
  <c r="Y177" i="27"/>
  <c r="X177" i="27"/>
  <c r="W177" i="27"/>
  <c r="V177" i="27"/>
  <c r="U177" i="27"/>
  <c r="T177" i="27"/>
  <c r="S177" i="27"/>
  <c r="R177" i="27"/>
  <c r="Q177" i="27"/>
  <c r="P177" i="27"/>
  <c r="O177" i="27"/>
  <c r="N177" i="27"/>
  <c r="M177" i="27"/>
  <c r="M176" i="27" s="1"/>
  <c r="L177" i="27"/>
  <c r="K177" i="27"/>
  <c r="AA139" i="27"/>
  <c r="Z139" i="27"/>
  <c r="X139" i="27"/>
  <c r="W139" i="27"/>
  <c r="V139" i="27"/>
  <c r="U139" i="27"/>
  <c r="T139" i="27"/>
  <c r="S139" i="27"/>
  <c r="R139" i="27"/>
  <c r="Q139" i="27"/>
  <c r="P139" i="27"/>
  <c r="O139" i="27"/>
  <c r="N139" i="27"/>
  <c r="M139" i="27"/>
  <c r="L139" i="27"/>
  <c r="K139" i="27"/>
  <c r="AA101" i="27"/>
  <c r="AA59" i="27" s="1"/>
  <c r="Z101" i="27"/>
  <c r="Z59" i="27" s="1"/>
  <c r="X101" i="27"/>
  <c r="W101" i="27"/>
  <c r="V101" i="27"/>
  <c r="V59" i="27" s="1"/>
  <c r="U101" i="27"/>
  <c r="T101" i="27"/>
  <c r="S101" i="27"/>
  <c r="R101" i="27"/>
  <c r="Q101" i="27"/>
  <c r="P101" i="27"/>
  <c r="O101" i="27"/>
  <c r="N101" i="27"/>
  <c r="M101" i="27"/>
  <c r="L101" i="27"/>
  <c r="L100" i="27" s="1"/>
  <c r="K101" i="27"/>
  <c r="AB259" i="27"/>
  <c r="AA259" i="27"/>
  <c r="Z259" i="27"/>
  <c r="Z257" i="27" s="1"/>
  <c r="Y259" i="27"/>
  <c r="X259" i="27"/>
  <c r="W259" i="27"/>
  <c r="V259" i="27"/>
  <c r="U259" i="27"/>
  <c r="T259" i="27"/>
  <c r="S259" i="27"/>
  <c r="R259" i="27"/>
  <c r="Q259" i="27"/>
  <c r="P259" i="27"/>
  <c r="O259" i="27"/>
  <c r="N259" i="27"/>
  <c r="M259" i="27"/>
  <c r="L259" i="27"/>
  <c r="K259" i="27"/>
  <c r="AB246" i="27"/>
  <c r="AA246" i="27"/>
  <c r="Z246" i="27"/>
  <c r="Y246" i="27"/>
  <c r="X246" i="27"/>
  <c r="X63" i="27" s="1"/>
  <c r="W246" i="27"/>
  <c r="V246" i="27"/>
  <c r="U246" i="27"/>
  <c r="T246" i="27"/>
  <c r="T63" i="27" s="1"/>
  <c r="S246" i="27"/>
  <c r="R246" i="27"/>
  <c r="Q246" i="27"/>
  <c r="P246" i="27"/>
  <c r="O246" i="27"/>
  <c r="N246" i="27"/>
  <c r="M246" i="27"/>
  <c r="L246" i="27"/>
  <c r="L63" i="27" s="1"/>
  <c r="K246" i="27"/>
  <c r="AB229" i="27"/>
  <c r="AA229" i="27"/>
  <c r="Z229" i="27"/>
  <c r="Z61" i="27" s="1"/>
  <c r="Y229" i="27"/>
  <c r="X229" i="27"/>
  <c r="W229" i="27"/>
  <c r="V229" i="27"/>
  <c r="V63" i="27" s="1"/>
  <c r="U229" i="27"/>
  <c r="T229" i="27"/>
  <c r="S229" i="27"/>
  <c r="R229" i="27"/>
  <c r="Q229" i="27"/>
  <c r="P229" i="27"/>
  <c r="O229" i="27"/>
  <c r="N229" i="27"/>
  <c r="M229" i="27"/>
  <c r="L229" i="27"/>
  <c r="K229" i="27"/>
  <c r="AB210" i="27"/>
  <c r="AB63" i="27" s="1"/>
  <c r="AA210" i="27"/>
  <c r="Z210" i="27"/>
  <c r="Y210" i="27"/>
  <c r="X210" i="27"/>
  <c r="W210" i="27"/>
  <c r="V210" i="27"/>
  <c r="U210" i="27"/>
  <c r="T210" i="27"/>
  <c r="S210" i="27"/>
  <c r="R210" i="27"/>
  <c r="Q210" i="27"/>
  <c r="P210" i="27"/>
  <c r="O210" i="27"/>
  <c r="N210" i="27"/>
  <c r="M210" i="27"/>
  <c r="L210" i="27"/>
  <c r="K210" i="27"/>
  <c r="AA178" i="27"/>
  <c r="Z178" i="27"/>
  <c r="X178" i="27"/>
  <c r="W178" i="27"/>
  <c r="V178" i="27"/>
  <c r="U178" i="27"/>
  <c r="T178" i="27"/>
  <c r="S178" i="27"/>
  <c r="S61" i="27"/>
  <c r="R178" i="27"/>
  <c r="Q178" i="27"/>
  <c r="P178" i="27"/>
  <c r="O178" i="27"/>
  <c r="N178" i="27"/>
  <c r="M178" i="27"/>
  <c r="L178" i="27"/>
  <c r="K178" i="27"/>
  <c r="K62" i="27" s="1"/>
  <c r="X140" i="27"/>
  <c r="W140" i="27"/>
  <c r="V140" i="27"/>
  <c r="U140" i="27"/>
  <c r="T140" i="27"/>
  <c r="S140" i="27"/>
  <c r="R140" i="27"/>
  <c r="Q140" i="27"/>
  <c r="P140" i="27"/>
  <c r="O140" i="27"/>
  <c r="M140" i="27"/>
  <c r="L140" i="27"/>
  <c r="K140" i="27"/>
  <c r="X102" i="27"/>
  <c r="W102" i="27"/>
  <c r="V102" i="27"/>
  <c r="U102" i="27"/>
  <c r="T102" i="27"/>
  <c r="S102" i="27"/>
  <c r="R102" i="27"/>
  <c r="Q102" i="27"/>
  <c r="P102" i="27"/>
  <c r="O102" i="27"/>
  <c r="N102" i="27"/>
  <c r="M102" i="27"/>
  <c r="M62" i="27" s="1"/>
  <c r="L102" i="27"/>
  <c r="K102" i="27"/>
  <c r="AA256" i="27"/>
  <c r="Z256" i="27"/>
  <c r="Z12" i="27" s="1"/>
  <c r="X256" i="27"/>
  <c r="X12" i="27" s="1"/>
  <c r="W256" i="27"/>
  <c r="V256" i="27"/>
  <c r="V12" i="27" s="1"/>
  <c r="U256" i="27"/>
  <c r="U12" i="27"/>
  <c r="T256" i="27"/>
  <c r="T12" i="27" s="1"/>
  <c r="S256" i="27"/>
  <c r="S12" i="27"/>
  <c r="R256" i="27"/>
  <c r="R12" i="27" s="1"/>
  <c r="Q256" i="27"/>
  <c r="Q12" i="27"/>
  <c r="P256" i="27"/>
  <c r="O256" i="27"/>
  <c r="O12" i="27" s="1"/>
  <c r="N256" i="27"/>
  <c r="N12" i="27"/>
  <c r="M256" i="27"/>
  <c r="M12" i="27" s="1"/>
  <c r="L256" i="27"/>
  <c r="L12" i="27" s="1"/>
  <c r="K256" i="27"/>
  <c r="K12" i="27" s="1"/>
  <c r="AA243" i="27"/>
  <c r="Z243" i="27"/>
  <c r="X243" i="27"/>
  <c r="W243" i="27"/>
  <c r="V243" i="27"/>
  <c r="U243" i="27"/>
  <c r="T243" i="27"/>
  <c r="S243" i="27"/>
  <c r="R243" i="27"/>
  <c r="Q243" i="27"/>
  <c r="P243" i="27"/>
  <c r="O243" i="27"/>
  <c r="N243" i="27"/>
  <c r="M243" i="27"/>
  <c r="L243" i="27"/>
  <c r="K243" i="27"/>
  <c r="AA203" i="27"/>
  <c r="Z203" i="27"/>
  <c r="X203" i="27"/>
  <c r="W203" i="27"/>
  <c r="V203" i="27"/>
  <c r="U203" i="27"/>
  <c r="T203" i="27"/>
  <c r="S203" i="27"/>
  <c r="R203" i="27"/>
  <c r="Q203" i="27"/>
  <c r="P203" i="27"/>
  <c r="O203" i="27"/>
  <c r="N203" i="27"/>
  <c r="M203" i="27"/>
  <c r="L203" i="27"/>
  <c r="K203" i="27"/>
  <c r="AB202" i="27"/>
  <c r="AA202" i="27"/>
  <c r="Z202" i="27"/>
  <c r="Y202" i="27"/>
  <c r="X202" i="27"/>
  <c r="W202" i="27"/>
  <c r="V202" i="27"/>
  <c r="U202" i="27"/>
  <c r="T202" i="27"/>
  <c r="S202" i="27"/>
  <c r="R202" i="27"/>
  <c r="Q202" i="27"/>
  <c r="P202" i="27"/>
  <c r="O202" i="27"/>
  <c r="N202" i="27"/>
  <c r="M202" i="27"/>
  <c r="L202" i="27"/>
  <c r="K202" i="27"/>
  <c r="AA201" i="27"/>
  <c r="Z201" i="27"/>
  <c r="X201" i="27"/>
  <c r="W201" i="27"/>
  <c r="V201" i="27"/>
  <c r="U201" i="27"/>
  <c r="T201" i="27"/>
  <c r="S201" i="27"/>
  <c r="R201" i="27"/>
  <c r="Q201" i="27"/>
  <c r="P201" i="27"/>
  <c r="O201" i="27"/>
  <c r="N201" i="27"/>
  <c r="M201" i="27"/>
  <c r="L201" i="27"/>
  <c r="K201" i="27"/>
  <c r="AB173" i="27"/>
  <c r="AA173" i="27"/>
  <c r="Z173" i="27"/>
  <c r="Y173" i="27"/>
  <c r="X173" i="27"/>
  <c r="W173" i="27"/>
  <c r="V173" i="27"/>
  <c r="U173" i="27"/>
  <c r="T173" i="27"/>
  <c r="S173" i="27"/>
  <c r="R173" i="27"/>
  <c r="Q173" i="27"/>
  <c r="P173" i="27"/>
  <c r="O173" i="27"/>
  <c r="N173" i="27"/>
  <c r="M173" i="27"/>
  <c r="L173" i="27"/>
  <c r="K173" i="27"/>
  <c r="AA172" i="27"/>
  <c r="Z172" i="27"/>
  <c r="X172" i="27"/>
  <c r="W172" i="27"/>
  <c r="V172" i="27"/>
  <c r="U172" i="27"/>
  <c r="T172" i="27"/>
  <c r="S172" i="27"/>
  <c r="R172" i="27"/>
  <c r="Q172" i="27"/>
  <c r="P172" i="27"/>
  <c r="O172" i="27"/>
  <c r="N172" i="27"/>
  <c r="M172" i="27"/>
  <c r="L172" i="27"/>
  <c r="K172" i="27"/>
  <c r="AB171" i="27"/>
  <c r="AA171" i="27"/>
  <c r="Z171" i="27"/>
  <c r="Y171" i="27"/>
  <c r="X171" i="27"/>
  <c r="W171" i="27"/>
  <c r="V171" i="27"/>
  <c r="U171" i="27"/>
  <c r="T171" i="27"/>
  <c r="S171" i="27"/>
  <c r="R171" i="27"/>
  <c r="Q171" i="27"/>
  <c r="P171" i="27"/>
  <c r="O171" i="27"/>
  <c r="N171" i="27"/>
  <c r="M171" i="27"/>
  <c r="L171" i="27"/>
  <c r="K171" i="27"/>
  <c r="AB135" i="27"/>
  <c r="AA135" i="27"/>
  <c r="Z135" i="27"/>
  <c r="Y135" i="27"/>
  <c r="X135" i="27"/>
  <c r="W135" i="27"/>
  <c r="V135" i="27"/>
  <c r="U135" i="27"/>
  <c r="T135" i="27"/>
  <c r="S135" i="27"/>
  <c r="R135" i="27"/>
  <c r="Q135" i="27"/>
  <c r="P135" i="27"/>
  <c r="O135" i="27"/>
  <c r="N135" i="27"/>
  <c r="M135" i="27"/>
  <c r="L135" i="27"/>
  <c r="K135" i="27"/>
  <c r="AB134" i="27"/>
  <c r="AA134" i="27"/>
  <c r="Z134" i="27"/>
  <c r="Y134" i="27"/>
  <c r="X134" i="27"/>
  <c r="W134" i="27"/>
  <c r="V134" i="27"/>
  <c r="U134" i="27"/>
  <c r="T134" i="27"/>
  <c r="S134" i="27"/>
  <c r="R134" i="27"/>
  <c r="Q134" i="27"/>
  <c r="P134" i="27"/>
  <c r="O134" i="27"/>
  <c r="N134" i="27"/>
  <c r="M134" i="27"/>
  <c r="L134" i="27"/>
  <c r="K134" i="27"/>
  <c r="AA133" i="27"/>
  <c r="X133" i="27"/>
  <c r="W133" i="27"/>
  <c r="V133" i="27"/>
  <c r="U133" i="27"/>
  <c r="T133" i="27"/>
  <c r="S133" i="27"/>
  <c r="R133" i="27"/>
  <c r="Q133" i="27"/>
  <c r="P133" i="27"/>
  <c r="O133" i="27"/>
  <c r="M133" i="27"/>
  <c r="L133" i="27"/>
  <c r="K133" i="27"/>
  <c r="AB97" i="27"/>
  <c r="AA97" i="27"/>
  <c r="Z97" i="27"/>
  <c r="Y97" i="27"/>
  <c r="X97" i="27"/>
  <c r="W97" i="27"/>
  <c r="V97" i="27"/>
  <c r="U97" i="27"/>
  <c r="T97" i="27"/>
  <c r="S97" i="27"/>
  <c r="R97" i="27"/>
  <c r="Q97" i="27"/>
  <c r="P97" i="27"/>
  <c r="O97" i="27"/>
  <c r="N97" i="27"/>
  <c r="M97" i="27"/>
  <c r="L97" i="27"/>
  <c r="K97" i="27"/>
  <c r="AB96" i="27"/>
  <c r="AA96" i="27"/>
  <c r="Z96" i="27"/>
  <c r="Y96" i="27"/>
  <c r="X96" i="27"/>
  <c r="W96" i="27"/>
  <c r="V96" i="27"/>
  <c r="U96" i="27"/>
  <c r="T96" i="27"/>
  <c r="S96" i="27"/>
  <c r="R96" i="27"/>
  <c r="Q96" i="27"/>
  <c r="P96" i="27"/>
  <c r="O96" i="27"/>
  <c r="N96" i="27"/>
  <c r="M96" i="27"/>
  <c r="L96" i="27"/>
  <c r="K96" i="27"/>
  <c r="AA95" i="27"/>
  <c r="X95" i="27"/>
  <c r="W95" i="27"/>
  <c r="V95" i="27"/>
  <c r="U95" i="27"/>
  <c r="T95" i="27"/>
  <c r="S95" i="27"/>
  <c r="R95" i="27"/>
  <c r="Q95" i="27"/>
  <c r="P95" i="27"/>
  <c r="O95" i="27"/>
  <c r="N95" i="27"/>
  <c r="M95" i="27"/>
  <c r="L95" i="27"/>
  <c r="K95" i="27"/>
  <c r="AA50" i="27"/>
  <c r="Z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AA49" i="27"/>
  <c r="X49" i="27"/>
  <c r="W49" i="27"/>
  <c r="V49" i="27"/>
  <c r="U49" i="27"/>
  <c r="T49" i="27"/>
  <c r="S49" i="27"/>
  <c r="R49" i="27"/>
  <c r="Q49" i="27"/>
  <c r="P49" i="27"/>
  <c r="O49" i="27"/>
  <c r="N49" i="27"/>
  <c r="L49" i="27"/>
  <c r="K49" i="27"/>
  <c r="AA48" i="27"/>
  <c r="X48" i="27"/>
  <c r="W48" i="27"/>
  <c r="V48" i="27"/>
  <c r="U48" i="27"/>
  <c r="T48" i="27"/>
  <c r="S48" i="27"/>
  <c r="R48" i="27"/>
  <c r="Q48" i="27"/>
  <c r="P48" i="27"/>
  <c r="O48" i="27"/>
  <c r="N48" i="27"/>
  <c r="L48" i="27"/>
  <c r="K48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AA46" i="27"/>
  <c r="Z46" i="27"/>
  <c r="X46" i="27"/>
  <c r="W46" i="27"/>
  <c r="V46" i="27"/>
  <c r="U46" i="27"/>
  <c r="T46" i="27"/>
  <c r="S46" i="27"/>
  <c r="R46" i="27"/>
  <c r="Q46" i="27"/>
  <c r="P46" i="27"/>
  <c r="O46" i="27"/>
  <c r="M46" i="27"/>
  <c r="L46" i="27"/>
  <c r="K46" i="27"/>
  <c r="AA45" i="27"/>
  <c r="Z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AA44" i="27"/>
  <c r="Z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AA43" i="27"/>
  <c r="X43" i="27"/>
  <c r="W43" i="27"/>
  <c r="V43" i="27"/>
  <c r="U43" i="27"/>
  <c r="T43" i="27"/>
  <c r="S43" i="27"/>
  <c r="R43" i="27"/>
  <c r="Q43" i="27"/>
  <c r="P43" i="27"/>
  <c r="O43" i="27"/>
  <c r="M43" i="27"/>
  <c r="L43" i="27"/>
  <c r="K43" i="27"/>
  <c r="AA42" i="27"/>
  <c r="X42" i="27"/>
  <c r="W42" i="27"/>
  <c r="V42" i="27"/>
  <c r="U42" i="27"/>
  <c r="T42" i="27"/>
  <c r="S42" i="27"/>
  <c r="R42" i="27"/>
  <c r="Q42" i="27"/>
  <c r="P42" i="27"/>
  <c r="O42" i="27"/>
  <c r="M42" i="27"/>
  <c r="L42" i="27"/>
  <c r="K42" i="27"/>
  <c r="AA200" i="27"/>
  <c r="Z200" i="27"/>
  <c r="X200" i="27"/>
  <c r="W200" i="27"/>
  <c r="V200" i="27"/>
  <c r="U200" i="27"/>
  <c r="T200" i="27"/>
  <c r="S200" i="27"/>
  <c r="R200" i="27"/>
  <c r="Q200" i="27"/>
  <c r="P200" i="27"/>
  <c r="O200" i="27"/>
  <c r="N200" i="27"/>
  <c r="L200" i="27"/>
  <c r="K200" i="27"/>
  <c r="AA199" i="27"/>
  <c r="X199" i="27"/>
  <c r="W199" i="27"/>
  <c r="V199" i="27"/>
  <c r="U199" i="27"/>
  <c r="T199" i="27"/>
  <c r="S199" i="27"/>
  <c r="R199" i="27"/>
  <c r="Q199" i="27"/>
  <c r="P199" i="27"/>
  <c r="O199" i="27"/>
  <c r="N199" i="27"/>
  <c r="M199" i="27"/>
  <c r="L199" i="27"/>
  <c r="K199" i="27"/>
  <c r="AA198" i="27"/>
  <c r="Z198" i="27"/>
  <c r="X198" i="27"/>
  <c r="W198" i="27"/>
  <c r="V198" i="27"/>
  <c r="U198" i="27"/>
  <c r="T198" i="27"/>
  <c r="S198" i="27"/>
  <c r="R198" i="27"/>
  <c r="Q198" i="27"/>
  <c r="P198" i="27"/>
  <c r="O198" i="27"/>
  <c r="N198" i="27"/>
  <c r="M198" i="27"/>
  <c r="L198" i="27"/>
  <c r="K198" i="27"/>
  <c r="AA197" i="27"/>
  <c r="Z197" i="27"/>
  <c r="X197" i="27"/>
  <c r="W197" i="27"/>
  <c r="V197" i="27"/>
  <c r="U197" i="27"/>
  <c r="T197" i="27"/>
  <c r="S197" i="27"/>
  <c r="R197" i="27"/>
  <c r="Q197" i="27"/>
  <c r="P197" i="27"/>
  <c r="O197" i="27"/>
  <c r="N197" i="27"/>
  <c r="M197" i="27"/>
  <c r="L197" i="27"/>
  <c r="K197" i="27"/>
  <c r="AA170" i="27"/>
  <c r="X170" i="27"/>
  <c r="W170" i="27"/>
  <c r="V170" i="27"/>
  <c r="U170" i="27"/>
  <c r="T170" i="27"/>
  <c r="S170" i="27"/>
  <c r="R170" i="27"/>
  <c r="Q170" i="27"/>
  <c r="P170" i="27"/>
  <c r="O170" i="27"/>
  <c r="N170" i="27"/>
  <c r="M170" i="27"/>
  <c r="L170" i="27"/>
  <c r="AA169" i="27"/>
  <c r="Z169" i="27"/>
  <c r="X169" i="27"/>
  <c r="W169" i="27"/>
  <c r="V169" i="27"/>
  <c r="U169" i="27"/>
  <c r="T169" i="27"/>
  <c r="S169" i="27"/>
  <c r="R169" i="27"/>
  <c r="Q169" i="27"/>
  <c r="P169" i="27"/>
  <c r="O169" i="27"/>
  <c r="N169" i="27"/>
  <c r="M169" i="27"/>
  <c r="L169" i="27"/>
  <c r="K169" i="27"/>
  <c r="AB168" i="27"/>
  <c r="AA168" i="27"/>
  <c r="Z168" i="27"/>
  <c r="Y168" i="27"/>
  <c r="X168" i="27"/>
  <c r="W168" i="27"/>
  <c r="V168" i="27"/>
  <c r="U168" i="27"/>
  <c r="T168" i="27"/>
  <c r="S168" i="27"/>
  <c r="R168" i="27"/>
  <c r="Q168" i="27"/>
  <c r="P168" i="27"/>
  <c r="O168" i="27"/>
  <c r="N168" i="27"/>
  <c r="M168" i="27"/>
  <c r="L168" i="27"/>
  <c r="K168" i="27"/>
  <c r="AA167" i="27"/>
  <c r="Z167" i="27"/>
  <c r="X167" i="27"/>
  <c r="W167" i="27"/>
  <c r="V167" i="27"/>
  <c r="U167" i="27"/>
  <c r="T167" i="27"/>
  <c r="S167" i="27"/>
  <c r="R167" i="27"/>
  <c r="Q167" i="27"/>
  <c r="P167" i="27"/>
  <c r="O167" i="27"/>
  <c r="N167" i="27"/>
  <c r="M167" i="27"/>
  <c r="L167" i="27"/>
  <c r="K167" i="27"/>
  <c r="AB132" i="27"/>
  <c r="AA132" i="27"/>
  <c r="Z132" i="27"/>
  <c r="Y132" i="27"/>
  <c r="X132" i="27"/>
  <c r="W132" i="27"/>
  <c r="V132" i="27"/>
  <c r="U132" i="27"/>
  <c r="T132" i="27"/>
  <c r="S132" i="27"/>
  <c r="R132" i="27"/>
  <c r="Q132" i="27"/>
  <c r="P132" i="27"/>
  <c r="O132" i="27"/>
  <c r="N132" i="27"/>
  <c r="M132" i="27"/>
  <c r="L132" i="27"/>
  <c r="K132" i="27"/>
  <c r="AB131" i="27"/>
  <c r="AA131" i="27"/>
  <c r="Z131" i="27"/>
  <c r="Y131" i="27"/>
  <c r="X131" i="27"/>
  <c r="W131" i="27"/>
  <c r="V131" i="27"/>
  <c r="U131" i="27"/>
  <c r="T131" i="27"/>
  <c r="S131" i="27"/>
  <c r="R131" i="27"/>
  <c r="Q131" i="27"/>
  <c r="P131" i="27"/>
  <c r="O131" i="27"/>
  <c r="N131" i="27"/>
  <c r="M131" i="27"/>
  <c r="L131" i="27"/>
  <c r="K131" i="27"/>
  <c r="AB130" i="27"/>
  <c r="AA130" i="27"/>
  <c r="Z130" i="27"/>
  <c r="Y130" i="27"/>
  <c r="X130" i="27"/>
  <c r="W130" i="27"/>
  <c r="V130" i="27"/>
  <c r="U130" i="27"/>
  <c r="T130" i="27"/>
  <c r="S130" i="27"/>
  <c r="R130" i="27"/>
  <c r="Q130" i="27"/>
  <c r="P130" i="27"/>
  <c r="O130" i="27"/>
  <c r="N130" i="27"/>
  <c r="M130" i="27"/>
  <c r="L130" i="27"/>
  <c r="K130" i="27"/>
  <c r="X129" i="27"/>
  <c r="W129" i="27"/>
  <c r="V129" i="27"/>
  <c r="U129" i="27"/>
  <c r="T129" i="27"/>
  <c r="S129" i="27"/>
  <c r="R129" i="27"/>
  <c r="Q129" i="27"/>
  <c r="P129" i="27"/>
  <c r="O129" i="27"/>
  <c r="N129" i="27"/>
  <c r="M129" i="27"/>
  <c r="L129" i="27"/>
  <c r="K129" i="27"/>
  <c r="AA94" i="27"/>
  <c r="Z94" i="27"/>
  <c r="X94" i="27"/>
  <c r="W94" i="27"/>
  <c r="V94" i="27"/>
  <c r="U94" i="27"/>
  <c r="T94" i="27"/>
  <c r="S94" i="27"/>
  <c r="R94" i="27"/>
  <c r="Q94" i="27"/>
  <c r="P94" i="27"/>
  <c r="O94" i="27"/>
  <c r="M94" i="27"/>
  <c r="L94" i="27"/>
  <c r="K94" i="27"/>
  <c r="AA93" i="27"/>
  <c r="Z93" i="27"/>
  <c r="X93" i="27"/>
  <c r="W93" i="27"/>
  <c r="V93" i="27"/>
  <c r="U93" i="27"/>
  <c r="T93" i="27"/>
  <c r="S93" i="27"/>
  <c r="R93" i="27"/>
  <c r="Q93" i="27"/>
  <c r="P93" i="27"/>
  <c r="O93" i="27"/>
  <c r="N93" i="27"/>
  <c r="M93" i="27"/>
  <c r="L93" i="27"/>
  <c r="K93" i="27"/>
  <c r="AA92" i="27"/>
  <c r="X92" i="27"/>
  <c r="W92" i="27"/>
  <c r="V92" i="27"/>
  <c r="U92" i="27"/>
  <c r="T92" i="27"/>
  <c r="S92" i="27"/>
  <c r="R92" i="27"/>
  <c r="Q92" i="27"/>
  <c r="P92" i="27"/>
  <c r="O92" i="27"/>
  <c r="N92" i="27"/>
  <c r="M92" i="27"/>
  <c r="L92" i="27"/>
  <c r="K92" i="27"/>
  <c r="Z91" i="27"/>
  <c r="X91" i="27"/>
  <c r="W91" i="27"/>
  <c r="V91" i="27"/>
  <c r="U91" i="27"/>
  <c r="T91" i="27"/>
  <c r="S91" i="27"/>
  <c r="R91" i="27"/>
  <c r="Q91" i="27"/>
  <c r="P91" i="27"/>
  <c r="O91" i="27"/>
  <c r="N91" i="27"/>
  <c r="M91" i="27"/>
  <c r="L91" i="27"/>
  <c r="K91" i="27"/>
  <c r="AA41" i="27"/>
  <c r="Z41" i="27"/>
  <c r="X41" i="27"/>
  <c r="W41" i="27"/>
  <c r="V41" i="27"/>
  <c r="U41" i="27"/>
  <c r="T41" i="27"/>
  <c r="S41" i="27"/>
  <c r="R41" i="27"/>
  <c r="Q41" i="27"/>
  <c r="P41" i="27"/>
  <c r="O41" i="27"/>
  <c r="N41" i="27"/>
  <c r="L41" i="27"/>
  <c r="K41" i="27"/>
  <c r="AA40" i="27"/>
  <c r="X40" i="27"/>
  <c r="W40" i="27"/>
  <c r="V40" i="27"/>
  <c r="U40" i="27"/>
  <c r="T40" i="27"/>
  <c r="S40" i="27"/>
  <c r="R40" i="27"/>
  <c r="Q40" i="27"/>
  <c r="P40" i="27"/>
  <c r="O40" i="27"/>
  <c r="M40" i="27"/>
  <c r="L40" i="27"/>
  <c r="AA39" i="27"/>
  <c r="X39" i="27"/>
  <c r="W39" i="27"/>
  <c r="V39" i="27"/>
  <c r="U39" i="27"/>
  <c r="T39" i="27"/>
  <c r="S39" i="27"/>
  <c r="R39" i="27"/>
  <c r="Q39" i="27"/>
  <c r="P39" i="27"/>
  <c r="O39" i="27"/>
  <c r="L39" i="27"/>
  <c r="AA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AA37" i="27"/>
  <c r="Z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AA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AA35" i="27"/>
  <c r="Z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AA34" i="27"/>
  <c r="X34" i="27"/>
  <c r="W34" i="27"/>
  <c r="V34" i="27"/>
  <c r="U34" i="27"/>
  <c r="T34" i="27"/>
  <c r="S34" i="27"/>
  <c r="R34" i="27"/>
  <c r="Q34" i="27"/>
  <c r="P34" i="27"/>
  <c r="O34" i="27"/>
  <c r="L34" i="27"/>
  <c r="K34" i="27"/>
  <c r="AA33" i="27"/>
  <c r="X33" i="27"/>
  <c r="W33" i="27"/>
  <c r="V33" i="27"/>
  <c r="U33" i="27"/>
  <c r="T33" i="27"/>
  <c r="S33" i="27"/>
  <c r="R33" i="27"/>
  <c r="Q33" i="27"/>
  <c r="P33" i="27"/>
  <c r="O33" i="27"/>
  <c r="L33" i="27"/>
  <c r="K33" i="27"/>
  <c r="AA32" i="27"/>
  <c r="Z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AA196" i="27"/>
  <c r="X196" i="27"/>
  <c r="W196" i="27"/>
  <c r="V196" i="27"/>
  <c r="U196" i="27"/>
  <c r="T196" i="27"/>
  <c r="S196" i="27"/>
  <c r="R196" i="27"/>
  <c r="Q196" i="27"/>
  <c r="P196" i="27"/>
  <c r="O196" i="27"/>
  <c r="N196" i="27"/>
  <c r="M196" i="27"/>
  <c r="K196" i="27"/>
  <c r="AB166" i="27"/>
  <c r="AA166" i="27"/>
  <c r="Z166" i="27"/>
  <c r="Y166" i="27"/>
  <c r="X166" i="27"/>
  <c r="W166" i="27"/>
  <c r="V166" i="27"/>
  <c r="U166" i="27"/>
  <c r="T166" i="27"/>
  <c r="S166" i="27"/>
  <c r="R166" i="27"/>
  <c r="Q166" i="27"/>
  <c r="P166" i="27"/>
  <c r="O166" i="27"/>
  <c r="N166" i="27"/>
  <c r="M166" i="27"/>
  <c r="L166" i="27"/>
  <c r="K166" i="27"/>
  <c r="AA128" i="27"/>
  <c r="Z128" i="27"/>
  <c r="X128" i="27"/>
  <c r="W128" i="27"/>
  <c r="V128" i="27"/>
  <c r="U128" i="27"/>
  <c r="T128" i="27"/>
  <c r="S128" i="27"/>
  <c r="R128" i="27"/>
  <c r="Q128" i="27"/>
  <c r="P128" i="27"/>
  <c r="O128" i="27"/>
  <c r="N128" i="27"/>
  <c r="M128" i="27"/>
  <c r="L128" i="27"/>
  <c r="K128" i="27"/>
  <c r="AA90" i="27"/>
  <c r="Z90" i="27"/>
  <c r="X90" i="27"/>
  <c r="W90" i="27"/>
  <c r="V90" i="27"/>
  <c r="U90" i="27"/>
  <c r="T90" i="27"/>
  <c r="S90" i="27"/>
  <c r="R90" i="27"/>
  <c r="Q90" i="27"/>
  <c r="P90" i="27"/>
  <c r="O90" i="27"/>
  <c r="N90" i="27"/>
  <c r="M90" i="27"/>
  <c r="L90" i="27"/>
  <c r="K90" i="27"/>
  <c r="AA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K29" i="27"/>
  <c r="AA28" i="27"/>
  <c r="Z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AA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K27" i="27"/>
  <c r="AA194" i="27"/>
  <c r="X194" i="27"/>
  <c r="W194" i="27"/>
  <c r="V194" i="27"/>
  <c r="U194" i="27"/>
  <c r="T194" i="27"/>
  <c r="S194" i="27"/>
  <c r="R194" i="27"/>
  <c r="Q194" i="27"/>
  <c r="P194" i="27"/>
  <c r="O194" i="27"/>
  <c r="N194" i="27"/>
  <c r="M194" i="27"/>
  <c r="L194" i="27"/>
  <c r="K194" i="27"/>
  <c r="AA164" i="27"/>
  <c r="Z164" i="27"/>
  <c r="X164" i="27"/>
  <c r="W164" i="27"/>
  <c r="V164" i="27"/>
  <c r="U164" i="27"/>
  <c r="T164" i="27"/>
  <c r="S164" i="27"/>
  <c r="R164" i="27"/>
  <c r="Q164" i="27"/>
  <c r="P164" i="27"/>
  <c r="O164" i="27"/>
  <c r="N164" i="27"/>
  <c r="M164" i="27"/>
  <c r="L164" i="27"/>
  <c r="K164" i="27"/>
  <c r="AB126" i="27"/>
  <c r="AA126" i="27"/>
  <c r="Z126" i="27"/>
  <c r="Y126" i="27"/>
  <c r="X126" i="27"/>
  <c r="W126" i="27"/>
  <c r="V126" i="27"/>
  <c r="U126" i="27"/>
  <c r="T126" i="27"/>
  <c r="S126" i="27"/>
  <c r="R126" i="27"/>
  <c r="Q126" i="27"/>
  <c r="P126" i="27"/>
  <c r="O126" i="27"/>
  <c r="N126" i="27"/>
  <c r="M126" i="27"/>
  <c r="L126" i="27"/>
  <c r="K126" i="27"/>
  <c r="AA88" i="27"/>
  <c r="Z88" i="27"/>
  <c r="X88" i="27"/>
  <c r="W88" i="27"/>
  <c r="V88" i="27"/>
  <c r="U88" i="27"/>
  <c r="T88" i="27"/>
  <c r="S88" i="27"/>
  <c r="R88" i="27"/>
  <c r="Q88" i="27"/>
  <c r="P88" i="27"/>
  <c r="O88" i="27"/>
  <c r="N88" i="27"/>
  <c r="M88" i="27"/>
  <c r="L88" i="27"/>
  <c r="K88" i="27"/>
  <c r="AA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AA24" i="27"/>
  <c r="Z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AA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AA22" i="27"/>
  <c r="Z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AA19" i="27"/>
  <c r="Z19" i="27"/>
  <c r="X19" i="27"/>
  <c r="W19" i="27"/>
  <c r="V19" i="27"/>
  <c r="U19" i="27"/>
  <c r="T19" i="27"/>
  <c r="S19" i="27"/>
  <c r="R19" i="27"/>
  <c r="Q19" i="27"/>
  <c r="P19" i="27"/>
  <c r="O19" i="27"/>
  <c r="N19" i="27"/>
  <c r="L19" i="27"/>
  <c r="K19" i="27"/>
  <c r="AA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K16" i="27"/>
  <c r="AA193" i="27"/>
  <c r="Z193" i="27"/>
  <c r="X193" i="27"/>
  <c r="W193" i="27"/>
  <c r="V193" i="27"/>
  <c r="U193" i="27"/>
  <c r="T193" i="27"/>
  <c r="S193" i="27"/>
  <c r="R193" i="27"/>
  <c r="Q193" i="27"/>
  <c r="P193" i="27"/>
  <c r="O193" i="27"/>
  <c r="N193" i="27"/>
  <c r="M193" i="27"/>
  <c r="L193" i="27"/>
  <c r="K193" i="27"/>
  <c r="AB163" i="27"/>
  <c r="AA163" i="27"/>
  <c r="Z163" i="27"/>
  <c r="Y163" i="27"/>
  <c r="X163" i="27"/>
  <c r="W163" i="27"/>
  <c r="V163" i="27"/>
  <c r="U163" i="27"/>
  <c r="T163" i="27"/>
  <c r="S163" i="27"/>
  <c r="R163" i="27"/>
  <c r="Q163" i="27"/>
  <c r="P163" i="27"/>
  <c r="O163" i="27"/>
  <c r="N163" i="27"/>
  <c r="M163" i="27"/>
  <c r="L163" i="27"/>
  <c r="K163" i="27"/>
  <c r="AB125" i="27"/>
  <c r="AA125" i="27"/>
  <c r="Z125" i="27"/>
  <c r="Y125" i="27"/>
  <c r="X125" i="27"/>
  <c r="W125" i="27"/>
  <c r="V125" i="27"/>
  <c r="U125" i="27"/>
  <c r="T125" i="27"/>
  <c r="S125" i="27"/>
  <c r="R125" i="27"/>
  <c r="Q125" i="27"/>
  <c r="P125" i="27"/>
  <c r="O125" i="27"/>
  <c r="N125" i="27"/>
  <c r="M125" i="27"/>
  <c r="L125" i="27"/>
  <c r="K125" i="27"/>
  <c r="AA87" i="27"/>
  <c r="X87" i="27"/>
  <c r="W87" i="27"/>
  <c r="V87" i="27"/>
  <c r="U87" i="27"/>
  <c r="T87" i="27"/>
  <c r="S87" i="27"/>
  <c r="R87" i="27"/>
  <c r="Q87" i="27"/>
  <c r="P87" i="27"/>
  <c r="O87" i="27"/>
  <c r="N87" i="27"/>
  <c r="M87" i="27"/>
  <c r="L87" i="27"/>
  <c r="K87" i="27"/>
  <c r="AA21" i="27"/>
  <c r="X21" i="27"/>
  <c r="W21" i="27"/>
  <c r="V21" i="27"/>
  <c r="U21" i="27"/>
  <c r="T21" i="27"/>
  <c r="S21" i="27"/>
  <c r="R21" i="27"/>
  <c r="Q21" i="27"/>
  <c r="P21" i="27"/>
  <c r="O21" i="27"/>
  <c r="L21" i="27"/>
  <c r="K21" i="27"/>
  <c r="AA20" i="27"/>
  <c r="X20" i="27"/>
  <c r="W20" i="27"/>
  <c r="V20" i="27"/>
  <c r="U20" i="27"/>
  <c r="T20" i="27"/>
  <c r="S20" i="27"/>
  <c r="R20" i="27"/>
  <c r="Q20" i="27"/>
  <c r="P20" i="27"/>
  <c r="O20" i="27"/>
  <c r="L20" i="27"/>
  <c r="K20" i="27"/>
  <c r="AA192" i="27"/>
  <c r="Z192" i="27"/>
  <c r="X192" i="27"/>
  <c r="W192" i="27"/>
  <c r="V192" i="27"/>
  <c r="U192" i="27"/>
  <c r="T192" i="27"/>
  <c r="S192" i="27"/>
  <c r="R192" i="27"/>
  <c r="Q192" i="27"/>
  <c r="P192" i="27"/>
  <c r="O192" i="27"/>
  <c r="N192" i="27"/>
  <c r="L192" i="27"/>
  <c r="K192" i="27"/>
  <c r="AA162" i="27"/>
  <c r="X162" i="27"/>
  <c r="W162" i="27"/>
  <c r="V162" i="27"/>
  <c r="U162" i="27"/>
  <c r="T162" i="27"/>
  <c r="S162" i="27"/>
  <c r="R162" i="27"/>
  <c r="Q162" i="27"/>
  <c r="P162" i="27"/>
  <c r="P160" i="27" s="1"/>
  <c r="O162" i="27"/>
  <c r="N162" i="27"/>
  <c r="M162" i="27"/>
  <c r="M160" i="27" s="1"/>
  <c r="L162" i="27"/>
  <c r="AB124" i="27"/>
  <c r="AA124" i="27"/>
  <c r="Z124" i="27"/>
  <c r="Y124" i="27"/>
  <c r="X124" i="27"/>
  <c r="W124" i="27"/>
  <c r="V124" i="27"/>
  <c r="U124" i="27"/>
  <c r="T124" i="27"/>
  <c r="S124" i="27"/>
  <c r="R124" i="27"/>
  <c r="Q124" i="27"/>
  <c r="P124" i="27"/>
  <c r="O124" i="27"/>
  <c r="N124" i="27"/>
  <c r="M124" i="27"/>
  <c r="L124" i="27"/>
  <c r="K124" i="27"/>
  <c r="AA86" i="27"/>
  <c r="Z86" i="27"/>
  <c r="X86" i="27"/>
  <c r="W86" i="27"/>
  <c r="V86" i="27"/>
  <c r="U86" i="27"/>
  <c r="T86" i="27"/>
  <c r="S86" i="27"/>
  <c r="R86" i="27"/>
  <c r="Q86" i="27"/>
  <c r="P86" i="27"/>
  <c r="O86" i="27"/>
  <c r="M86" i="27"/>
  <c r="L86" i="27"/>
  <c r="K86" i="27"/>
  <c r="AA18" i="27"/>
  <c r="X18" i="27"/>
  <c r="W18" i="27"/>
  <c r="V18" i="27"/>
  <c r="U18" i="27"/>
  <c r="T18" i="27"/>
  <c r="S18" i="27"/>
  <c r="R18" i="27"/>
  <c r="Q18" i="27"/>
  <c r="P18" i="27"/>
  <c r="O18" i="27"/>
  <c r="M18" i="27"/>
  <c r="L18" i="27"/>
  <c r="AA17" i="27"/>
  <c r="X17" i="27"/>
  <c r="W17" i="27"/>
  <c r="V17" i="27"/>
  <c r="U17" i="27"/>
  <c r="T17" i="27"/>
  <c r="S17" i="27"/>
  <c r="R17" i="27"/>
  <c r="Q17" i="27"/>
  <c r="P17" i="27"/>
  <c r="O17" i="27"/>
  <c r="L17" i="27"/>
  <c r="AA191" i="27"/>
  <c r="X191" i="27"/>
  <c r="W191" i="27"/>
  <c r="V191" i="27"/>
  <c r="U191" i="27"/>
  <c r="T191" i="27"/>
  <c r="S191" i="27"/>
  <c r="R191" i="27"/>
  <c r="Q191" i="27"/>
  <c r="P191" i="27"/>
  <c r="O191" i="27"/>
  <c r="N191" i="27"/>
  <c r="M191" i="27"/>
  <c r="K191" i="27"/>
  <c r="AA161" i="27"/>
  <c r="Z161" i="27"/>
  <c r="X161" i="27"/>
  <c r="W161" i="27"/>
  <c r="W160" i="27" s="1"/>
  <c r="V161" i="27"/>
  <c r="U161" i="27"/>
  <c r="T161" i="27"/>
  <c r="S161" i="27"/>
  <c r="R161" i="27"/>
  <c r="Q161" i="27"/>
  <c r="P161" i="27"/>
  <c r="O161" i="27"/>
  <c r="O160" i="27" s="1"/>
  <c r="N161" i="27"/>
  <c r="M161" i="27"/>
  <c r="L161" i="27"/>
  <c r="K161" i="27"/>
  <c r="X123" i="27"/>
  <c r="W123" i="27"/>
  <c r="V123" i="27"/>
  <c r="U123" i="27"/>
  <c r="T123" i="27"/>
  <c r="S123" i="27"/>
  <c r="R123" i="27"/>
  <c r="Q123" i="27"/>
  <c r="P123" i="27"/>
  <c r="O123" i="27"/>
  <c r="M123" i="27"/>
  <c r="L123" i="27"/>
  <c r="K123" i="27"/>
  <c r="X85" i="27"/>
  <c r="W85" i="27"/>
  <c r="V85" i="27"/>
  <c r="V84" i="27" s="1"/>
  <c r="U85" i="27"/>
  <c r="T85" i="27"/>
  <c r="S85" i="27"/>
  <c r="R85" i="27"/>
  <c r="Q85" i="27"/>
  <c r="P85" i="27"/>
  <c r="O85" i="27"/>
  <c r="N85" i="27"/>
  <c r="M85" i="27"/>
  <c r="L85" i="27"/>
  <c r="K85" i="27"/>
  <c r="X15" i="27"/>
  <c r="W15" i="27"/>
  <c r="V15" i="27"/>
  <c r="U15" i="27"/>
  <c r="T15" i="27"/>
  <c r="S15" i="27"/>
  <c r="R15" i="27"/>
  <c r="Q15" i="27"/>
  <c r="P15" i="27"/>
  <c r="O15" i="27"/>
  <c r="M15" i="27"/>
  <c r="L15" i="27"/>
  <c r="K15" i="27"/>
  <c r="X14" i="27"/>
  <c r="W14" i="27"/>
  <c r="V14" i="27"/>
  <c r="U14" i="27"/>
  <c r="T14" i="27"/>
  <c r="S14" i="27"/>
  <c r="R14" i="27"/>
  <c r="Q14" i="27"/>
  <c r="P14" i="27"/>
  <c r="O14" i="27"/>
  <c r="M14" i="27"/>
  <c r="K14" i="27"/>
  <c r="Z16" i="27"/>
  <c r="Z29" i="27"/>
  <c r="Z196" i="27"/>
  <c r="Z27" i="27"/>
  <c r="Z191" i="27"/>
  <c r="Y223" i="27"/>
  <c r="AB223" i="27"/>
  <c r="Y222" i="27"/>
  <c r="AB222" i="27" s="1"/>
  <c r="Y221" i="27"/>
  <c r="Y220" i="27"/>
  <c r="AB220" i="27"/>
  <c r="Y219" i="27"/>
  <c r="Y204" i="27"/>
  <c r="Y53" i="27"/>
  <c r="Y51" i="27"/>
  <c r="N104" i="27"/>
  <c r="N40" i="27"/>
  <c r="N18" i="27"/>
  <c r="N94" i="27"/>
  <c r="N86" i="27"/>
  <c r="N39" i="27"/>
  <c r="N17" i="27"/>
  <c r="Z133" i="27"/>
  <c r="N42" i="27"/>
  <c r="N123" i="27"/>
  <c r="N122" i="27" s="1"/>
  <c r="N15" i="27"/>
  <c r="N43" i="27"/>
  <c r="N133" i="27"/>
  <c r="N140" i="27"/>
  <c r="N14" i="27"/>
  <c r="Y211" i="27"/>
  <c r="AA123" i="27"/>
  <c r="AA140" i="27"/>
  <c r="AA62" i="27" s="1"/>
  <c r="AA129" i="27"/>
  <c r="Z129" i="27"/>
  <c r="Z30" i="27"/>
  <c r="Z31" i="27"/>
  <c r="Z123" i="27"/>
  <c r="Z140" i="27"/>
  <c r="Z92" i="27"/>
  <c r="Z87" i="27"/>
  <c r="Z105" i="27"/>
  <c r="Z39" i="27"/>
  <c r="Z17" i="27"/>
  <c r="Z162" i="27"/>
  <c r="Z160" i="27" s="1"/>
  <c r="Z18" i="27"/>
  <c r="Z170" i="27"/>
  <c r="Z180" i="27"/>
  <c r="AA15" i="27"/>
  <c r="AA102" i="27"/>
  <c r="AA31" i="27"/>
  <c r="AA85" i="27"/>
  <c r="AA91" i="27"/>
  <c r="AA30" i="27"/>
  <c r="AA14" i="27"/>
  <c r="Z14" i="27"/>
  <c r="Z15" i="27"/>
  <c r="Z42" i="27"/>
  <c r="Z102" i="27"/>
  <c r="Z95" i="27"/>
  <c r="Z43" i="27"/>
  <c r="Z85" i="27"/>
  <c r="M33" i="27"/>
  <c r="M34" i="27"/>
  <c r="M21" i="27"/>
  <c r="M20" i="27"/>
  <c r="M200" i="27"/>
  <c r="M39" i="27"/>
  <c r="M192" i="27"/>
  <c r="M17" i="27"/>
  <c r="M19" i="27"/>
  <c r="M41" i="27"/>
  <c r="M48" i="27"/>
  <c r="M49" i="27"/>
  <c r="Z34" i="27"/>
  <c r="Z33" i="27"/>
  <c r="N33" i="27"/>
  <c r="N20" i="27"/>
  <c r="N34" i="27"/>
  <c r="N21" i="27"/>
  <c r="M115" i="27"/>
  <c r="M83" i="27" s="1"/>
  <c r="N115" i="27"/>
  <c r="O115" i="27"/>
  <c r="P115" i="27"/>
  <c r="P83" i="27" s="1"/>
  <c r="Q115" i="27"/>
  <c r="Q83" i="27" s="1"/>
  <c r="R115" i="27"/>
  <c r="S115" i="27"/>
  <c r="T115" i="27"/>
  <c r="U115" i="27"/>
  <c r="U83" i="27" s="1"/>
  <c r="V115" i="27"/>
  <c r="W115" i="27"/>
  <c r="X115" i="27"/>
  <c r="Z115" i="27"/>
  <c r="Z83" i="27" s="1"/>
  <c r="Z84" i="27" s="1"/>
  <c r="AA115" i="27"/>
  <c r="L191" i="27"/>
  <c r="L14" i="27"/>
  <c r="L16" i="27"/>
  <c r="L29" i="27"/>
  <c r="L196" i="27"/>
  <c r="L27" i="27"/>
  <c r="K180" i="27"/>
  <c r="K68" i="27" s="1"/>
  <c r="K40" i="27"/>
  <c r="K18" i="27"/>
  <c r="K170" i="27"/>
  <c r="K39" i="27"/>
  <c r="K162" i="27"/>
  <c r="K17" i="27"/>
  <c r="L115" i="27"/>
  <c r="Y267" i="27"/>
  <c r="Y262" i="27" s="1"/>
  <c r="Y70" i="27" s="1"/>
  <c r="K115" i="27"/>
  <c r="L110" i="27"/>
  <c r="Y254" i="27"/>
  <c r="Y187" i="27"/>
  <c r="Y186" i="27"/>
  <c r="Y157" i="27"/>
  <c r="AB157" i="27" s="1"/>
  <c r="Y156" i="27"/>
  <c r="AB156" i="27"/>
  <c r="Y155" i="27"/>
  <c r="AB155" i="27" s="1"/>
  <c r="Y240" i="27"/>
  <c r="AB240" i="27"/>
  <c r="Y239" i="27"/>
  <c r="Y238" i="27"/>
  <c r="AB238" i="27" s="1"/>
  <c r="Y154" i="27"/>
  <c r="AB154" i="27" s="1"/>
  <c r="Y153" i="27"/>
  <c r="AB153" i="27" s="1"/>
  <c r="Y152" i="27"/>
  <c r="AB152" i="27" s="1"/>
  <c r="Y151" i="27"/>
  <c r="AB151" i="27" s="1"/>
  <c r="Y150" i="27"/>
  <c r="Y149" i="27"/>
  <c r="AB149" i="27" s="1"/>
  <c r="Y112" i="27"/>
  <c r="Y113" i="27"/>
  <c r="AB113" i="27" s="1"/>
  <c r="Y114" i="27"/>
  <c r="Y111" i="27"/>
  <c r="R265" i="27"/>
  <c r="Q265" i="27"/>
  <c r="Q79" i="27" s="1"/>
  <c r="R252" i="27"/>
  <c r="Q252" i="27"/>
  <c r="R237" i="27"/>
  <c r="R226" i="27"/>
  <c r="R227" i="27" s="1"/>
  <c r="Q237" i="27"/>
  <c r="Q226" i="27" s="1"/>
  <c r="R235" i="27"/>
  <c r="Q235" i="27"/>
  <c r="R218" i="27"/>
  <c r="R207" i="27" s="1"/>
  <c r="Q218" i="27"/>
  <c r="Q207" i="27" s="1"/>
  <c r="R216" i="27"/>
  <c r="Q216" i="27"/>
  <c r="R159" i="27"/>
  <c r="R176" i="27" s="1"/>
  <c r="Q159" i="27"/>
  <c r="R184" i="27"/>
  <c r="Q184" i="27"/>
  <c r="R148" i="27"/>
  <c r="R121" i="27" s="1"/>
  <c r="R122" i="27" s="1"/>
  <c r="Q148" i="27"/>
  <c r="Q121" i="27" s="1"/>
  <c r="R146" i="27"/>
  <c r="Q146" i="27"/>
  <c r="R110" i="27"/>
  <c r="Q110" i="27"/>
  <c r="R108" i="27"/>
  <c r="Q108" i="27"/>
  <c r="Q80" i="27" s="1"/>
  <c r="S265" i="27"/>
  <c r="P265" i="27"/>
  <c r="P12" i="27"/>
  <c r="S252" i="27"/>
  <c r="P252" i="27"/>
  <c r="S237" i="27"/>
  <c r="S226" i="27" s="1"/>
  <c r="P237" i="27"/>
  <c r="P226" i="27"/>
  <c r="P10" i="27" s="1"/>
  <c r="S235" i="27"/>
  <c r="P235" i="27"/>
  <c r="S218" i="27"/>
  <c r="S207" i="27"/>
  <c r="P218" i="27"/>
  <c r="P207" i="27" s="1"/>
  <c r="S216" i="27"/>
  <c r="P216" i="27"/>
  <c r="S159" i="27"/>
  <c r="P159" i="27"/>
  <c r="S184" i="27"/>
  <c r="P184" i="27"/>
  <c r="S148" i="27"/>
  <c r="S121" i="27" s="1"/>
  <c r="P148" i="27"/>
  <c r="P121" i="27"/>
  <c r="S146" i="27"/>
  <c r="P146" i="27"/>
  <c r="S110" i="27"/>
  <c r="P110" i="27"/>
  <c r="S108" i="27"/>
  <c r="P108" i="27"/>
  <c r="T265" i="27"/>
  <c r="O265" i="27"/>
  <c r="N265" i="27"/>
  <c r="M265" i="27"/>
  <c r="T252" i="27"/>
  <c r="O252" i="27"/>
  <c r="N252" i="27"/>
  <c r="M252" i="27"/>
  <c r="T237" i="27"/>
  <c r="T226" i="27" s="1"/>
  <c r="O237" i="27"/>
  <c r="O226" i="27" s="1"/>
  <c r="N237" i="27"/>
  <c r="N226" i="27"/>
  <c r="M237" i="27"/>
  <c r="M226" i="27" s="1"/>
  <c r="T235" i="27"/>
  <c r="O235" i="27"/>
  <c r="N235" i="27"/>
  <c r="M235" i="27"/>
  <c r="T218" i="27"/>
  <c r="T207" i="27" s="1"/>
  <c r="O218" i="27"/>
  <c r="O207" i="27" s="1"/>
  <c r="N218" i="27"/>
  <c r="N207" i="27" s="1"/>
  <c r="M218" i="27"/>
  <c r="M207" i="27" s="1"/>
  <c r="T216" i="27"/>
  <c r="O216" i="27"/>
  <c r="O81" i="27" s="1"/>
  <c r="N216" i="27"/>
  <c r="M216" i="27"/>
  <c r="T159" i="27"/>
  <c r="O159" i="27"/>
  <c r="N159" i="27"/>
  <c r="M159" i="27"/>
  <c r="T184" i="27"/>
  <c r="O184" i="27"/>
  <c r="N184" i="27"/>
  <c r="M184" i="27"/>
  <c r="T148" i="27"/>
  <c r="T121" i="27" s="1"/>
  <c r="O148" i="27"/>
  <c r="O121" i="27" s="1"/>
  <c r="N148" i="27"/>
  <c r="N121" i="27"/>
  <c r="M148" i="27"/>
  <c r="M121" i="27" s="1"/>
  <c r="T146" i="27"/>
  <c r="O146" i="27"/>
  <c r="N146" i="27"/>
  <c r="M146" i="27"/>
  <c r="T110" i="27"/>
  <c r="O110" i="27"/>
  <c r="N110" i="27"/>
  <c r="M110" i="27"/>
  <c r="T108" i="27"/>
  <c r="O108" i="27"/>
  <c r="N108" i="27"/>
  <c r="M108" i="27"/>
  <c r="M80" i="27" s="1"/>
  <c r="U265" i="27"/>
  <c r="U252" i="27"/>
  <c r="U237" i="27"/>
  <c r="U226" i="27" s="1"/>
  <c r="U235" i="27"/>
  <c r="U218" i="27"/>
  <c r="U207" i="27" s="1"/>
  <c r="U216" i="27"/>
  <c r="U159" i="27"/>
  <c r="U184" i="27"/>
  <c r="U148" i="27"/>
  <c r="U121" i="27" s="1"/>
  <c r="U146" i="27"/>
  <c r="U110" i="27"/>
  <c r="U108" i="27"/>
  <c r="V265" i="27"/>
  <c r="V252" i="27"/>
  <c r="V237" i="27"/>
  <c r="V226" i="27"/>
  <c r="V235" i="27"/>
  <c r="V218" i="27"/>
  <c r="V207" i="27" s="1"/>
  <c r="V216" i="27"/>
  <c r="V159" i="27"/>
  <c r="V184" i="27"/>
  <c r="V148" i="27"/>
  <c r="V121" i="27"/>
  <c r="V146" i="27"/>
  <c r="V138" i="27" s="1"/>
  <c r="V110" i="27"/>
  <c r="V83" i="27" s="1"/>
  <c r="V108" i="27"/>
  <c r="W265" i="27"/>
  <c r="W252" i="27"/>
  <c r="W237" i="27"/>
  <c r="W226" i="27" s="1"/>
  <c r="W235" i="27"/>
  <c r="W218" i="27"/>
  <c r="W207" i="27"/>
  <c r="W216" i="27"/>
  <c r="W159" i="27"/>
  <c r="W184" i="27"/>
  <c r="W148" i="27"/>
  <c r="W121" i="27" s="1"/>
  <c r="W146" i="27"/>
  <c r="W110" i="27"/>
  <c r="W108" i="27"/>
  <c r="X265" i="27"/>
  <c r="X252" i="27"/>
  <c r="X237" i="27"/>
  <c r="X226" i="27"/>
  <c r="X235" i="27"/>
  <c r="X218" i="27"/>
  <c r="X207" i="27" s="1"/>
  <c r="X216" i="27"/>
  <c r="X159" i="27"/>
  <c r="X184" i="27"/>
  <c r="X148" i="27"/>
  <c r="X121" i="27" s="1"/>
  <c r="X146" i="27"/>
  <c r="X110" i="27"/>
  <c r="X83" i="27" s="1"/>
  <c r="X100" i="27" s="1"/>
  <c r="X108" i="27"/>
  <c r="AB265" i="27"/>
  <c r="AA265" i="27"/>
  <c r="Z265" i="27"/>
  <c r="Y265" i="27"/>
  <c r="L265" i="27"/>
  <c r="K265" i="27"/>
  <c r="AB252" i="27"/>
  <c r="AA252" i="27"/>
  <c r="Z252" i="27"/>
  <c r="Y252" i="27"/>
  <c r="L252" i="27"/>
  <c r="K252" i="27"/>
  <c r="AB235" i="27"/>
  <c r="AA235" i="27"/>
  <c r="Z235" i="27"/>
  <c r="Z81" i="27" s="1"/>
  <c r="Y235" i="27"/>
  <c r="Y81" i="27" s="1"/>
  <c r="L235" i="27"/>
  <c r="K235" i="27"/>
  <c r="AB216" i="27"/>
  <c r="AB81" i="27" s="1"/>
  <c r="AA216" i="27"/>
  <c r="Z216" i="27"/>
  <c r="Y216" i="27"/>
  <c r="L216" i="27"/>
  <c r="L81" i="27" s="1"/>
  <c r="K216" i="27"/>
  <c r="L184" i="27"/>
  <c r="Y184" i="27"/>
  <c r="Z184" i="27"/>
  <c r="AA184" i="27"/>
  <c r="AB184" i="27"/>
  <c r="K184" i="27"/>
  <c r="L146" i="27"/>
  <c r="L80" i="27" s="1"/>
  <c r="Y146" i="27"/>
  <c r="Z146" i="27"/>
  <c r="AA146" i="27"/>
  <c r="AB146" i="27"/>
  <c r="K146" i="27"/>
  <c r="L108" i="27"/>
  <c r="Y108" i="27"/>
  <c r="Z108" i="27"/>
  <c r="Z79" i="27" s="1"/>
  <c r="AA108" i="27"/>
  <c r="AA79" i="27" s="1"/>
  <c r="AB108" i="27"/>
  <c r="K108" i="27"/>
  <c r="AA237" i="27"/>
  <c r="AA226" i="27" s="1"/>
  <c r="AA227" i="27" s="1"/>
  <c r="Z237" i="27"/>
  <c r="Z226" i="27" s="1"/>
  <c r="AA218" i="27"/>
  <c r="AA207" i="27"/>
  <c r="Z218" i="27"/>
  <c r="Z207" i="27" s="1"/>
  <c r="Z208" i="27" s="1"/>
  <c r="AA159" i="27"/>
  <c r="Z159" i="27"/>
  <c r="AA148" i="27"/>
  <c r="AA121" i="27" s="1"/>
  <c r="Z148" i="27"/>
  <c r="Z121" i="27"/>
  <c r="AA110" i="27"/>
  <c r="AA83" i="27" s="1"/>
  <c r="Z110" i="27"/>
  <c r="K110" i="27"/>
  <c r="K148" i="27"/>
  <c r="K121" i="27" s="1"/>
  <c r="L148" i="27"/>
  <c r="L121" i="27" s="1"/>
  <c r="K159" i="27"/>
  <c r="L159" i="27"/>
  <c r="K218" i="27"/>
  <c r="K207" i="27" s="1"/>
  <c r="L218" i="27"/>
  <c r="L207" i="27" s="1"/>
  <c r="K237" i="27"/>
  <c r="K226" i="27" s="1"/>
  <c r="L237" i="27"/>
  <c r="L226" i="27"/>
  <c r="E10" i="8"/>
  <c r="F10" i="8"/>
  <c r="G10" i="8"/>
  <c r="I10" i="8"/>
  <c r="I77" i="8" s="1"/>
  <c r="J10" i="8"/>
  <c r="E12" i="8"/>
  <c r="E83" i="8" s="1"/>
  <c r="F12" i="8"/>
  <c r="G12" i="8"/>
  <c r="G83" i="8" s="1"/>
  <c r="I12" i="8"/>
  <c r="I83" i="8"/>
  <c r="J12" i="8"/>
  <c r="J83" i="8" s="1"/>
  <c r="K12" i="8"/>
  <c r="K83" i="8"/>
  <c r="H14" i="8"/>
  <c r="H10" i="8" s="1"/>
  <c r="H15" i="8"/>
  <c r="E27" i="8"/>
  <c r="E28" i="8"/>
  <c r="F27" i="8"/>
  <c r="G27" i="8"/>
  <c r="I27" i="8"/>
  <c r="I28" i="8"/>
  <c r="K29" i="8"/>
  <c r="E31" i="8"/>
  <c r="J35" i="8"/>
  <c r="J36" i="8"/>
  <c r="J38" i="8"/>
  <c r="J39" i="8"/>
  <c r="J41" i="8"/>
  <c r="J42" i="8"/>
  <c r="J43" i="8"/>
  <c r="J47" i="8"/>
  <c r="J50" i="8"/>
  <c r="J51" i="8"/>
  <c r="J52" i="8"/>
  <c r="J53" i="8"/>
  <c r="H62" i="8"/>
  <c r="H27" i="8" s="1"/>
  <c r="K68" i="8"/>
  <c r="K69" i="8"/>
  <c r="E73" i="8"/>
  <c r="K73" i="8"/>
  <c r="AB204" i="27"/>
  <c r="AB53" i="27"/>
  <c r="AB51" i="27"/>
  <c r="Y170" i="27"/>
  <c r="Y129" i="27"/>
  <c r="AB211" i="27"/>
  <c r="Y102" i="27"/>
  <c r="Y31" i="27"/>
  <c r="Y91" i="27"/>
  <c r="Y30" i="27"/>
  <c r="Y107" i="27"/>
  <c r="Y24" i="27"/>
  <c r="Y23" i="27"/>
  <c r="Y88" i="27"/>
  <c r="Y199" i="27"/>
  <c r="Y25" i="27"/>
  <c r="Y38" i="27"/>
  <c r="Y194" i="27"/>
  <c r="Y50" i="27"/>
  <c r="Y203" i="27"/>
  <c r="Y193" i="27"/>
  <c r="Y22" i="27"/>
  <c r="Y197" i="27"/>
  <c r="Y32" i="27"/>
  <c r="Y198" i="27"/>
  <c r="Y35" i="27"/>
  <c r="Y95" i="27"/>
  <c r="Y104" i="27"/>
  <c r="Y40" i="27"/>
  <c r="Y86" i="27"/>
  <c r="Y94" i="27"/>
  <c r="Y183" i="27"/>
  <c r="Y169" i="27"/>
  <c r="Y164" i="27"/>
  <c r="Y178" i="27"/>
  <c r="Y161" i="27"/>
  <c r="Y167" i="27"/>
  <c r="Y139" i="27"/>
  <c r="Y128" i="27"/>
  <c r="AB107" i="27"/>
  <c r="AB88" i="27"/>
  <c r="Y49" i="27"/>
  <c r="Y48" i="27"/>
  <c r="Z49" i="27"/>
  <c r="Z48" i="27"/>
  <c r="Y201" i="27"/>
  <c r="Y44" i="27"/>
  <c r="Y105" i="27"/>
  <c r="Y21" i="27"/>
  <c r="Y92" i="27"/>
  <c r="Y20" i="27"/>
  <c r="Y34" i="27"/>
  <c r="Y33" i="27"/>
  <c r="Y87" i="27"/>
  <c r="AB170" i="27"/>
  <c r="AB24" i="27"/>
  <c r="AB194" i="27"/>
  <c r="AB197" i="27"/>
  <c r="AB139" i="27"/>
  <c r="AB128" i="27"/>
  <c r="AB102" i="27"/>
  <c r="AB31" i="27"/>
  <c r="AB91" i="27"/>
  <c r="AB30" i="27"/>
  <c r="AB105" i="27"/>
  <c r="AB71" i="27" s="1"/>
  <c r="AB87" i="27"/>
  <c r="AB92" i="27"/>
  <c r="Z199" i="27"/>
  <c r="Z38" i="27"/>
  <c r="Z23" i="27"/>
  <c r="Z194" i="27"/>
  <c r="Z36" i="27"/>
  <c r="Z25" i="27"/>
  <c r="AB201" i="27"/>
  <c r="AB44" i="27"/>
  <c r="AB129" i="27"/>
  <c r="AB23" i="27"/>
  <c r="AB32" i="27"/>
  <c r="AB203" i="27"/>
  <c r="AB193" i="27"/>
  <c r="Z20" i="27"/>
  <c r="Z21" i="27"/>
  <c r="AB104" i="27"/>
  <c r="AB94" i="27"/>
  <c r="AB40" i="27"/>
  <c r="AB86" i="27"/>
  <c r="AB35" i="27"/>
  <c r="AB199" i="27"/>
  <c r="AB22" i="27"/>
  <c r="AB198" i="27"/>
  <c r="AB38" i="27"/>
  <c r="AB183" i="27"/>
  <c r="AB164" i="27"/>
  <c r="AB169" i="27"/>
  <c r="AB178" i="27"/>
  <c r="AB161" i="27"/>
  <c r="AB167" i="27"/>
  <c r="AB95" i="27"/>
  <c r="AB50" i="27"/>
  <c r="AB25" i="27"/>
  <c r="AB34" i="27"/>
  <c r="AB49" i="27"/>
  <c r="AB48" i="27"/>
  <c r="AB21" i="27"/>
  <c r="AB20" i="27"/>
  <c r="AB33" i="27"/>
  <c r="L68" i="27"/>
  <c r="T83" i="27"/>
  <c r="P66" i="27"/>
  <c r="S71" i="27"/>
  <c r="AB78" i="27"/>
  <c r="Y37" i="27"/>
  <c r="AA244" i="27"/>
  <c r="L70" i="27"/>
  <c r="W65" i="27"/>
  <c r="Z63" i="27"/>
  <c r="P60" i="27"/>
  <c r="T60" i="27"/>
  <c r="V64" i="27"/>
  <c r="Z65" i="27"/>
  <c r="AB65" i="27"/>
  <c r="L66" i="27"/>
  <c r="N66" i="27"/>
  <c r="V66" i="27"/>
  <c r="S69" i="27"/>
  <c r="W69" i="27"/>
  <c r="U69" i="27"/>
  <c r="N72" i="27"/>
  <c r="L72" i="27"/>
  <c r="P72" i="27"/>
  <c r="T77" i="27"/>
  <c r="V77" i="27"/>
  <c r="T78" i="27"/>
  <c r="L75" i="27"/>
  <c r="AB75" i="27"/>
  <c r="N75" i="27"/>
  <c r="Z75" i="27"/>
  <c r="M68" i="27"/>
  <c r="U68" i="27"/>
  <c r="L83" i="27"/>
  <c r="T61" i="27"/>
  <c r="X68" i="27"/>
  <c r="V227" i="27"/>
  <c r="P62" i="27"/>
  <c r="T62" i="27"/>
  <c r="O68" i="27"/>
  <c r="W67" i="27"/>
  <c r="T257" i="27"/>
  <c r="W12" i="27"/>
  <c r="AA58" i="27"/>
  <c r="P64" i="27"/>
  <c r="M71" i="27"/>
  <c r="Q71" i="27"/>
  <c r="P71" i="27"/>
  <c r="AB73" i="27"/>
  <c r="T69" i="27"/>
  <c r="AB79" i="27"/>
  <c r="W59" i="27"/>
  <c r="M64" i="27"/>
  <c r="Q65" i="27"/>
  <c r="Q64" i="27"/>
  <c r="AB221" i="27"/>
  <c r="AB112" i="27"/>
  <c r="V257" i="27"/>
  <c r="T59" i="27"/>
  <c r="X58" i="27"/>
  <c r="X59" i="27"/>
  <c r="Z60" i="27"/>
  <c r="AA70" i="27"/>
  <c r="X77" i="27"/>
  <c r="R77" i="27"/>
  <c r="K10" i="27"/>
  <c r="K189" i="27" s="1"/>
  <c r="U67" i="27"/>
  <c r="T76" i="27"/>
  <c r="AA176" i="27"/>
  <c r="K83" i="27"/>
  <c r="W244" i="27"/>
  <c r="Y66" i="27"/>
  <c r="Z244" i="27"/>
  <c r="R83" i="27"/>
  <c r="R89" i="27" s="1"/>
  <c r="R165" i="27"/>
  <c r="Y93" i="27"/>
  <c r="N83" i="27"/>
  <c r="N84" i="27" s="1"/>
  <c r="P89" i="27"/>
  <c r="Y115" i="27"/>
  <c r="O83" i="27"/>
  <c r="M208" i="27"/>
  <c r="T10" i="27"/>
  <c r="T189" i="27" s="1"/>
  <c r="AB93" i="27"/>
  <c r="X165" i="27"/>
  <c r="X160" i="27"/>
  <c r="X227" i="27"/>
  <c r="N80" i="27"/>
  <c r="X257" i="27"/>
  <c r="P122" i="27"/>
  <c r="P127" i="27"/>
  <c r="Y79" i="27"/>
  <c r="Y80" i="27"/>
  <c r="AA80" i="27"/>
  <c r="V176" i="27"/>
  <c r="V165" i="27"/>
  <c r="AB76" i="27"/>
  <c r="K122" i="27"/>
  <c r="AA81" i="27"/>
  <c r="AB114" i="27"/>
  <c r="Y148" i="27"/>
  <c r="Y121" i="27" s="1"/>
  <c r="Y127" i="27" s="1"/>
  <c r="AB186" i="27"/>
  <c r="M81" i="27"/>
  <c r="S83" i="27"/>
  <c r="N60" i="27"/>
  <c r="N58" i="27"/>
  <c r="M79" i="27"/>
  <c r="Y218" i="27"/>
  <c r="Y207" i="27" s="1"/>
  <c r="Y208" i="27" s="1"/>
  <c r="Y205" i="27"/>
  <c r="K208" i="27"/>
  <c r="O165" i="27"/>
  <c r="S208" i="27"/>
  <c r="M67" i="27"/>
  <c r="N65" i="27"/>
  <c r="L64" i="27"/>
  <c r="M61" i="27"/>
  <c r="W68" i="27"/>
  <c r="X65" i="27"/>
  <c r="R60" i="27"/>
  <c r="Y209" i="27"/>
  <c r="R71" i="27"/>
  <c r="R70" i="27"/>
  <c r="T70" i="27"/>
  <c r="T71" i="27"/>
  <c r="L257" i="27"/>
  <c r="Y77" i="27"/>
  <c r="O176" i="27"/>
  <c r="W81" i="27"/>
  <c r="N127" i="27"/>
  <c r="O67" i="27"/>
  <c r="Q122" i="27"/>
  <c r="M165" i="27"/>
  <c r="L62" i="27"/>
  <c r="U61" i="27"/>
  <c r="W62" i="27"/>
  <c r="K63" i="27"/>
  <c r="O63" i="27"/>
  <c r="S63" i="27"/>
  <c r="W63" i="27"/>
  <c r="M63" i="27"/>
  <c r="Q63" i="27"/>
  <c r="U63" i="27"/>
  <c r="S58" i="27"/>
  <c r="Q60" i="27"/>
  <c r="U60" i="27"/>
  <c r="O60" i="27"/>
  <c r="S60" i="27"/>
  <c r="U65" i="27"/>
  <c r="S65" i="27"/>
  <c r="O66" i="27"/>
  <c r="AA66" i="27"/>
  <c r="U66" i="27"/>
  <c r="R67" i="27"/>
  <c r="Z69" i="27"/>
  <c r="L71" i="27"/>
  <c r="P70" i="27"/>
  <c r="X70" i="27"/>
  <c r="K70" i="27"/>
  <c r="M72" i="27"/>
  <c r="U72" i="27"/>
  <c r="S72" i="27"/>
  <c r="W72" i="27"/>
  <c r="AA72" i="27"/>
  <c r="O77" i="27"/>
  <c r="S76" i="27"/>
  <c r="W77" i="27"/>
  <c r="Z77" i="27"/>
  <c r="O78" i="27"/>
  <c r="S78" i="27"/>
  <c r="Q74" i="27"/>
  <c r="O73" i="27"/>
  <c r="AA75" i="27"/>
  <c r="P208" i="27"/>
  <c r="Q227" i="27"/>
  <c r="T122" i="27"/>
  <c r="T127" i="27"/>
  <c r="M10" i="27"/>
  <c r="M189" i="27" s="1"/>
  <c r="M227" i="27"/>
  <c r="R127" i="27"/>
  <c r="Y76" i="27"/>
  <c r="AB66" i="27"/>
  <c r="AB64" i="27"/>
  <c r="X127" i="27"/>
  <c r="X122" i="27"/>
  <c r="X138" i="27"/>
  <c r="G28" i="8"/>
  <c r="X89" i="27"/>
  <c r="V89" i="27"/>
  <c r="R81" i="27"/>
  <c r="AB239" i="27"/>
  <c r="AB196" i="27" s="1"/>
  <c r="P176" i="27"/>
  <c r="P165" i="27"/>
  <c r="Q165" i="27"/>
  <c r="Q160" i="27"/>
  <c r="Q176" i="27"/>
  <c r="Q10" i="27"/>
  <c r="Q189" i="27" s="1"/>
  <c r="AB150" i="27"/>
  <c r="Y133" i="27"/>
  <c r="AA61" i="27"/>
  <c r="U138" i="27"/>
  <c r="O138" i="27"/>
  <c r="V160" i="27"/>
  <c r="V81" i="27"/>
  <c r="Y172" i="27"/>
  <c r="Y18" i="27"/>
  <c r="E11" i="8"/>
  <c r="E84" i="8"/>
  <c r="E77" i="8"/>
  <c r="L122" i="27"/>
  <c r="AA160" i="27"/>
  <c r="U165" i="27"/>
  <c r="O79" i="27"/>
  <c r="Y41" i="27"/>
  <c r="Y256" i="27"/>
  <c r="Y12" i="27" s="1"/>
  <c r="P9" i="27"/>
  <c r="P138" i="27"/>
  <c r="I11" i="8"/>
  <c r="I84" i="8" s="1"/>
  <c r="X80" i="27"/>
  <c r="T165" i="27"/>
  <c r="T160" i="27"/>
  <c r="P227" i="27"/>
  <c r="Y46" i="27"/>
  <c r="Y159" i="27"/>
  <c r="W79" i="27"/>
  <c r="V127" i="27"/>
  <c r="Y248" i="27"/>
  <c r="Y69" i="27" s="1"/>
  <c r="U9" i="27"/>
  <c r="Y180" i="27"/>
  <c r="Y176" i="27" s="1"/>
  <c r="W208" i="27"/>
  <c r="U160" i="27"/>
  <c r="J31" i="8"/>
  <c r="G77" i="8"/>
  <c r="G11" i="8"/>
  <c r="G84" i="8" s="1"/>
  <c r="AB267" i="27"/>
  <c r="AB262" i="27" s="1"/>
  <c r="Z80" i="27"/>
  <c r="W83" i="27"/>
  <c r="U10" i="27"/>
  <c r="U189" i="27" s="1"/>
  <c r="M127" i="27"/>
  <c r="K61" i="27"/>
  <c r="O62" i="27"/>
  <c r="O61" i="27"/>
  <c r="S62" i="27"/>
  <c r="W61" i="27"/>
  <c r="T244" i="27"/>
  <c r="P59" i="27"/>
  <c r="P58" i="27"/>
  <c r="V60" i="27"/>
  <c r="V58" i="27"/>
  <c r="R64" i="27"/>
  <c r="R65" i="27"/>
  <c r="T65" i="27"/>
  <c r="T64" i="27"/>
  <c r="S68" i="27"/>
  <c r="S67" i="27"/>
  <c r="M70" i="27"/>
  <c r="Q70" i="27"/>
  <c r="U70" i="27"/>
  <c r="AA71" i="27"/>
  <c r="V71" i="27"/>
  <c r="V70" i="27"/>
  <c r="L76" i="27"/>
  <c r="L77" i="27"/>
  <c r="P77" i="27"/>
  <c r="P76" i="27"/>
  <c r="N77" i="27"/>
  <c r="N76" i="27"/>
  <c r="N74" i="27"/>
  <c r="N73" i="27"/>
  <c r="R73" i="27"/>
  <c r="R74" i="27"/>
  <c r="L73" i="27"/>
  <c r="T74" i="27"/>
  <c r="T73" i="27"/>
  <c r="N68" i="27"/>
  <c r="N67" i="27"/>
  <c r="V61" i="27"/>
  <c r="N244" i="27"/>
  <c r="R62" i="27"/>
  <c r="R61" i="27"/>
  <c r="Q61" i="27"/>
  <c r="Q62" i="27"/>
  <c r="M257" i="27"/>
  <c r="K59" i="27"/>
  <c r="O59" i="27"/>
  <c r="O58" i="27"/>
  <c r="Q244" i="27"/>
  <c r="AA64" i="27"/>
  <c r="V68" i="27"/>
  <c r="V67" i="27"/>
  <c r="AA68" i="27"/>
  <c r="AA67" i="27"/>
  <c r="Z68" i="27"/>
  <c r="Z67" i="27"/>
  <c r="L69" i="27"/>
  <c r="L67" i="27"/>
  <c r="P67" i="27"/>
  <c r="P69" i="27"/>
  <c r="X69" i="27"/>
  <c r="X67" i="27"/>
  <c r="O71" i="27"/>
  <c r="O70" i="27"/>
  <c r="W71" i="27"/>
  <c r="W70" i="27"/>
  <c r="Y72" i="27"/>
  <c r="AA76" i="27"/>
  <c r="AA77" i="27"/>
  <c r="M77" i="27"/>
  <c r="Q76" i="27"/>
  <c r="Q77" i="27"/>
  <c r="K74" i="27"/>
  <c r="AA74" i="27"/>
  <c r="T100" i="27"/>
  <c r="P84" i="27"/>
  <c r="AA100" i="27"/>
  <c r="L89" i="27"/>
  <c r="L84" i="27"/>
  <c r="Q9" i="27"/>
  <c r="Q8" i="27" s="1"/>
  <c r="T89" i="27"/>
  <c r="Q100" i="27"/>
  <c r="O89" i="27"/>
  <c r="O9" i="27"/>
  <c r="Z100" i="27"/>
  <c r="K190" i="27"/>
  <c r="Z9" i="27"/>
  <c r="K100" i="27"/>
  <c r="AA84" i="27"/>
  <c r="AA9" i="27"/>
  <c r="M100" i="27"/>
  <c r="R84" i="27"/>
  <c r="M9" i="27"/>
  <c r="M8" i="27" s="1"/>
  <c r="U8" i="27"/>
  <c r="U13" i="27" s="1"/>
  <c r="S9" i="27"/>
  <c r="K10" i="8"/>
  <c r="K11" i="8" s="1"/>
  <c r="AB133" i="27"/>
  <c r="T195" i="27"/>
  <c r="U190" i="27"/>
  <c r="AB256" i="27"/>
  <c r="AB12" i="27" s="1"/>
  <c r="Y165" i="27"/>
  <c r="AB29" i="27"/>
  <c r="M190" i="27"/>
  <c r="AB148" i="27"/>
  <c r="AB121" i="27"/>
  <c r="AB138" i="27" s="1"/>
  <c r="W100" i="27"/>
  <c r="W84" i="27"/>
  <c r="W89" i="27"/>
  <c r="W9" i="27"/>
  <c r="AB123" i="27"/>
  <c r="AB140" i="27"/>
  <c r="AB62" i="27" s="1"/>
  <c r="AB127" i="27"/>
  <c r="AB61" i="27"/>
  <c r="P189" i="27" l="1"/>
  <c r="P8" i="27"/>
  <c r="P13" i="27" s="1"/>
  <c r="Q190" i="27"/>
  <c r="Q195" i="27"/>
  <c r="P63" i="27"/>
  <c r="P61" i="27"/>
  <c r="S75" i="27"/>
  <c r="AB122" i="27"/>
  <c r="AB228" i="27"/>
  <c r="Y68" i="27"/>
  <c r="N89" i="27"/>
  <c r="K73" i="27"/>
  <c r="L61" i="27"/>
  <c r="U195" i="27"/>
  <c r="Z10" i="27"/>
  <c r="Z189" i="27" s="1"/>
  <c r="Q208" i="27"/>
  <c r="O75" i="27"/>
  <c r="U73" i="27"/>
  <c r="L244" i="27"/>
  <c r="AB36" i="27"/>
  <c r="X78" i="27"/>
  <c r="F28" i="8"/>
  <c r="F77" i="8"/>
  <c r="AA122" i="27"/>
  <c r="AA127" i="27"/>
  <c r="N227" i="27"/>
  <c r="AB187" i="27"/>
  <c r="Y45" i="27"/>
  <c r="AA89" i="27"/>
  <c r="N61" i="27"/>
  <c r="N138" i="27"/>
  <c r="U58" i="27"/>
  <c r="U59" i="27"/>
  <c r="M59" i="27"/>
  <c r="M58" i="27"/>
  <c r="Q138" i="27"/>
  <c r="Q59" i="27"/>
  <c r="W60" i="27"/>
  <c r="W58" i="27"/>
  <c r="V75" i="27"/>
  <c r="V73" i="27"/>
  <c r="X9" i="27"/>
  <c r="M76" i="27"/>
  <c r="R257" i="27"/>
  <c r="L58" i="27"/>
  <c r="S257" i="27"/>
  <c r="Y101" i="27"/>
  <c r="Y59" i="27" s="1"/>
  <c r="R160" i="27"/>
  <c r="K75" i="27"/>
  <c r="AB115" i="27"/>
  <c r="M244" i="27"/>
  <c r="U127" i="27"/>
  <c r="R244" i="27"/>
  <c r="AA12" i="27"/>
  <c r="AA257" i="27"/>
  <c r="V62" i="27"/>
  <c r="V100" i="27"/>
  <c r="L138" i="27"/>
  <c r="N63" i="27"/>
  <c r="R63" i="27"/>
  <c r="N71" i="27"/>
  <c r="N70" i="27"/>
  <c r="U76" i="27"/>
  <c r="U77" i="27"/>
  <c r="Z76" i="27"/>
  <c r="W75" i="27"/>
  <c r="U7" i="27"/>
  <c r="U82" i="27" s="1"/>
  <c r="Y257" i="27"/>
  <c r="AB237" i="27"/>
  <c r="AB226" i="27" s="1"/>
  <c r="AB227" i="27" s="1"/>
  <c r="R9" i="27"/>
  <c r="X84" i="27"/>
  <c r="K58" i="27"/>
  <c r="L59" i="27"/>
  <c r="Y162" i="27"/>
  <c r="Y160" i="27" s="1"/>
  <c r="L79" i="27"/>
  <c r="O64" i="27"/>
  <c r="Z58" i="27"/>
  <c r="AA138" i="27"/>
  <c r="T190" i="27"/>
  <c r="K195" i="27"/>
  <c r="X74" i="27"/>
  <c r="Z227" i="27"/>
  <c r="U176" i="27"/>
  <c r="M138" i="27"/>
  <c r="M122" i="27"/>
  <c r="T176" i="27"/>
  <c r="Y43" i="27"/>
  <c r="O100" i="27"/>
  <c r="Y64" i="27"/>
  <c r="Y65" i="27"/>
  <c r="K66" i="27"/>
  <c r="Q68" i="27"/>
  <c r="Q67" i="27"/>
  <c r="T68" i="27"/>
  <c r="T67" i="27"/>
  <c r="O74" i="27"/>
  <c r="S73" i="27"/>
  <c r="W73" i="27"/>
  <c r="O84" i="27"/>
  <c r="T9" i="27"/>
  <c r="T8" i="27" s="1"/>
  <c r="AB77" i="27"/>
  <c r="J11" i="8"/>
  <c r="L127" i="27"/>
  <c r="X81" i="27"/>
  <c r="W138" i="27"/>
  <c r="W227" i="27"/>
  <c r="V80" i="27"/>
  <c r="U122" i="27"/>
  <c r="U208" i="27"/>
  <c r="U81" i="27"/>
  <c r="N257" i="27"/>
  <c r="R138" i="27"/>
  <c r="P100" i="27"/>
  <c r="U62" i="27"/>
  <c r="X61" i="27"/>
  <c r="X62" i="27"/>
  <c r="U244" i="27"/>
  <c r="Y63" i="27"/>
  <c r="N64" i="27"/>
  <c r="Z64" i="27"/>
  <c r="X64" i="27"/>
  <c r="T66" i="27"/>
  <c r="X66" i="27"/>
  <c r="R69" i="27"/>
  <c r="S70" i="27"/>
  <c r="Z70" i="27"/>
  <c r="Z71" i="27"/>
  <c r="Z72" i="27"/>
  <c r="Z74" i="27"/>
  <c r="P73" i="27"/>
  <c r="K244" i="27"/>
  <c r="O244" i="27"/>
  <c r="S244" i="27"/>
  <c r="AA63" i="27"/>
  <c r="R59" i="27"/>
  <c r="R58" i="27"/>
  <c r="X60" i="27"/>
  <c r="P244" i="27"/>
  <c r="R76" i="27"/>
  <c r="V76" i="27"/>
  <c r="N78" i="27"/>
  <c r="R78" i="27"/>
  <c r="K80" i="27"/>
  <c r="K81" i="27"/>
  <c r="X176" i="27"/>
  <c r="W257" i="27"/>
  <c r="V79" i="27"/>
  <c r="U227" i="27"/>
  <c r="T208" i="27"/>
  <c r="T81" i="27"/>
  <c r="O10" i="27"/>
  <c r="O189" i="27" s="1"/>
  <c r="S10" i="27"/>
  <c r="S189" i="27" s="1"/>
  <c r="Z62" i="27"/>
  <c r="S59" i="27"/>
  <c r="M60" i="27"/>
  <c r="Q58" i="27"/>
  <c r="K64" i="27"/>
  <c r="Q66" i="27"/>
  <c r="R68" i="27"/>
  <c r="Q72" i="27"/>
  <c r="Y78" i="27"/>
  <c r="P74" i="27"/>
  <c r="Q73" i="27"/>
  <c r="H12" i="8"/>
  <c r="K227" i="27"/>
  <c r="W176" i="27"/>
  <c r="V244" i="27"/>
  <c r="N79" i="27"/>
  <c r="N81" i="27"/>
  <c r="S81" i="27"/>
  <c r="N59" i="27"/>
  <c r="U64" i="27"/>
  <c r="W76" i="27"/>
  <c r="O76" i="27"/>
  <c r="S77" i="27"/>
  <c r="W78" i="27"/>
  <c r="U74" i="27"/>
  <c r="M75" i="27"/>
  <c r="Y75" i="27"/>
  <c r="M26" i="27"/>
  <c r="M7" i="27"/>
  <c r="M13" i="27"/>
  <c r="T13" i="27"/>
  <c r="T26" i="27"/>
  <c r="T7" i="27"/>
  <c r="Q7" i="27"/>
  <c r="Q13" i="27"/>
  <c r="Q26" i="27"/>
  <c r="AB72" i="27"/>
  <c r="AB257" i="27"/>
  <c r="AB70" i="27"/>
  <c r="L10" i="27"/>
  <c r="L189" i="27" s="1"/>
  <c r="L208" i="27"/>
  <c r="X10" i="27"/>
  <c r="X208" i="27"/>
  <c r="T80" i="27"/>
  <c r="T79" i="27"/>
  <c r="O127" i="27"/>
  <c r="O122" i="27"/>
  <c r="S138" i="27"/>
  <c r="S127" i="27"/>
  <c r="S122" i="27"/>
  <c r="S176" i="27"/>
  <c r="S165" i="27"/>
  <c r="S160" i="27"/>
  <c r="Y228" i="27"/>
  <c r="Y237" i="27"/>
  <c r="Y226" i="27" s="1"/>
  <c r="Y29" i="27"/>
  <c r="Y191" i="27"/>
  <c r="Y16" i="27"/>
  <c r="U84" i="27"/>
  <c r="U89" i="27"/>
  <c r="U100" i="27"/>
  <c r="Q84" i="27"/>
  <c r="Q89" i="27"/>
  <c r="M84" i="27"/>
  <c r="M89" i="27"/>
  <c r="Y67" i="27"/>
  <c r="T84" i="27"/>
  <c r="N62" i="27"/>
  <c r="K67" i="27"/>
  <c r="N9" i="27"/>
  <c r="N100" i="27"/>
  <c r="Y27" i="27"/>
  <c r="U257" i="27"/>
  <c r="W10" i="27"/>
  <c r="W189" i="27" s="1"/>
  <c r="H28" i="8"/>
  <c r="H77" i="8"/>
  <c r="J27" i="8"/>
  <c r="F11" i="8"/>
  <c r="F84" i="8" s="1"/>
  <c r="F83" i="8"/>
  <c r="K127" i="27"/>
  <c r="K138" i="27"/>
  <c r="Z122" i="27"/>
  <c r="Z138" i="27"/>
  <c r="Z127" i="27"/>
  <c r="Z165" i="27"/>
  <c r="Z176" i="27"/>
  <c r="AA208" i="27"/>
  <c r="AA10" i="27"/>
  <c r="W127" i="27"/>
  <c r="W122" i="27"/>
  <c r="U80" i="27"/>
  <c r="U79" i="27"/>
  <c r="T138" i="27"/>
  <c r="S80" i="27"/>
  <c r="S79" i="27"/>
  <c r="R80" i="27"/>
  <c r="R79" i="27"/>
  <c r="R100" i="27"/>
  <c r="R10" i="27"/>
  <c r="R189" i="27" s="1"/>
  <c r="R208" i="27"/>
  <c r="Q81" i="27"/>
  <c r="Q257" i="27"/>
  <c r="Y28" i="27"/>
  <c r="Y110" i="27"/>
  <c r="Y83" i="27" s="1"/>
  <c r="Y85" i="27"/>
  <c r="Y15" i="27"/>
  <c r="Y90" i="27"/>
  <c r="Y140" i="27"/>
  <c r="Y42" i="27"/>
  <c r="Y123" i="27"/>
  <c r="Y122" i="27" s="1"/>
  <c r="Y192" i="27"/>
  <c r="Y39" i="27"/>
  <c r="Y17" i="27"/>
  <c r="Y200" i="27"/>
  <c r="Y243" i="27"/>
  <c r="Y244" i="27" s="1"/>
  <c r="Y19" i="27"/>
  <c r="AB254" i="27"/>
  <c r="P26" i="27"/>
  <c r="U26" i="27"/>
  <c r="P7" i="27"/>
  <c r="X79" i="27"/>
  <c r="AB43" i="27"/>
  <c r="AB42" i="27"/>
  <c r="Y196" i="27"/>
  <c r="S100" i="27"/>
  <c r="S84" i="27"/>
  <c r="X244" i="27"/>
  <c r="L160" i="27"/>
  <c r="L176" i="27"/>
  <c r="L165" i="27"/>
  <c r="W80" i="27"/>
  <c r="V122" i="27"/>
  <c r="V9" i="27"/>
  <c r="P257" i="27"/>
  <c r="P79" i="27"/>
  <c r="P81" i="27"/>
  <c r="Z89" i="27"/>
  <c r="K89" i="27"/>
  <c r="K84" i="27"/>
  <c r="K9" i="27"/>
  <c r="K8" i="27" s="1"/>
  <c r="V10" i="27"/>
  <c r="V189" i="27" s="1"/>
  <c r="V208" i="27"/>
  <c r="N160" i="27"/>
  <c r="N176" i="27"/>
  <c r="N165" i="27"/>
  <c r="N208" i="27"/>
  <c r="N10" i="27"/>
  <c r="N189" i="27" s="1"/>
  <c r="T227" i="27"/>
  <c r="K79" i="27"/>
  <c r="K160" i="27"/>
  <c r="K176" i="27"/>
  <c r="AB219" i="27"/>
  <c r="Y54" i="27"/>
  <c r="Y56" i="27"/>
  <c r="L9" i="27"/>
  <c r="L8" i="27" s="1"/>
  <c r="AB111" i="27"/>
  <c r="Y14" i="27"/>
  <c r="AB80" i="27"/>
  <c r="O80" i="27"/>
  <c r="P80" i="27"/>
  <c r="H83" i="8" l="1"/>
  <c r="H11" i="8"/>
  <c r="S195" i="27"/>
  <c r="S190" i="27"/>
  <c r="O195" i="27"/>
  <c r="O190" i="27"/>
  <c r="AB18" i="27"/>
  <c r="AB46" i="27"/>
  <c r="AB45" i="27"/>
  <c r="AB172" i="27"/>
  <c r="AB180" i="27"/>
  <c r="AB68" i="27" s="1"/>
  <c r="AB159" i="27"/>
  <c r="AB162" i="27"/>
  <c r="Z190" i="27"/>
  <c r="Z195" i="27"/>
  <c r="S8" i="27"/>
  <c r="P190" i="27"/>
  <c r="P195" i="27"/>
  <c r="U57" i="27"/>
  <c r="H84" i="8"/>
  <c r="Z8" i="27"/>
  <c r="O8" i="27"/>
  <c r="R190" i="27"/>
  <c r="R195" i="27"/>
  <c r="L190" i="27"/>
  <c r="L195" i="27"/>
  <c r="T82" i="27"/>
  <c r="T57" i="27"/>
  <c r="AB101" i="27"/>
  <c r="AB90" i="27"/>
  <c r="AB27" i="27"/>
  <c r="AB110" i="27"/>
  <c r="AB83" i="27" s="1"/>
  <c r="AB15" i="27"/>
  <c r="AB14" i="27"/>
  <c r="AB85" i="27"/>
  <c r="AB28" i="27"/>
  <c r="AB205" i="27"/>
  <c r="AB56" i="27"/>
  <c r="AB16" i="27"/>
  <c r="AB218" i="27"/>
  <c r="AB207" i="27" s="1"/>
  <c r="AB209" i="27"/>
  <c r="AB60" i="27" s="1"/>
  <c r="AB54" i="27"/>
  <c r="AB191" i="27"/>
  <c r="K7" i="27"/>
  <c r="K26" i="27"/>
  <c r="K13" i="27"/>
  <c r="P57" i="27"/>
  <c r="P82" i="27"/>
  <c r="W195" i="27"/>
  <c r="W190" i="27"/>
  <c r="N8" i="27"/>
  <c r="Y227" i="27"/>
  <c r="Y10" i="27"/>
  <c r="Y189" i="27" s="1"/>
  <c r="M57" i="27"/>
  <c r="M82" i="27"/>
  <c r="V8" i="27"/>
  <c r="N195" i="27"/>
  <c r="N190" i="27"/>
  <c r="AB17" i="27"/>
  <c r="AB192" i="27"/>
  <c r="AB200" i="27"/>
  <c r="AB41" i="27"/>
  <c r="AB19" i="27"/>
  <c r="AB39" i="27"/>
  <c r="AB248" i="27"/>
  <c r="AB243" i="27"/>
  <c r="AB244" i="27" s="1"/>
  <c r="J28" i="8"/>
  <c r="J84" i="8" s="1"/>
  <c r="K27" i="8"/>
  <c r="J77" i="8"/>
  <c r="Y60" i="27"/>
  <c r="Y58" i="27"/>
  <c r="X189" i="27"/>
  <c r="X8" i="27"/>
  <c r="Q82" i="27"/>
  <c r="Q57" i="27"/>
  <c r="V195" i="27"/>
  <c r="V190" i="27"/>
  <c r="L26" i="27"/>
  <c r="L13" i="27"/>
  <c r="L7" i="27"/>
  <c r="Y62" i="27"/>
  <c r="Y138" i="27"/>
  <c r="Y61" i="27"/>
  <c r="Y100" i="27"/>
  <c r="Y89" i="27"/>
  <c r="Y9" i="27"/>
  <c r="Y8" i="27" s="1"/>
  <c r="Y84" i="27"/>
  <c r="AA8" i="27"/>
  <c r="AA189" i="27"/>
  <c r="R8" i="27"/>
  <c r="W8" i="27"/>
  <c r="O13" i="27" l="1"/>
  <c r="O26" i="27"/>
  <c r="O7" i="27"/>
  <c r="Z13" i="27"/>
  <c r="Z26" i="27"/>
  <c r="Z7" i="27"/>
  <c r="S7" i="27"/>
  <c r="S13" i="27"/>
  <c r="S26" i="27"/>
  <c r="AB165" i="27"/>
  <c r="AB160" i="27"/>
  <c r="AB176" i="27"/>
  <c r="AA190" i="27"/>
  <c r="AA195" i="27"/>
  <c r="AA26" i="27"/>
  <c r="AA7" i="27"/>
  <c r="AA13" i="27"/>
  <c r="L82" i="27"/>
  <c r="L57" i="27"/>
  <c r="W26" i="27"/>
  <c r="W13" i="27"/>
  <c r="W7" i="27"/>
  <c r="X13" i="27"/>
  <c r="X7" i="27"/>
  <c r="X26" i="27"/>
  <c r="AB69" i="27"/>
  <c r="AB67" i="27"/>
  <c r="Y195" i="27"/>
  <c r="Y190" i="27"/>
  <c r="AB59" i="27"/>
  <c r="AB58" i="27"/>
  <c r="R26" i="27"/>
  <c r="R7" i="27"/>
  <c r="R13" i="27"/>
  <c r="Y13" i="27"/>
  <c r="Y7" i="27"/>
  <c r="Y26" i="27"/>
  <c r="X195" i="27"/>
  <c r="X190" i="27"/>
  <c r="K77" i="8"/>
  <c r="K28" i="8"/>
  <c r="K84" i="8" s="1"/>
  <c r="V26" i="27"/>
  <c r="V13" i="27"/>
  <c r="V7" i="27"/>
  <c r="K82" i="27"/>
  <c r="K57" i="27"/>
  <c r="AB208" i="27"/>
  <c r="AB10" i="27"/>
  <c r="AB189" i="27" s="1"/>
  <c r="AB84" i="27"/>
  <c r="AB89" i="27"/>
  <c r="AB9" i="27"/>
  <c r="AB100" i="27"/>
  <c r="N13" i="27"/>
  <c r="N7" i="27"/>
  <c r="N26" i="27"/>
  <c r="S82" i="27" l="1"/>
  <c r="S57" i="27"/>
  <c r="O82" i="27"/>
  <c r="O57" i="27"/>
  <c r="Z57" i="27"/>
  <c r="Z82" i="27"/>
  <c r="V82" i="27"/>
  <c r="V57" i="27"/>
  <c r="AA82" i="27"/>
  <c r="AA57" i="27"/>
  <c r="AB8" i="27"/>
  <c r="X57" i="27"/>
  <c r="X82" i="27"/>
  <c r="N57" i="27"/>
  <c r="N82" i="27"/>
  <c r="W57" i="27"/>
  <c r="W82" i="27"/>
  <c r="AB190" i="27"/>
  <c r="AB195" i="27"/>
  <c r="Y57" i="27"/>
  <c r="Y82" i="27"/>
  <c r="R57" i="27"/>
  <c r="R82" i="27"/>
  <c r="AB13" i="27" l="1"/>
  <c r="AB7" i="27"/>
  <c r="AB26" i="27"/>
  <c r="AB82" i="27" l="1"/>
  <c r="AB57" i="27"/>
</calcChain>
</file>

<file path=xl/comments1.xml><?xml version="1.0" encoding="utf-8"?>
<comments xmlns="http://schemas.openxmlformats.org/spreadsheetml/2006/main">
  <authors>
    <author>Козлов Олег Иванович</author>
  </authors>
  <commentList>
    <comment ref="I155" authorId="0">
      <text>
        <r>
          <rPr>
            <b/>
            <sz val="9"/>
            <color indexed="81"/>
            <rFont val="Tahoma"/>
            <family val="2"/>
            <charset val="204"/>
          </rPr>
          <t>Козлов Олег Иванович:</t>
        </r>
        <r>
          <rPr>
            <sz val="9"/>
            <color indexed="81"/>
            <rFont val="Tahoma"/>
            <family val="2"/>
            <charset val="204"/>
          </rPr>
          <t xml:space="preserve">
Новый гос контракт</t>
        </r>
      </text>
    </comment>
  </commentList>
</comments>
</file>

<file path=xl/sharedStrings.xml><?xml version="1.0" encoding="utf-8"?>
<sst xmlns="http://schemas.openxmlformats.org/spreadsheetml/2006/main" count="2650" uniqueCount="442">
  <si>
    <t>№ п/п</t>
  </si>
  <si>
    <t>№ договора</t>
  </si>
  <si>
    <t>Наименование договора</t>
  </si>
  <si>
    <t>шифр объекта</t>
  </si>
  <si>
    <t>Примечание</t>
  </si>
  <si>
    <t>1.1.</t>
  </si>
  <si>
    <t>1.2.</t>
  </si>
  <si>
    <t>1.3.</t>
  </si>
  <si>
    <t>Руководитель РУЗКС ЮВО</t>
  </si>
  <si>
    <t>С.В. Куц</t>
  </si>
  <si>
    <t>Начальник ОССО ВМФ РУЗКС ЮВО</t>
  </si>
  <si>
    <t>М.А. Небрат</t>
  </si>
  <si>
    <t>Начальник ФГУП "Спецстройинжиниринг"</t>
  </si>
  <si>
    <t>Выполнено. Получен акцепт государственного заказчика</t>
  </si>
  <si>
    <t>Оперативное выполнение</t>
  </si>
  <si>
    <t>С.М. Максимов</t>
  </si>
  <si>
    <t>Выполнено и принято РУЗКС</t>
  </si>
  <si>
    <t>на рассмотрении у заказчика</t>
  </si>
  <si>
    <t>2.1</t>
  </si>
  <si>
    <t>2.2</t>
  </si>
  <si>
    <t>2.3</t>
  </si>
  <si>
    <t>2.4</t>
  </si>
  <si>
    <t>Договор субподряда № ДГЗ-КР-2/2011-146/12 от 15.02.2012г</t>
  </si>
  <si>
    <t>Договор субподряда № ДГЗ-КР-4/2011-151/12 от 04.06.2012г</t>
  </si>
  <si>
    <t>на полный комплекс работ по объекту:  "Реконструкция зданий и помещений для размещения оборудования единой информационной аналитической системы безопасности полётов (ЕИАС) и автоматизированной системы контроля полётных данных (АСКПД)"</t>
  </si>
  <si>
    <t>На выполнение комплекса работ по оснащению техническими средствами охраны (ТСО) объектов воинских частей</t>
  </si>
  <si>
    <t xml:space="preserve">на выполнение комплекса работ на объектах Министерства обороны РФ </t>
  </si>
  <si>
    <t xml:space="preserve">на выполнение работ по капитальному ремонту базовых военных городков </t>
  </si>
  <si>
    <t>1.4</t>
  </si>
  <si>
    <t>1.5</t>
  </si>
  <si>
    <t>1.6</t>
  </si>
  <si>
    <t>выполнение работ по капитальному ремонту объектов МО РФ: котельные и теплотрассы, в том числе:</t>
  </si>
  <si>
    <r>
      <t xml:space="preserve">ДГЗ-КР-6/2012 </t>
    </r>
    <r>
      <rPr>
        <sz val="10"/>
        <rFont val="Times New Roman"/>
        <family val="1"/>
        <charset val="204"/>
      </rPr>
      <t>от 26.12.12</t>
    </r>
  </si>
  <si>
    <t>ДГЗ-АСКПД от 24.12.2012</t>
  </si>
  <si>
    <t>ДГЗ-ТСО/2012 от 26.12.2012</t>
  </si>
  <si>
    <t>ДГЗ-СП/2012 от 26.12.2012</t>
  </si>
  <si>
    <t>КОНТРАКТЫ ГУССТ-9 с ФГУП "Спецстройинжиниринг" по объектам Министерства обороны РФ.</t>
  </si>
  <si>
    <t>Не приняты УФО - в титульном списке из суммы дебиторской задолжности не выделены затраты на оборудование</t>
  </si>
  <si>
    <t xml:space="preserve">Перевооружение объекта 920. (п. Пашино Новосибирская область)  </t>
  </si>
  <si>
    <t>Договор субподряда №ДГЗ-920/155-13/2011-45/11 от 16.12.11г.</t>
  </si>
  <si>
    <t>920/155-13</t>
  </si>
  <si>
    <t>920/155-6т</t>
  </si>
  <si>
    <t xml:space="preserve">на строительство (реконструкцию),  "Строительство и реконструкция сооружений на объекте № 920/155-6т", п. Пашино, Новосибирская область  </t>
  </si>
  <si>
    <t>Договор субподряда №ДГЗ-920/155-6т-87.1 от 30.11.12г.</t>
  </si>
  <si>
    <t>Договор суб.№ДГЗ-7345/ТЗ-138.1 от 25.01.13г.</t>
  </si>
  <si>
    <t>7345/ТЗ</t>
  </si>
  <si>
    <t>Полный комплекс работ по строительству объекта РЛС ВЗГ г. Енисейск, Красноярский край</t>
  </si>
  <si>
    <t xml:space="preserve">ИТОГО </t>
  </si>
  <si>
    <t>Оперативное выполнение по ФГУП "Спецстройинжиниринг" государственных контрактов и договоров субподряда на строительство, ремонт и реконструкцию объектов МО</t>
  </si>
  <si>
    <t>План года</t>
  </si>
  <si>
    <t>План</t>
  </si>
  <si>
    <t>ДГЗ-КР-6/2012- 129.6 от 31.01.13</t>
  </si>
  <si>
    <t>Военный городок №16,Красноярский край,г.Дудинка</t>
  </si>
  <si>
    <t>ДУД-ВГ-1бис</t>
  </si>
  <si>
    <t xml:space="preserve">Военный городок № 17, г. Новосибирск </t>
  </si>
  <si>
    <t>НС-ВГ-12р</t>
  </si>
  <si>
    <t>Военный городок № 35 644025 г. Омск, 
пос. Светлый</t>
  </si>
  <si>
    <t>ОМ-ВГ-35р</t>
  </si>
  <si>
    <t>Военный городок №18 Новосибирская обл, 
п. Толмачево</t>
  </si>
  <si>
    <t>ТЛМ-ВГ-18р</t>
  </si>
  <si>
    <t>Военный городок №16 Новосибирская обл, 
п. Шилово</t>
  </si>
  <si>
    <t>ШЛ-ВГ-16р</t>
  </si>
  <si>
    <t>3</t>
  </si>
  <si>
    <t>ДГЗ-СП/2012-128.4 от 31.01.13</t>
  </si>
  <si>
    <t>БЗ-16-ШЛ</t>
  </si>
  <si>
    <t xml:space="preserve"> БЗ-35-СЛ</t>
  </si>
  <si>
    <t>ДГЗ-</t>
  </si>
  <si>
    <t>Полный комплекс работ по строительству объекта РЛС ВЗГ г. Барнаул, Алтайский  край</t>
  </si>
  <si>
    <t>КОНТРАКТЫ ГУИР №2 с ФГУП "Спецстройинжиниринг" по объектам Министерства обороны РФ.</t>
  </si>
  <si>
    <t>2.1.1</t>
  </si>
  <si>
    <t>котельная ,Новосибирская обл., п.Пашино, 57 ЭТК площадка 11, в/ч 73727</t>
  </si>
  <si>
    <t>К-27/9-3</t>
  </si>
  <si>
    <t>2.1.2</t>
  </si>
  <si>
    <t xml:space="preserve">теплосети  ,Новосибирской обл., п. Пашино, в/г 920/10, в/ч 62682 </t>
  </si>
  <si>
    <t>К-27/9-4</t>
  </si>
  <si>
    <t>2.1.3</t>
  </si>
  <si>
    <t xml:space="preserve">котельная ,Новосибирской обл., п. Пашино, в/г 920/10, в/ч 62682 </t>
  </si>
  <si>
    <t>К-27/9-5</t>
  </si>
  <si>
    <t>Направлен на акцепт  в УФО 30.04.13г.</t>
  </si>
  <si>
    <t>2.1.4</t>
  </si>
  <si>
    <t>котельная ,Кемеровская обл., г.Анжеро-Судженск, в/г 8, военкомат</t>
  </si>
  <si>
    <t>К-29/9-5</t>
  </si>
  <si>
    <t>2.1.5</t>
  </si>
  <si>
    <t>котельная ,Кемеровская обл., г.Юрга, в/г 5, в/ч 21005</t>
  </si>
  <si>
    <t>К-29/9-7</t>
  </si>
  <si>
    <t>2.1.6</t>
  </si>
  <si>
    <t xml:space="preserve">котельная ,Алтайский край, г.Новоалтайск, в/ч 72154 </t>
  </si>
  <si>
    <t>К-40/9-11</t>
  </si>
  <si>
    <t>2.1.7</t>
  </si>
  <si>
    <t>котельная ,Алтайский край, г.Бийск, в/г 6, в/ч 30654</t>
  </si>
  <si>
    <t>К-40/9-12</t>
  </si>
  <si>
    <t>2.1.8</t>
  </si>
  <si>
    <t>котельная ,Алтайский край, г. Бийск, в/г 7, в/ч 31466</t>
  </si>
  <si>
    <t>К-40/9-13</t>
  </si>
  <si>
    <t>2.1.9</t>
  </si>
  <si>
    <t>котельная ,Алтайский край, п.Полковниково, в/г 744/6с, в/ч 29551, площадка 6с</t>
  </si>
  <si>
    <t>К-40/9-15</t>
  </si>
  <si>
    <t>2.1.10</t>
  </si>
  <si>
    <t xml:space="preserve">теплосети  ,Алтайский край, в/г 20, п.Песьянка, </t>
  </si>
  <si>
    <t>К-40/9-16</t>
  </si>
  <si>
    <t>2.1.11</t>
  </si>
  <si>
    <t>котельная ,Алтайский край, п.Косиха, в/г 744, площадка 5с, в/ч 29532</t>
  </si>
  <si>
    <t>К-40/9-17</t>
  </si>
  <si>
    <t>2.1.12</t>
  </si>
  <si>
    <t>котельная ,Алтайский край, п.Новокраюшкино, в/г 744/3С, в/ч 29532</t>
  </si>
  <si>
    <t>К-40/9-18</t>
  </si>
  <si>
    <t>2.1.13</t>
  </si>
  <si>
    <t>котельная ,Алтайский край, п.Б-Ключи, в/г 744/4С, в/ч 29532</t>
  </si>
  <si>
    <t>К-40/9-19</t>
  </si>
  <si>
    <t>2.1.14</t>
  </si>
  <si>
    <t>теплосети  ,г. Новосибирск, филиал ВУНЦ СВ "ОА ВС РФ"</t>
  </si>
  <si>
    <t>К-42/9-10</t>
  </si>
  <si>
    <t>2.1.15</t>
  </si>
  <si>
    <t>теплосети  ,Новосибирская обл., п.Плотниково, в/г 141, в/ч 40283</t>
  </si>
  <si>
    <t>К-42/9-11</t>
  </si>
  <si>
    <t>2.1.16</t>
  </si>
  <si>
    <t>котельная ,Новосибирская обл., п.Плотниково, в/г 135, в/ч 40283</t>
  </si>
  <si>
    <t>К-42/9-12</t>
  </si>
  <si>
    <t>2.1.17</t>
  </si>
  <si>
    <t>котельная ,Новосибирская обл., г.Обь, в/г 11, в/ч 61629</t>
  </si>
  <si>
    <t>К-42/9-2</t>
  </si>
  <si>
    <t>2.1.18</t>
  </si>
  <si>
    <t>К-42/9-3</t>
  </si>
  <si>
    <t>2.1.19</t>
  </si>
  <si>
    <t>котельная ,Алтайский край, г.Камень-на-Оби, в/г 11, Северный аэродром</t>
  </si>
  <si>
    <t>К-42/9-4</t>
  </si>
  <si>
    <t>2.1.20</t>
  </si>
  <si>
    <t>К-42/9-5</t>
  </si>
  <si>
    <t>2.1.21</t>
  </si>
  <si>
    <t>котельная ,Новосибирская обл., п.Плотниково, в/г 135, в/ч 71599, киоск</t>
  </si>
  <si>
    <t>К-42/9-6</t>
  </si>
  <si>
    <t>2.1.22</t>
  </si>
  <si>
    <t>теплосети  ,Новосибирская обл., г.Обь, в/г 11, в/ч 61629</t>
  </si>
  <si>
    <t>К-42/9-7</t>
  </si>
  <si>
    <t>2.1.23</t>
  </si>
  <si>
    <t>котельная ,Новосибирская обл., п.Плотниково, в/г 141, в/ч 40283</t>
  </si>
  <si>
    <t>К-42/9-9</t>
  </si>
  <si>
    <t>2.1.24</t>
  </si>
  <si>
    <t>котельная ,Красноярский край, г. Ачинск, в/г №1</t>
  </si>
  <si>
    <t>КР-АЧ-кот31</t>
  </si>
  <si>
    <t>2.1.25</t>
  </si>
  <si>
    <t>котельная ,Иркутская область, г. Иркутск, ст. Батарейная, в/г № 2</t>
  </si>
  <si>
    <t>КР-БАТАРЕЙ-кот499</t>
  </si>
  <si>
    <t>2.1.26</t>
  </si>
  <si>
    <t>теплосети  ,Иркутская область, п. Белореченский, в/г №1</t>
  </si>
  <si>
    <t>КР-БР-ТТ</t>
  </si>
  <si>
    <t>2.1.27</t>
  </si>
  <si>
    <t>теплосети  ,г. Иркутск, в/г №19</t>
  </si>
  <si>
    <t>КР-ИРК-ТТ</t>
  </si>
  <si>
    <t>Направлен на акцепт  в ДГЗ 22.04.13г.</t>
  </si>
  <si>
    <t>2.1.28</t>
  </si>
  <si>
    <t>котельная , г. Иркутск, в/г №777</t>
  </si>
  <si>
    <t>КР-ИРКУТСК-кот225</t>
  </si>
  <si>
    <t>2.1.29</t>
  </si>
  <si>
    <t>котельная ,Иркутская обл., п.Мегет, в/г 2, в/ч 25512</t>
  </si>
  <si>
    <t>КР-МЕГ-кот8</t>
  </si>
  <si>
    <t>2.1.30</t>
  </si>
  <si>
    <t>котельная ,Иркутская область, г. Нижнеудинск, в/г №8</t>
  </si>
  <si>
    <t>КР-НИЖНЕУД-кот458</t>
  </si>
  <si>
    <t>2.1.31</t>
  </si>
  <si>
    <t>теплосети  ,Иркутская область, Усольский район, п. Средний, в/г №4</t>
  </si>
  <si>
    <t>КР-СРЕД-ТТ</t>
  </si>
  <si>
    <t>2.1.32</t>
  </si>
  <si>
    <t>котельная ,Иркутская область, п. Средний, в/г №7</t>
  </si>
  <si>
    <t>КР-СРЕДН-кот173</t>
  </si>
  <si>
    <t>2.1.33</t>
  </si>
  <si>
    <t>котельная ,Иркутская область, п. Степной, в/г № 5-6</t>
  </si>
  <si>
    <t>КР-СТЕП-кот69</t>
  </si>
  <si>
    <t>2.1.34</t>
  </si>
  <si>
    <t>котельная ,Красноярский край, г.Ужур, пл.6, в/г 5, в/ч 63630</t>
  </si>
  <si>
    <t>КР-УЖУР-кот8</t>
  </si>
  <si>
    <t>2.1.35</t>
  </si>
  <si>
    <t>теплосети, Иркутская область, п. Услон, в/г №1, в/ч 75226</t>
  </si>
  <si>
    <t>КР-УСЛ-ТТ</t>
  </si>
  <si>
    <t>2.2.1</t>
  </si>
  <si>
    <t>Капитальный ремонт здания столовой № 1351, Забайкальский край , п. Домна СТ/ВВО-1</t>
  </si>
  <si>
    <t>СТ/ВВО-1</t>
  </si>
  <si>
    <t>2.2.2</t>
  </si>
  <si>
    <t>СТ/ВВО-2</t>
  </si>
  <si>
    <t>2.3.1</t>
  </si>
  <si>
    <t>ДГЗ-ТСО/2012- 131.1 от 05.02.2013</t>
  </si>
  <si>
    <t>В/ч 22316 ,Новосибирская обл, 
п. Шилово</t>
  </si>
  <si>
    <t>22316/ОХР</t>
  </si>
  <si>
    <t>КОНТРАКТЫ БЕЗ СУБПОДРЯДНЫХ ОРГАНИЗАЦИЙ</t>
  </si>
  <si>
    <t>Авиационная комендатура ,Алтайский край , г.Барнаул</t>
  </si>
  <si>
    <t>БН-АК</t>
  </si>
  <si>
    <t>Авиационная комендатура ,красноярский край , пос.Алыкель</t>
  </si>
  <si>
    <t>АЛ-АК</t>
  </si>
  <si>
    <t>1.4.1</t>
  </si>
  <si>
    <t>1.4.2</t>
  </si>
  <si>
    <t>1.4.3</t>
  </si>
  <si>
    <t>1.4.4</t>
  </si>
  <si>
    <t>1.4.5</t>
  </si>
  <si>
    <t>1.5.1</t>
  </si>
  <si>
    <t>1.5.2</t>
  </si>
  <si>
    <t>нет в своде</t>
  </si>
  <si>
    <t>В т.ч. 2 кв.</t>
  </si>
  <si>
    <t>Стоимость выполненных работ и затрат на текущую дату, руб. с НДС</t>
  </si>
  <si>
    <t>ИТОГО</t>
  </si>
  <si>
    <t>ЦВО (г.Екатеринбург)</t>
  </si>
  <si>
    <t>ЦВО Новосибирск</t>
  </si>
  <si>
    <t xml:space="preserve">ЦВО Екатеринбург </t>
  </si>
  <si>
    <t>ЦВО (г.Новосибирск)</t>
  </si>
  <si>
    <t xml:space="preserve">Отклонено </t>
  </si>
  <si>
    <t>ИТОГО выполнено работ</t>
  </si>
  <si>
    <t>*</t>
  </si>
  <si>
    <t>КОЛ-ВО сооружений</t>
  </si>
  <si>
    <t>Фильтр</t>
  </si>
  <si>
    <t>ВИД ОТЧЕТА</t>
  </si>
  <si>
    <t>ФИЛИАЛ</t>
  </si>
  <si>
    <t>ПОДРЯДЧИК</t>
  </si>
  <si>
    <t>ВИД ПОДРЯДЧИКА</t>
  </si>
  <si>
    <t>10</t>
  </si>
  <si>
    <t>11</t>
  </si>
  <si>
    <t>12</t>
  </si>
  <si>
    <t>13</t>
  </si>
  <si>
    <t>-</t>
  </si>
  <si>
    <t>ИТОГ П</t>
  </si>
  <si>
    <t>ССиВО</t>
  </si>
  <si>
    <t>1.1</t>
  </si>
  <si>
    <t>ИТОГ Ш</t>
  </si>
  <si>
    <t>1.1.1</t>
  </si>
  <si>
    <t>1.1.2</t>
  </si>
  <si>
    <t>1.1.3</t>
  </si>
  <si>
    <t>1.1.4</t>
  </si>
  <si>
    <t>ФЦП РРК</t>
  </si>
  <si>
    <t>ФЦП БЧФ</t>
  </si>
  <si>
    <t>3.1</t>
  </si>
  <si>
    <t>3.3</t>
  </si>
  <si>
    <t>КР ОМО</t>
  </si>
  <si>
    <t>ТО</t>
  </si>
  <si>
    <t>13.1</t>
  </si>
  <si>
    <t>13.1.1</t>
  </si>
  <si>
    <t>13.1.2</t>
  </si>
  <si>
    <t>13.1.3</t>
  </si>
  <si>
    <t>13.1.4</t>
  </si>
  <si>
    <t>13.1.16</t>
  </si>
  <si>
    <t>13.1.18</t>
  </si>
  <si>
    <t>14.1</t>
  </si>
  <si>
    <t>14.1.1</t>
  </si>
  <si>
    <t>14.1.2</t>
  </si>
  <si>
    <t>14.1.3</t>
  </si>
  <si>
    <t>14.1.36</t>
  </si>
  <si>
    <t>15.1</t>
  </si>
  <si>
    <t>в т.ч.</t>
  </si>
  <si>
    <t>ИТОГ Ф</t>
  </si>
  <si>
    <t>ИТОГО по</t>
  </si>
  <si>
    <t>СВОД</t>
  </si>
  <si>
    <t>СВОД Ф</t>
  </si>
  <si>
    <t>СВОД ВО</t>
  </si>
  <si>
    <t>На проверке</t>
  </si>
  <si>
    <t>ССИ-01-140.1 от 21.01.13г.</t>
  </si>
  <si>
    <t>В т.ч. ЯНВАРЬ</t>
  </si>
  <si>
    <t>В т.ч. ФЕВРАЛЬ</t>
  </si>
  <si>
    <t>В т.ч. МАРТ</t>
  </si>
  <si>
    <t>В т.ч. АПРЕЛЬ</t>
  </si>
  <si>
    <t>В т.ч. МАЙ</t>
  </si>
  <si>
    <t>В т.ч. ИЮНЬ</t>
  </si>
  <si>
    <t>В т.ч. ИЮЛЬ</t>
  </si>
  <si>
    <t>В т.ч. АВГУСТ</t>
  </si>
  <si>
    <t>В т.ч. СЕНТЯБРЬ</t>
  </si>
  <si>
    <t>В т.ч. ОКТЯБРЬ</t>
  </si>
  <si>
    <t>В т.ч. НОЯБРЬ</t>
  </si>
  <si>
    <t>В т.ч. ДЕКАБРЬ</t>
  </si>
  <si>
    <t>1.1а</t>
  </si>
  <si>
    <t>1.1а.1</t>
  </si>
  <si>
    <t>1.1а.2</t>
  </si>
  <si>
    <t>1.1а.3</t>
  </si>
  <si>
    <t>1.1а.4</t>
  </si>
  <si>
    <t>49</t>
  </si>
  <si>
    <t>49.1</t>
  </si>
  <si>
    <t>ИТОГ МОСКВА</t>
  </si>
  <si>
    <t>ИТОГ ФАКТОР</t>
  </si>
  <si>
    <t>ИТОГО по ФАКТОР</t>
  </si>
  <si>
    <t>ИТОГ П ФАКТОР</t>
  </si>
  <si>
    <t>ФАКТОР</t>
  </si>
  <si>
    <t>ИТОГ СТОЙКИЕ</t>
  </si>
  <si>
    <t>В Т.Ч. ПО ПРЕДПРИЯТИЯМ ПРИ  СТОЙКИЕ</t>
  </si>
  <si>
    <t>СТОЙКИЕ</t>
  </si>
  <si>
    <t>в том числе по ТО - подрядчики при СТОЙКИЕ</t>
  </si>
  <si>
    <t>ВИД ПРОИЗЕРКАЛОДСТВА</t>
  </si>
  <si>
    <t>ЗЕРКАЛО</t>
  </si>
  <si>
    <t>ИТОГО ПО ЗЕРКАЛО</t>
  </si>
  <si>
    <t>в том числе по ЗЕРКАЛО - подрядчики при СТОЙКИЕ</t>
  </si>
  <si>
    <t>П-ЗЕРКАЛО</t>
  </si>
  <si>
    <t>ЮРМАЛА</t>
  </si>
  <si>
    <t>ИТОГО ПО ЮРМАЛА</t>
  </si>
  <si>
    <t>в том числе по ЮРМАЛА - подрядчики при СТОЙКИЕ</t>
  </si>
  <si>
    <t>П-ЮРМАЛА</t>
  </si>
  <si>
    <t>ЦЕМЕНТОВОЗ</t>
  </si>
  <si>
    <t>ИТОГО ПО ЦЕМЕНТОВОЗ</t>
  </si>
  <si>
    <t>в том числе по ЦЕМЕНТОВОЗ - подрядчики при СТОЙКИЕ</t>
  </si>
  <si>
    <t>П-ЦЕМЕНТОВОЗ</t>
  </si>
  <si>
    <t>ИТОГ ЗЕРКАЛА</t>
  </si>
  <si>
    <t>В Т.Ч. ПО ЗЕРКАЛАОННИМ ПРЕДПРИЯТИЯМ</t>
  </si>
  <si>
    <t>ЗЕРКАЛА</t>
  </si>
  <si>
    <t>в том числе по ЗЕРКАЛО - ЗЕРКАЛАонние подрядчики</t>
  </si>
  <si>
    <t>в том числе по ЮРМАЛА - ЗЕРКАЛАонние подрядчики</t>
  </si>
  <si>
    <t>в том числе по ЦЕМЕНТОВОЗ - ЗЕРКАЛАонние подрядчики</t>
  </si>
  <si>
    <t>в том числе по ТО  - ЗЕРКАЛАонние подрядчики</t>
  </si>
  <si>
    <t>ЗЕРКАЛАОННИЕ ПРЕДПРИЯТИЯ</t>
  </si>
  <si>
    <t>Наименование договора, срок ВОСЕМЬда</t>
  </si>
  <si>
    <t>ВОСЕМЬ</t>
  </si>
  <si>
    <t>ИТОГО ПО ВОСЕМЬ</t>
  </si>
  <si>
    <t>в том числе по ВОСЕМЬ - подрядчики при СТОЙКИЕ</t>
  </si>
  <si>
    <t>в том числе по ВОСЕМЬ - ЗЕРКАЛАонние подрядчики</t>
  </si>
  <si>
    <t>П-ВОСЕМЬ</t>
  </si>
  <si>
    <t>ТУФЛИ</t>
  </si>
  <si>
    <t>в том числе по ТУФЛИ - подрядчики при СТОЙКИЕ</t>
  </si>
  <si>
    <t>в том числе по ТУФЛИ  - ЗЕРКАЛАонние подрядчики</t>
  </si>
  <si>
    <t>П-ТУФЛИ</t>
  </si>
  <si>
    <t>РЕТРО ЗЕРКАЛО</t>
  </si>
  <si>
    <t>в том числе по РЕТРО ЗЕРКАЛО - подрядчики при СТОЙКИЕ</t>
  </si>
  <si>
    <t>в том числе по РЕТРО ЗЕРКАЛО  - ЗЕРКАЛАонние подрядчики</t>
  </si>
  <si>
    <t>РЕТРО ЦЕМЕНТОВОЗ</t>
  </si>
  <si>
    <t>в том числе по РЕТРО ЦЕМЕНТОВОЗ - подрядчики при СТОЙКИЕ</t>
  </si>
  <si>
    <t>в том числе по РЕТРО ЦЕМЕНТОВОЗ  - ЗЕРКАЛАонние подрядчики</t>
  </si>
  <si>
    <t>РЕТРО ВОСЕМЬ</t>
  </si>
  <si>
    <t>в том числе по РЕТРО ВОСЕМЬ - подрядчики при СТОЙКИЕ</t>
  </si>
  <si>
    <t>в том числе по РЕТРО ВОСЕМЬ  - ЗЕРКАЛАонние подрядчики</t>
  </si>
  <si>
    <t>РЕТРО ЮРМАЛА</t>
  </si>
  <si>
    <t>в том числе по РЕТРО ЮРМАЛА - подрядчики при СТОЙКИЕ</t>
  </si>
  <si>
    <t>в том числе по РЕТРО ЮРМАЛА  - ЗЕРКАЛАонние подрядчики</t>
  </si>
  <si>
    <t>П-РЕТРО ЗЕРКАЛО</t>
  </si>
  <si>
    <t>П-РЕТРО ЦЕМЕНТОВОЗ</t>
  </si>
  <si>
    <t>П-РЕТРО ВОСЕМЬ</t>
  </si>
  <si>
    <t>П-РЕТРО ЮРМАЛА</t>
  </si>
  <si>
    <t xml:space="preserve">ОБРАЗ КВ РЕТРО ЗЕРКАЛО </t>
  </si>
  <si>
    <t>ОБРАЗ КВ РЕТРО ЗЕРКАЛО</t>
  </si>
  <si>
    <t>в том числе по ОБРАЗ КВ РЕТРО ЗЕРКАЛО - подрядчики при СТОЙКИЕ</t>
  </si>
  <si>
    <t>в том числе по ОБРАЗ КВ РЕТРО ЗЕРКАЛО  - ЗЕРКАЛАонние подрядчики</t>
  </si>
  <si>
    <t>ОБРАЗ г.Новороссийск РЕТРО ЮРМАЛА</t>
  </si>
  <si>
    <t>ОБРАЗ г. Новороссийск 
РЕТРО ЮРМАЛА</t>
  </si>
  <si>
    <t>в том числе по ОБРАЗ г. Новороссийск РЕТРО ЮРМАЛА - подрядчики при СТОЙКИЕ</t>
  </si>
  <si>
    <t>в том числе по ОБРАЗ г. Новороссийск РЕТРО ЮРМАЛА  - ЗЕРКАЛАонние подрядчики</t>
  </si>
  <si>
    <t>ОБРАЗ г.Новосибирск РЕТРО ЦЕМЕНТОВОЗ</t>
  </si>
  <si>
    <t>в том числе по ОБРАЗ г.Новосибирск РЕТРО ЦЕМЕНТОВОЗ - подрядчики при СТОЙКИЕ</t>
  </si>
  <si>
    <t>в том числе по ОБРАЗ г.Новосибирск РЕТРО ЦЕМЕНТОВОЗ  - ЗЕРКАЛАонние подрядчики</t>
  </si>
  <si>
    <t>П-ОБРАЗ КВ РЕТРО ЗЕРКАЛО</t>
  </si>
  <si>
    <t>П-ОБРАЗ г.Новороссийск РЕТРО ЮРМАЛА</t>
  </si>
  <si>
    <t>ВООБРАЖАЕМЫЙ ОКРУГ</t>
  </si>
  <si>
    <t>!ПРОВЕРКА ПО ВООБРАЖАЕМЫМ ОКРУГАМ!</t>
  </si>
  <si>
    <t>ПОДРАЗДЕЛЕНИЕ ЗАРПЛАТЕРА</t>
  </si>
  <si>
    <t>Стоимость по ОСНОВНОЙ</t>
  </si>
  <si>
    <t>ИТОГ ОСНОВНОЙ</t>
  </si>
  <si>
    <t>СЕВЕР</t>
  </si>
  <si>
    <t>в том числе по СЕВЕР - подрядчики при СТОЙКИЕ</t>
  </si>
  <si>
    <t>в том числе по СЕВЕР  - ЗЕРКАЛАонние подрядчики</t>
  </si>
  <si>
    <t>ЦЕНТР</t>
  </si>
  <si>
    <t>ЦЕНТР - ОК</t>
  </si>
  <si>
    <t>в том числе по ЦЕНТР - ОК - подрядчики при СТОЙКИЕ</t>
  </si>
  <si>
    <t>в том числе по ЦЕНТР - ОК  - ЗЕРКАЛАонние подрядчики</t>
  </si>
  <si>
    <t>ПРиволжье</t>
  </si>
  <si>
    <t>в том числе по ПРиволжье - подрядчики при СТОЙКИЕ</t>
  </si>
  <si>
    <t>в том числе по ПРиволжье  - ЗЕРКАЛАонние подрядчики</t>
  </si>
  <si>
    <t>ЮГ</t>
  </si>
  <si>
    <t>в том числе по ЮГ - подрядчики при СТОЙКИЕ</t>
  </si>
  <si>
    <t>в том числе по ЮГ  - ЗЕРКАЛАонние подрядчики</t>
  </si>
  <si>
    <t>Урал</t>
  </si>
  <si>
    <t>в том числе по Урал - подрядчики при СТОЙКИЕ</t>
  </si>
  <si>
    <t>в том числе по Урал  - ЗЕРКАЛАонние подрядчики</t>
  </si>
  <si>
    <t>ПОДРЯДЧИК-1</t>
  </si>
  <si>
    <t>КОНТРАКТЫ ПОДРЯДЧИК-1</t>
  </si>
  <si>
    <t>ПОДРЯДЧИК-3</t>
  </si>
  <si>
    <t>КОНТРАКТЫ ПОДРЯДЧИК-3</t>
  </si>
  <si>
    <t>ПОДРЯДЧИК-4</t>
  </si>
  <si>
    <t>КОНТРАКТЫ ПОДРЯДЧИК-4</t>
  </si>
  <si>
    <t>ДАЛЬНИЙ</t>
  </si>
  <si>
    <t>в том числе по ДАЛЬНИЙ - подрядчики при СТОЙКИЕ</t>
  </si>
  <si>
    <t>в том числе по ДАЛЬНИЙ  - ЗЕРКАЛАонние подрядчики</t>
  </si>
  <si>
    <t>Сибирь</t>
  </si>
  <si>
    <t>в том числе по Сибирь - подрядчики при СТОЙКИЕ</t>
  </si>
  <si>
    <t>в том числе по Сибирь  - ЗЕРКАЛАонние подрядчики</t>
  </si>
  <si>
    <t>КОНТРАКТЫ ЗАО "13333"</t>
  </si>
  <si>
    <t>ЗАО "13333"</t>
  </si>
  <si>
    <t>КОНТРАКТЫ ООО "14444"</t>
  </si>
  <si>
    <t>ООО "14444"</t>
  </si>
  <si>
    <t>КОНТРАКТЫ ОАО15555»</t>
  </si>
  <si>
    <t>ОАО15555»</t>
  </si>
  <si>
    <t>КОНТРАКТЫ 14949 ПО ОБЪЕКТАМ ФАКТОР</t>
  </si>
  <si>
    <t>СЕВЕР - САН</t>
  </si>
  <si>
    <t>ПРиволжье - САРА</t>
  </si>
  <si>
    <t>ЮГ - НАРА</t>
  </si>
  <si>
    <t>Урал - ЕРА</t>
  </si>
  <si>
    <t>Сибирь - НОВА</t>
  </si>
  <si>
    <t>ДАЛЬНИЙ - ХАРА</t>
  </si>
  <si>
    <t>ТО - ПАРА</t>
  </si>
  <si>
    <t>ОБРАЗ ТРЮМ
РЕТРО ЦЕМЕНТОВОЗ</t>
  </si>
  <si>
    <t>П-ОБРАЗ ТРЮМРЕТРО ЦЕМЕНТОВОЗ</t>
  </si>
  <si>
    <t>ОБРАЗ ТРЮМРЕТРО ЦЕМЕНТОВОЗ</t>
  </si>
  <si>
    <t>ОБРАЗ НОС
РЕТРО ЦЕМЕНТОВОЗ</t>
  </si>
  <si>
    <t>П-ОБРАЗ НОСРЕТРО ЦЕМЕНТОВОЗ</t>
  </si>
  <si>
    <t>ОБРАЗ НОСРЕТРО ЦЕМЕНТОВОЗ</t>
  </si>
  <si>
    <t>ОБРАЗ ТУРТУФЛИ</t>
  </si>
  <si>
    <t>ОБРАЗ ТУР
ТУФЛИ</t>
  </si>
  <si>
    <t>в том числе по ОБРАЗ ТУРТУФЛИ - подрядчики при СТОЙКИЕ</t>
  </si>
  <si>
    <t>в том числе по ОБРАЗ ТУРТУФЛИ  - ЗЕРКАЛАонние подрядчики</t>
  </si>
  <si>
    <t>П-ОБРАЗ ТУРТУФЛИ</t>
  </si>
  <si>
    <t>!ПРОВЕРКА!</t>
  </si>
  <si>
    <t>ИТОГО по МОСКВА</t>
  </si>
  <si>
    <t>СВОД ЗЕРК</t>
  </si>
  <si>
    <t>01515</t>
  </si>
  <si>
    <t>01515-1</t>
  </si>
  <si>
    <t>01515-2</t>
  </si>
  <si>
    <t>01515-3</t>
  </si>
  <si>
    <t>01515-4</t>
  </si>
  <si>
    <t>01616</t>
  </si>
  <si>
    <t>01616-1</t>
  </si>
  <si>
    <t>01616-2</t>
  </si>
  <si>
    <t>01616-3</t>
  </si>
  <si>
    <t>01616-4</t>
  </si>
  <si>
    <t>22336</t>
  </si>
  <si>
    <t>22336-1</t>
  </si>
  <si>
    <t>22336-2</t>
  </si>
  <si>
    <t>22336-3</t>
  </si>
  <si>
    <t>22336-5</t>
  </si>
  <si>
    <t>22336-6</t>
  </si>
  <si>
    <t>22336-7</t>
  </si>
  <si>
    <t>22337</t>
  </si>
  <si>
    <t>22338</t>
  </si>
  <si>
    <t>22339</t>
  </si>
  <si>
    <t>34859</t>
  </si>
  <si>
    <t>34861</t>
  </si>
  <si>
    <t>13899</t>
  </si>
  <si>
    <t>13899-1</t>
  </si>
  <si>
    <t>13899-2</t>
  </si>
  <si>
    <t>13899-3</t>
  </si>
  <si>
    <t>13899-4</t>
  </si>
  <si>
    <t>13899-16</t>
  </si>
  <si>
    <t>13899-18</t>
  </si>
  <si>
    <t>14798</t>
  </si>
  <si>
    <t>14798-1</t>
  </si>
  <si>
    <t>14798-2</t>
  </si>
  <si>
    <t>14798-3</t>
  </si>
  <si>
    <t>14798-36</t>
  </si>
  <si>
    <t>ОБРАЗ г.ТАТРА РЕТРО ЦЕМЕНТОВОЗ</t>
  </si>
  <si>
    <t>в том числе по ОБРАЗ г.ТАТРА РЕТРО ЦЕМЕНТОВОЗ - подрядчики при СТОЙКИЕ</t>
  </si>
  <si>
    <t>в том числе по ОБРАЗ г.ТАТРА РЕТРО ЦЕМЕНТОВОЗ  - ЗЕРКАЛАонние подрядчики</t>
  </si>
  <si>
    <t>ИТОГО по СПЕЦ</t>
  </si>
  <si>
    <t>ВЫПОЛНЕНИЕ - ФАКТ 2014</t>
  </si>
  <si>
    <t>Стоимость выполненных и предъявленных  за 2014 год</t>
  </si>
  <si>
    <t>Принято ЗАРПЛАТЕРом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</si>
</sst>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4" x14ac:knownFonts="1">
    <font>
      <sz val="12"/>
      <color theme="1"/>
      <name val="Bookman Old Style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SimSun"/>
      <family val="2"/>
      <charset val="204"/>
    </font>
    <font>
      <sz val="11"/>
      <color indexed="8"/>
      <name val="Calibri"/>
      <family val="2"/>
    </font>
    <font>
      <sz val="10"/>
      <name val="Arial Cy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Arial"/>
      <family val="2"/>
      <charset val="1"/>
    </font>
    <font>
      <sz val="12"/>
      <color theme="1"/>
      <name val="Bookman Old Style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6.05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Bookman Old Style"/>
      <family val="2"/>
      <charset val="204"/>
    </font>
    <font>
      <b/>
      <sz val="20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E6F3F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3" fillId="0" borderId="0"/>
    <xf numFmtId="0" fontId="2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6" fillId="0" borderId="0"/>
    <xf numFmtId="0" fontId="25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6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3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9" fontId="31" fillId="4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vertical="top" wrapText="1"/>
    </xf>
    <xf numFmtId="0" fontId="5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49" fontId="2" fillId="0" borderId="8" xfId="0" applyNumberFormat="1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32" fillId="6" borderId="1" xfId="0" applyFont="1" applyFill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top" wrapText="1"/>
    </xf>
    <xf numFmtId="0" fontId="32" fillId="6" borderId="3" xfId="0" applyFont="1" applyFill="1" applyBorder="1" applyAlignment="1">
      <alignment horizontal="center" vertical="top" wrapText="1"/>
    </xf>
    <xf numFmtId="4" fontId="31" fillId="0" borderId="3" xfId="0" applyNumberFormat="1" applyFont="1" applyBorder="1" applyAlignment="1">
      <alignment horizontal="center" vertical="center"/>
    </xf>
    <xf numFmtId="49" fontId="32" fillId="4" borderId="3" xfId="0" applyNumberFormat="1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/>
    </xf>
    <xf numFmtId="3" fontId="31" fillId="0" borderId="1" xfId="0" applyNumberFormat="1" applyFont="1" applyBorder="1" applyAlignment="1">
      <alignment horizontal="center" vertical="center" wrapText="1"/>
    </xf>
    <xf numFmtId="4" fontId="31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/>
    </xf>
    <xf numFmtId="4" fontId="32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9" applyFont="1" applyFill="1" applyBorder="1" applyAlignment="1" applyProtection="1">
      <alignment horizontal="left" vertical="center" wrapText="1" shrinkToFit="1"/>
      <protection locked="0"/>
    </xf>
    <xf numFmtId="0" fontId="31" fillId="0" borderId="1" xfId="0" applyFont="1" applyFill="1" applyBorder="1" applyAlignment="1">
      <alignment horizontal="center" vertical="top" wrapText="1"/>
    </xf>
    <xf numFmtId="3" fontId="31" fillId="0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9" applyFont="1" applyFill="1" applyBorder="1" applyAlignment="1" applyProtection="1">
      <alignment vertical="center" wrapText="1" shrinkToFit="1"/>
      <protection locked="0"/>
    </xf>
    <xf numFmtId="0" fontId="5" fillId="0" borderId="1" xfId="9" applyFont="1" applyFill="1" applyBorder="1" applyAlignment="1" applyProtection="1">
      <alignment horizontal="left" vertical="center" shrinkToFi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right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49" fontId="1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Fill="1" applyBorder="1" applyAlignment="1">
      <alignment horizontal="center" vertical="center" wrapText="1"/>
    </xf>
    <xf numFmtId="3" fontId="21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right" vertical="center"/>
    </xf>
    <xf numFmtId="49" fontId="18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11" xfId="0" applyFont="1" applyFill="1" applyBorder="1" applyAlignment="1">
      <alignment vertical="center" wrapText="1"/>
    </xf>
    <xf numFmtId="1" fontId="18" fillId="0" borderId="0" xfId="0" applyNumberFormat="1" applyFont="1" applyFill="1" applyAlignment="1">
      <alignment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left" vertical="center" wrapText="1"/>
    </xf>
    <xf numFmtId="3" fontId="18" fillId="0" borderId="0" xfId="0" applyNumberFormat="1" applyFont="1" applyFill="1" applyAlignment="1">
      <alignment horizontal="right" vertical="center" wrapText="1"/>
    </xf>
    <xf numFmtId="3" fontId="18" fillId="0" borderId="0" xfId="0" applyNumberFormat="1" applyFont="1" applyFill="1" applyAlignment="1">
      <alignment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1" fontId="18" fillId="0" borderId="13" xfId="0" applyNumberFormat="1" applyFont="1" applyFill="1" applyBorder="1" applyAlignment="1">
      <alignment vertical="center" wrapText="1"/>
    </xf>
    <xf numFmtId="1" fontId="18" fillId="0" borderId="8" xfId="0" applyNumberFormat="1" applyFont="1" applyFill="1" applyBorder="1" applyAlignment="1">
      <alignment vertical="center" wrapText="1"/>
    </xf>
    <xf numFmtId="1" fontId="18" fillId="0" borderId="19" xfId="0" applyNumberFormat="1" applyFont="1" applyFill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center" vertical="center" wrapText="1"/>
    </xf>
    <xf numFmtId="3" fontId="21" fillId="0" borderId="8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vertical="center"/>
    </xf>
    <xf numFmtId="3" fontId="37" fillId="0" borderId="0" xfId="0" applyNumberFormat="1" applyFont="1" applyFill="1" applyAlignment="1">
      <alignment vertical="center"/>
    </xf>
    <xf numFmtId="3" fontId="18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right" vertical="center"/>
    </xf>
    <xf numFmtId="3" fontId="38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3" fontId="40" fillId="0" borderId="1" xfId="0" applyNumberFormat="1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1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1" fontId="23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1" fontId="19" fillId="0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Alignment="1">
      <alignment horizontal="right" vertical="center"/>
    </xf>
  </cellXfs>
  <cellStyles count="42">
    <cellStyle name="20% - Акцент1 2" xfId="1"/>
    <cellStyle name="20% - Акцент1 2 2" xfId="2"/>
    <cellStyle name="Excel Built-in Normal 3" xfId="3"/>
    <cellStyle name="Гиперссылка 2" xfId="4"/>
    <cellStyle name="Денежный 2" xfId="5"/>
    <cellStyle name="Обычный" xfId="0" builtinId="0"/>
    <cellStyle name="Обычный 10" xfId="6"/>
    <cellStyle name="Обычный 11" xfId="7"/>
    <cellStyle name="Обычный 2" xfId="8"/>
    <cellStyle name="Обычный 2 2" xfId="9"/>
    <cellStyle name="Обычный 2 2 2" xfId="10"/>
    <cellStyle name="Обычный 2 4" xfId="11"/>
    <cellStyle name="Обычный 3" xfId="12"/>
    <cellStyle name="Обычный 3 2" xfId="13"/>
    <cellStyle name="Обычный 3 2 2" xfId="14"/>
    <cellStyle name="Обычный 3 3" xfId="15"/>
    <cellStyle name="Обычный 3 3 2" xfId="16"/>
    <cellStyle name="Обычный 4" xfId="17"/>
    <cellStyle name="Обычный 4 2" xfId="18"/>
    <cellStyle name="Обычный 4 3" xfId="19"/>
    <cellStyle name="Обычный 5" xfId="20"/>
    <cellStyle name="Обычный 5 2" xfId="21"/>
    <cellStyle name="Обычный 5 3" xfId="22"/>
    <cellStyle name="Обычный 5 3 2" xfId="23"/>
    <cellStyle name="Обычный 6" xfId="24"/>
    <cellStyle name="Обычный 6 2" xfId="25"/>
    <cellStyle name="Обычный 7" xfId="26"/>
    <cellStyle name="Обычный 8" xfId="27"/>
    <cellStyle name="Обычный 9" xfId="28"/>
    <cellStyle name="Финансовый 2" xfId="29"/>
    <cellStyle name="Финансовый 2 2" xfId="30"/>
    <cellStyle name="Финансовый 2 2 2" xfId="31"/>
    <cellStyle name="Финансовый 2 3" xfId="32"/>
    <cellStyle name="Финансовый 3" xfId="33"/>
    <cellStyle name="Финансовый 3 2" xfId="34"/>
    <cellStyle name="Финансовый 3 2 2" xfId="35"/>
    <cellStyle name="Финансовый 3 3" xfId="36"/>
    <cellStyle name="Финансовый 4" xfId="37"/>
    <cellStyle name="Финансовый 4 2" xfId="38"/>
    <cellStyle name="Финансовый 4 3" xfId="39"/>
    <cellStyle name="Финансовый 5" xfId="40"/>
    <cellStyle name="Финансовый 6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87"/>
  <sheetViews>
    <sheetView view="pageBreakPreview" topLeftCell="A13" zoomScale="90" zoomScaleNormal="79" zoomScaleSheetLayoutView="90" workbookViewId="0">
      <selection activeCell="A10" sqref="A10:IV10"/>
    </sheetView>
  </sheetViews>
  <sheetFormatPr defaultColWidth="6.796875" defaultRowHeight="12.75" x14ac:dyDescent="0.2"/>
  <cols>
    <col min="1" max="1" width="6" style="1" customWidth="1"/>
    <col min="2" max="2" width="16.59765625" style="2" customWidth="1"/>
    <col min="3" max="3" width="26.09765625" style="3" customWidth="1"/>
    <col min="4" max="4" width="8" style="3" customWidth="1"/>
    <col min="5" max="5" width="10.09765625" style="1" customWidth="1"/>
    <col min="6" max="6" width="10.3984375" style="1" customWidth="1"/>
    <col min="7" max="7" width="11.796875" style="3" customWidth="1"/>
    <col min="8" max="8" width="14.3984375" style="4" customWidth="1"/>
    <col min="9" max="9" width="15" style="4" customWidth="1"/>
    <col min="10" max="10" width="16.8984375" style="4" customWidth="1"/>
    <col min="11" max="11" width="23.3984375" style="4" customWidth="1"/>
    <col min="12" max="16384" width="6.796875" style="4"/>
  </cols>
  <sheetData>
    <row r="2" spans="1:13" ht="21.75" customHeight="1" x14ac:dyDescent="0.2">
      <c r="A2" s="147" t="s">
        <v>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ht="13.1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3" ht="4.9000000000000004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3" ht="14.25" customHeight="1" thickBo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3" ht="35.25" customHeight="1" x14ac:dyDescent="0.2">
      <c r="A6" s="149" t="s">
        <v>0</v>
      </c>
      <c r="B6" s="152" t="s">
        <v>1</v>
      </c>
      <c r="C6" s="152" t="s">
        <v>2</v>
      </c>
      <c r="D6" s="152" t="s">
        <v>3</v>
      </c>
      <c r="E6" s="138" t="s">
        <v>50</v>
      </c>
      <c r="F6" s="138"/>
      <c r="G6" s="140" t="s">
        <v>197</v>
      </c>
      <c r="H6" s="140"/>
      <c r="I6" s="140"/>
      <c r="J6" s="140"/>
      <c r="K6" s="141" t="s">
        <v>4</v>
      </c>
    </row>
    <row r="7" spans="1:13" ht="35.25" customHeight="1" x14ac:dyDescent="0.2">
      <c r="A7" s="150"/>
      <c r="B7" s="153"/>
      <c r="C7" s="153"/>
      <c r="D7" s="153"/>
      <c r="E7" s="138" t="s">
        <v>49</v>
      </c>
      <c r="F7" s="138" t="s">
        <v>196</v>
      </c>
      <c r="G7" s="138" t="s">
        <v>13</v>
      </c>
      <c r="H7" s="138" t="s">
        <v>16</v>
      </c>
      <c r="I7" s="138" t="s">
        <v>17</v>
      </c>
      <c r="J7" s="145" t="s">
        <v>14</v>
      </c>
      <c r="K7" s="142"/>
    </row>
    <row r="8" spans="1:13" s="5" customFormat="1" ht="64.150000000000006" customHeight="1" x14ac:dyDescent="0.25">
      <c r="A8" s="151"/>
      <c r="B8" s="138"/>
      <c r="C8" s="138"/>
      <c r="D8" s="138"/>
      <c r="E8" s="138"/>
      <c r="F8" s="138"/>
      <c r="G8" s="138"/>
      <c r="H8" s="138"/>
      <c r="I8" s="138"/>
      <c r="J8" s="146"/>
      <c r="K8" s="143"/>
    </row>
    <row r="9" spans="1:13" s="5" customFormat="1" ht="16.5" customHeight="1" x14ac:dyDescent="0.25">
      <c r="A9" s="22"/>
      <c r="B9" s="21"/>
      <c r="C9" s="21"/>
      <c r="D9" s="21"/>
      <c r="E9" s="21"/>
      <c r="F9" s="21"/>
      <c r="G9" s="21"/>
      <c r="H9" s="21"/>
      <c r="I9" s="21"/>
      <c r="J9" s="9"/>
      <c r="K9" s="20"/>
    </row>
    <row r="10" spans="1:13" s="6" customFormat="1" ht="25.9" customHeight="1" x14ac:dyDescent="0.2">
      <c r="A10" s="26">
        <v>1</v>
      </c>
      <c r="B10" s="134" t="s">
        <v>36</v>
      </c>
      <c r="C10" s="135"/>
      <c r="D10" s="28"/>
      <c r="E10" s="28">
        <f t="shared" ref="E10:J10" si="0">SUM(E14:E26)</f>
        <v>4333305791.1800003</v>
      </c>
      <c r="F10" s="28">
        <f>SUM(F14:F26)</f>
        <v>1018209000</v>
      </c>
      <c r="G10" s="28">
        <f t="shared" si="0"/>
        <v>0</v>
      </c>
      <c r="H10" s="28">
        <f t="shared" si="0"/>
        <v>423357684.73000002</v>
      </c>
      <c r="I10" s="28">
        <f t="shared" si="0"/>
        <v>0</v>
      </c>
      <c r="J10" s="28">
        <f t="shared" si="0"/>
        <v>20642846.760000002</v>
      </c>
      <c r="K10" s="40">
        <f>G10+H10+I10+J10</f>
        <v>444000531.49000001</v>
      </c>
    </row>
    <row r="11" spans="1:13" s="6" customFormat="1" ht="21" customHeight="1" x14ac:dyDescent="0.2">
      <c r="A11" s="106"/>
      <c r="B11" s="107"/>
      <c r="C11" s="108" t="s">
        <v>199</v>
      </c>
      <c r="D11" s="109"/>
      <c r="E11" s="112">
        <f t="shared" ref="E11:K11" si="1">E10-E12</f>
        <v>2403746688</v>
      </c>
      <c r="F11" s="112">
        <f t="shared" si="1"/>
        <v>70669000</v>
      </c>
      <c r="G11" s="112">
        <f t="shared" si="1"/>
        <v>0</v>
      </c>
      <c r="H11" s="112">
        <f t="shared" si="1"/>
        <v>0</v>
      </c>
      <c r="I11" s="112">
        <f t="shared" si="1"/>
        <v>0</v>
      </c>
      <c r="J11" s="112">
        <f t="shared" si="1"/>
        <v>20642846.760000002</v>
      </c>
      <c r="K11" s="110">
        <f t="shared" si="1"/>
        <v>444000531.49000001</v>
      </c>
      <c r="L11" s="7"/>
      <c r="M11" s="7"/>
    </row>
    <row r="12" spans="1:13" s="6" customFormat="1" ht="21" customHeight="1" x14ac:dyDescent="0.2">
      <c r="A12" s="106"/>
      <c r="B12" s="107"/>
      <c r="C12" s="108" t="s">
        <v>202</v>
      </c>
      <c r="D12" s="109"/>
      <c r="E12" s="112">
        <f t="shared" ref="E12:J12" si="2">E14+E15+E16</f>
        <v>1929559103.1800001</v>
      </c>
      <c r="F12" s="112">
        <f t="shared" si="2"/>
        <v>947540000</v>
      </c>
      <c r="G12" s="112">
        <f t="shared" si="2"/>
        <v>0</v>
      </c>
      <c r="H12" s="112">
        <f t="shared" si="2"/>
        <v>423357684.73000002</v>
      </c>
      <c r="I12" s="112">
        <f t="shared" si="2"/>
        <v>0</v>
      </c>
      <c r="J12" s="112">
        <f t="shared" si="2"/>
        <v>0</v>
      </c>
      <c r="K12" s="110">
        <f>K18+K19</f>
        <v>0</v>
      </c>
      <c r="L12" s="7"/>
      <c r="M12" s="7"/>
    </row>
    <row r="13" spans="1:13" s="7" customFormat="1" x14ac:dyDescent="0.2">
      <c r="A13" s="26"/>
      <c r="B13" s="27"/>
      <c r="C13" s="27"/>
      <c r="D13" s="27"/>
      <c r="E13" s="27"/>
      <c r="F13" s="27"/>
      <c r="G13" s="27"/>
      <c r="H13" s="8"/>
      <c r="I13" s="8"/>
      <c r="J13" s="8"/>
      <c r="K13" s="41"/>
      <c r="L13" s="4"/>
      <c r="M13" s="4"/>
    </row>
    <row r="14" spans="1:13" s="7" customFormat="1" ht="57" customHeight="1" x14ac:dyDescent="0.2">
      <c r="A14" s="29" t="s">
        <v>5</v>
      </c>
      <c r="B14" s="30" t="s">
        <v>39</v>
      </c>
      <c r="C14" s="31" t="s">
        <v>38</v>
      </c>
      <c r="D14" s="32" t="s">
        <v>40</v>
      </c>
      <c r="E14" s="54">
        <v>1199942000</v>
      </c>
      <c r="F14" s="54">
        <v>539260000</v>
      </c>
      <c r="G14" s="33">
        <v>0</v>
      </c>
      <c r="H14" s="8">
        <f>183673000+183563973.11</f>
        <v>367236973.11000001</v>
      </c>
      <c r="I14" s="8">
        <v>0</v>
      </c>
      <c r="J14" s="8">
        <v>0</v>
      </c>
      <c r="K14" s="18" t="s">
        <v>37</v>
      </c>
      <c r="L14" s="64"/>
    </row>
    <row r="15" spans="1:13" s="7" customFormat="1" ht="57" customHeight="1" x14ac:dyDescent="0.2">
      <c r="A15" s="29" t="s">
        <v>6</v>
      </c>
      <c r="B15" s="34" t="s">
        <v>43</v>
      </c>
      <c r="C15" s="31" t="s">
        <v>42</v>
      </c>
      <c r="D15" s="32" t="s">
        <v>41</v>
      </c>
      <c r="E15" s="54">
        <v>229651103.18000001</v>
      </c>
      <c r="F15" s="54">
        <v>212400000</v>
      </c>
      <c r="G15" s="33">
        <v>0</v>
      </c>
      <c r="H15" s="8">
        <f>552362+3519478.62</f>
        <v>4071840.62</v>
      </c>
      <c r="I15" s="8">
        <v>0</v>
      </c>
      <c r="J15" s="8">
        <v>0</v>
      </c>
      <c r="K15" s="18"/>
    </row>
    <row r="16" spans="1:13" ht="57" customHeight="1" x14ac:dyDescent="0.2">
      <c r="A16" s="37" t="s">
        <v>7</v>
      </c>
      <c r="B16" s="35" t="s">
        <v>44</v>
      </c>
      <c r="C16" s="10" t="s">
        <v>46</v>
      </c>
      <c r="D16" s="11" t="s">
        <v>45</v>
      </c>
      <c r="E16" s="11">
        <v>499966000</v>
      </c>
      <c r="F16" s="11">
        <v>195880000</v>
      </c>
      <c r="G16" s="38">
        <v>0</v>
      </c>
      <c r="H16" s="8">
        <v>52048871</v>
      </c>
      <c r="I16" s="8">
        <v>0</v>
      </c>
      <c r="J16" s="8">
        <v>0</v>
      </c>
      <c r="K16" s="11"/>
      <c r="L16" s="7"/>
      <c r="M16" s="7"/>
    </row>
    <row r="17" spans="1:13" s="7" customFormat="1" ht="36" customHeight="1" x14ac:dyDescent="0.2">
      <c r="A17" s="88" t="s">
        <v>28</v>
      </c>
      <c r="B17" s="89" t="s">
        <v>32</v>
      </c>
      <c r="C17" s="90" t="s">
        <v>27</v>
      </c>
      <c r="D17" s="62"/>
      <c r="E17" s="63"/>
      <c r="F17" s="55"/>
      <c r="G17" s="55"/>
      <c r="H17" s="55"/>
      <c r="I17" s="55"/>
      <c r="J17" s="8"/>
      <c r="K17" s="63"/>
    </row>
    <row r="18" spans="1:13" s="7" customFormat="1" ht="29.25" customHeight="1" x14ac:dyDescent="0.2">
      <c r="A18" s="65" t="s">
        <v>188</v>
      </c>
      <c r="B18" s="49" t="s">
        <v>51</v>
      </c>
      <c r="C18" s="47" t="s">
        <v>52</v>
      </c>
      <c r="D18" s="66" t="s">
        <v>53</v>
      </c>
      <c r="E18" s="67">
        <v>81840000</v>
      </c>
      <c r="F18" s="11">
        <v>41000000</v>
      </c>
      <c r="G18" s="55">
        <v>0</v>
      </c>
      <c r="H18" s="55">
        <v>0</v>
      </c>
      <c r="I18" s="55">
        <v>0</v>
      </c>
      <c r="J18" s="55">
        <v>0</v>
      </c>
      <c r="K18" s="11"/>
    </row>
    <row r="19" spans="1:13" s="7" customFormat="1" ht="29.25" customHeight="1" x14ac:dyDescent="0.2">
      <c r="A19" s="65" t="s">
        <v>189</v>
      </c>
      <c r="B19" s="49" t="s">
        <v>51</v>
      </c>
      <c r="C19" s="98" t="s">
        <v>54</v>
      </c>
      <c r="D19" s="68" t="s">
        <v>55</v>
      </c>
      <c r="E19" s="67">
        <v>25000000</v>
      </c>
      <c r="F19" s="11">
        <v>15000000</v>
      </c>
      <c r="G19" s="55">
        <v>0</v>
      </c>
      <c r="H19" s="55">
        <v>0</v>
      </c>
      <c r="I19" s="55">
        <v>0</v>
      </c>
      <c r="J19" s="55">
        <v>0</v>
      </c>
      <c r="K19" s="11"/>
    </row>
    <row r="20" spans="1:13" s="7" customFormat="1" ht="29.25" customHeight="1" x14ac:dyDescent="0.2">
      <c r="A20" s="65" t="s">
        <v>190</v>
      </c>
      <c r="B20" s="49" t="s">
        <v>51</v>
      </c>
      <c r="C20" s="92" t="s">
        <v>56</v>
      </c>
      <c r="D20" s="68" t="s">
        <v>57</v>
      </c>
      <c r="E20" s="67">
        <v>1160306688</v>
      </c>
      <c r="F20" s="11">
        <v>1169000</v>
      </c>
      <c r="G20" s="55">
        <v>0</v>
      </c>
      <c r="H20" s="55">
        <v>0</v>
      </c>
      <c r="I20" s="55">
        <v>0</v>
      </c>
      <c r="J20" s="69">
        <v>20642846.760000002</v>
      </c>
      <c r="K20" s="11"/>
    </row>
    <row r="21" spans="1:13" s="7" customFormat="1" ht="29.25" customHeight="1" x14ac:dyDescent="0.2">
      <c r="A21" s="65" t="s">
        <v>191</v>
      </c>
      <c r="B21" s="49" t="s">
        <v>51</v>
      </c>
      <c r="C21" s="10" t="s">
        <v>58</v>
      </c>
      <c r="D21" s="68" t="s">
        <v>59</v>
      </c>
      <c r="E21" s="67">
        <v>3500000</v>
      </c>
      <c r="F21" s="11">
        <v>3500000</v>
      </c>
      <c r="G21" s="55">
        <v>0</v>
      </c>
      <c r="H21" s="55">
        <v>0</v>
      </c>
      <c r="I21" s="55">
        <v>0</v>
      </c>
      <c r="J21" s="55">
        <v>0</v>
      </c>
      <c r="K21" s="11"/>
    </row>
    <row r="22" spans="1:13" s="7" customFormat="1" ht="29.25" customHeight="1" x14ac:dyDescent="0.2">
      <c r="A22" s="65" t="s">
        <v>192</v>
      </c>
      <c r="B22" s="49" t="s">
        <v>51</v>
      </c>
      <c r="C22" s="10" t="s">
        <v>60</v>
      </c>
      <c r="D22" s="68" t="s">
        <v>61</v>
      </c>
      <c r="E22" s="67">
        <v>10000000</v>
      </c>
      <c r="F22" s="11">
        <v>10000000</v>
      </c>
      <c r="G22" s="55">
        <v>0</v>
      </c>
      <c r="H22" s="55">
        <v>0</v>
      </c>
      <c r="I22" s="55">
        <v>0</v>
      </c>
      <c r="J22" s="55">
        <v>0</v>
      </c>
      <c r="K22" s="11"/>
    </row>
    <row r="23" spans="1:13" s="7" customFormat="1" ht="27.75" customHeight="1" x14ac:dyDescent="0.2">
      <c r="A23" s="88" t="s">
        <v>29</v>
      </c>
      <c r="B23" s="91" t="s">
        <v>35</v>
      </c>
      <c r="C23" s="90" t="s">
        <v>26</v>
      </c>
      <c r="D23" s="11"/>
      <c r="E23" s="63"/>
      <c r="F23" s="11"/>
      <c r="G23" s="38"/>
      <c r="H23" s="8"/>
      <c r="I23" s="8"/>
      <c r="J23" s="8"/>
      <c r="K23" s="11"/>
    </row>
    <row r="24" spans="1:13" s="7" customFormat="1" ht="28.5" customHeight="1" x14ac:dyDescent="0.2">
      <c r="A24" s="65" t="s">
        <v>193</v>
      </c>
      <c r="B24" s="93" t="s">
        <v>63</v>
      </c>
      <c r="C24" s="96" t="s">
        <v>60</v>
      </c>
      <c r="D24" s="11" t="s">
        <v>64</v>
      </c>
      <c r="E24" s="11">
        <v>538900000</v>
      </c>
      <c r="F24" s="11">
        <v>0</v>
      </c>
      <c r="G24" s="94">
        <v>0</v>
      </c>
      <c r="H24" s="94">
        <v>0</v>
      </c>
      <c r="I24" s="94">
        <v>0</v>
      </c>
      <c r="J24" s="94">
        <v>0</v>
      </c>
      <c r="K24" s="11"/>
    </row>
    <row r="25" spans="1:13" s="7" customFormat="1" ht="28.5" customHeight="1" x14ac:dyDescent="0.2">
      <c r="A25" s="65" t="s">
        <v>194</v>
      </c>
      <c r="B25" s="93" t="s">
        <v>63</v>
      </c>
      <c r="C25" s="97" t="s">
        <v>56</v>
      </c>
      <c r="D25" s="11" t="s">
        <v>65</v>
      </c>
      <c r="E25" s="11">
        <v>334040000</v>
      </c>
      <c r="F25" s="11">
        <v>0</v>
      </c>
      <c r="G25" s="94">
        <v>0</v>
      </c>
      <c r="H25" s="94">
        <v>0</v>
      </c>
      <c r="I25" s="94">
        <v>0</v>
      </c>
      <c r="J25" s="94">
        <v>0</v>
      </c>
      <c r="K25" s="11"/>
    </row>
    <row r="26" spans="1:13" s="7" customFormat="1" ht="36.75" customHeight="1" x14ac:dyDescent="0.2">
      <c r="A26" s="88" t="s">
        <v>30</v>
      </c>
      <c r="B26" s="93" t="s">
        <v>66</v>
      </c>
      <c r="C26" s="10" t="s">
        <v>67</v>
      </c>
      <c r="D26" s="63">
        <v>6911</v>
      </c>
      <c r="E26" s="63">
        <v>250160000</v>
      </c>
      <c r="F26" s="63">
        <v>0</v>
      </c>
      <c r="G26" s="95">
        <v>0</v>
      </c>
      <c r="H26" s="95">
        <v>0</v>
      </c>
      <c r="I26" s="95">
        <v>0</v>
      </c>
      <c r="J26" s="95">
        <v>0</v>
      </c>
      <c r="K26" s="95"/>
    </row>
    <row r="27" spans="1:13" s="7" customFormat="1" ht="27.75" customHeight="1" x14ac:dyDescent="0.2">
      <c r="A27" s="71">
        <v>2</v>
      </c>
      <c r="B27" s="134" t="s">
        <v>68</v>
      </c>
      <c r="C27" s="135"/>
      <c r="D27" s="28"/>
      <c r="E27" s="56">
        <f>SUM(E32:E71)</f>
        <v>142048958.985329</v>
      </c>
      <c r="F27" s="56">
        <f>SUM(F32:F71)</f>
        <v>78538778.985329002</v>
      </c>
      <c r="G27" s="56">
        <f>SUM(G32:G71)</f>
        <v>119137.52</v>
      </c>
      <c r="H27" s="56">
        <f>SUM(H32:H71)</f>
        <v>21287979.309999999</v>
      </c>
      <c r="I27" s="56">
        <f>SUM(I32:I71)</f>
        <v>0</v>
      </c>
      <c r="J27" s="28">
        <f>SUM(J32:J69)</f>
        <v>53737448.730294891</v>
      </c>
      <c r="K27" s="56">
        <f>G27+H27+I27+J27</f>
        <v>75144565.560294896</v>
      </c>
    </row>
    <row r="28" spans="1:13" s="6" customFormat="1" ht="21" customHeight="1" x14ac:dyDescent="0.2">
      <c r="A28" s="106"/>
      <c r="B28" s="107"/>
      <c r="C28" s="108" t="s">
        <v>199</v>
      </c>
      <c r="D28" s="109"/>
      <c r="E28" s="112">
        <f t="shared" ref="E28:K28" si="3">E27-E29</f>
        <v>142048958.985329</v>
      </c>
      <c r="F28" s="112">
        <f t="shared" si="3"/>
        <v>78538778.985329002</v>
      </c>
      <c r="G28" s="112">
        <f t="shared" si="3"/>
        <v>119137.52</v>
      </c>
      <c r="H28" s="112">
        <f t="shared" si="3"/>
        <v>21287979.309999999</v>
      </c>
      <c r="I28" s="112">
        <f t="shared" si="3"/>
        <v>0</v>
      </c>
      <c r="J28" s="112">
        <f t="shared" si="3"/>
        <v>53737448.730294891</v>
      </c>
      <c r="K28" s="110">
        <f t="shared" si="3"/>
        <v>75144565.560294896</v>
      </c>
      <c r="L28" s="7"/>
      <c r="M28" s="7"/>
    </row>
    <row r="29" spans="1:13" s="6" customFormat="1" ht="21" customHeight="1" x14ac:dyDescent="0.2">
      <c r="A29" s="106"/>
      <c r="B29" s="107"/>
      <c r="C29" s="108" t="s">
        <v>202</v>
      </c>
      <c r="D29" s="109"/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0">
        <f>K35+K36</f>
        <v>0</v>
      </c>
      <c r="L29" s="7"/>
      <c r="M29" s="7"/>
    </row>
    <row r="30" spans="1:13" s="7" customFormat="1" ht="13.5" customHeight="1" x14ac:dyDescent="0.2">
      <c r="A30" s="100"/>
      <c r="B30" s="59"/>
      <c r="C30" s="60"/>
      <c r="D30" s="28"/>
      <c r="E30" s="28"/>
      <c r="F30" s="28"/>
      <c r="G30" s="56"/>
      <c r="H30" s="56"/>
      <c r="I30" s="56"/>
      <c r="J30" s="56"/>
      <c r="K30" s="56"/>
    </row>
    <row r="31" spans="1:13" s="7" customFormat="1" ht="42.75" customHeight="1" x14ac:dyDescent="0.2">
      <c r="A31" s="72" t="s">
        <v>18</v>
      </c>
      <c r="B31" s="73" t="s">
        <v>22</v>
      </c>
      <c r="C31" s="61" t="s">
        <v>31</v>
      </c>
      <c r="D31" s="28"/>
      <c r="E31" s="28">
        <f>E32+E33+E34+E35+E36+E37+E38+E39+E40+E41+E42+E43+E44+E45+E46+E47+E48+E49+E50+E51+E52+E53+E54+E55+E56+E57+E58+E59+E60+E61+E62+E63+E64+E65+E66</f>
        <v>73633914.522556692</v>
      </c>
      <c r="F31" s="28"/>
      <c r="G31" s="56"/>
      <c r="H31" s="56"/>
      <c r="I31" s="56"/>
      <c r="J31" s="56">
        <f>J35+J36+J38+J39+J41+J42+J43+J47+J50+J51+J52+J53</f>
        <v>14508635.380294887</v>
      </c>
      <c r="K31" s="56"/>
    </row>
    <row r="32" spans="1:13" s="7" customFormat="1" ht="36" customHeight="1" x14ac:dyDescent="0.2">
      <c r="A32" s="44" t="s">
        <v>69</v>
      </c>
      <c r="B32" s="50" t="s">
        <v>22</v>
      </c>
      <c r="C32" s="74" t="s">
        <v>70</v>
      </c>
      <c r="D32" s="75" t="s">
        <v>71</v>
      </c>
      <c r="E32" s="11">
        <v>3784778.59</v>
      </c>
      <c r="F32" s="11">
        <v>3784778.59</v>
      </c>
      <c r="G32" s="38"/>
      <c r="H32" s="8"/>
      <c r="I32" s="58"/>
      <c r="J32" s="8"/>
      <c r="K32" s="11"/>
    </row>
    <row r="33" spans="1:11" s="7" customFormat="1" ht="36" customHeight="1" x14ac:dyDescent="0.2">
      <c r="A33" s="44" t="s">
        <v>72</v>
      </c>
      <c r="B33" s="50" t="s">
        <v>22</v>
      </c>
      <c r="C33" s="74" t="s">
        <v>73</v>
      </c>
      <c r="D33" s="75" t="s">
        <v>74</v>
      </c>
      <c r="E33" s="11">
        <v>3958201.3369714897</v>
      </c>
      <c r="F33" s="11">
        <v>3958201.3369714897</v>
      </c>
      <c r="G33" s="38"/>
      <c r="H33" s="58">
        <v>1226648.94</v>
      </c>
      <c r="I33" s="55">
        <v>0</v>
      </c>
      <c r="J33" s="8"/>
      <c r="K33" s="11"/>
    </row>
    <row r="34" spans="1:11" s="7" customFormat="1" ht="36" customHeight="1" x14ac:dyDescent="0.2">
      <c r="A34" s="44" t="s">
        <v>75</v>
      </c>
      <c r="B34" s="50" t="s">
        <v>22</v>
      </c>
      <c r="C34" s="74" t="s">
        <v>76</v>
      </c>
      <c r="D34" s="75" t="s">
        <v>77</v>
      </c>
      <c r="E34" s="11">
        <v>1646637.366839862</v>
      </c>
      <c r="F34" s="11">
        <v>1646637.366839862</v>
      </c>
      <c r="G34" s="38"/>
      <c r="H34" s="58">
        <v>1402827.66</v>
      </c>
      <c r="I34" s="55">
        <v>0</v>
      </c>
      <c r="J34" s="8"/>
      <c r="K34" s="11" t="s">
        <v>78</v>
      </c>
    </row>
    <row r="35" spans="1:11" s="7" customFormat="1" ht="36" customHeight="1" x14ac:dyDescent="0.2">
      <c r="A35" s="44" t="s">
        <v>79</v>
      </c>
      <c r="B35" s="50" t="s">
        <v>22</v>
      </c>
      <c r="C35" s="74" t="s">
        <v>80</v>
      </c>
      <c r="D35" s="75" t="s">
        <v>81</v>
      </c>
      <c r="E35" s="102">
        <v>814176.00624089129</v>
      </c>
      <c r="F35" s="102">
        <v>814176.00624089129</v>
      </c>
      <c r="G35" s="58">
        <v>119137.52</v>
      </c>
      <c r="H35" s="58"/>
      <c r="I35" s="55"/>
      <c r="J35" s="11">
        <f>E35-G35</f>
        <v>695038.48624089127</v>
      </c>
      <c r="K35" s="11"/>
    </row>
    <row r="36" spans="1:11" s="7" customFormat="1" ht="36" customHeight="1" x14ac:dyDescent="0.2">
      <c r="A36" s="44" t="s">
        <v>82</v>
      </c>
      <c r="B36" s="50" t="s">
        <v>22</v>
      </c>
      <c r="C36" s="74" t="s">
        <v>83</v>
      </c>
      <c r="D36" s="75" t="s">
        <v>84</v>
      </c>
      <c r="E36" s="102">
        <v>2701771.9217608026</v>
      </c>
      <c r="F36" s="102">
        <v>2701771.9217608026</v>
      </c>
      <c r="G36" s="38"/>
      <c r="H36" s="58">
        <v>2706771.32</v>
      </c>
      <c r="I36" s="55">
        <v>0</v>
      </c>
      <c r="J36" s="11">
        <f>E36*0.96-H36</f>
        <v>-113070.27510962961</v>
      </c>
      <c r="K36" s="11"/>
    </row>
    <row r="37" spans="1:11" s="7" customFormat="1" ht="36" customHeight="1" x14ac:dyDescent="0.2">
      <c r="A37" s="44" t="s">
        <v>85</v>
      </c>
      <c r="B37" s="50" t="s">
        <v>22</v>
      </c>
      <c r="C37" s="74" t="s">
        <v>86</v>
      </c>
      <c r="D37" s="75" t="s">
        <v>87</v>
      </c>
      <c r="E37" s="11">
        <v>1415112.8986786401</v>
      </c>
      <c r="F37" s="11">
        <v>1415112.8986786401</v>
      </c>
      <c r="G37" s="38"/>
      <c r="H37" s="58"/>
      <c r="I37" s="58"/>
      <c r="J37" s="8"/>
      <c r="K37" s="11"/>
    </row>
    <row r="38" spans="1:11" s="7" customFormat="1" ht="36" customHeight="1" x14ac:dyDescent="0.2">
      <c r="A38" s="44" t="s">
        <v>88</v>
      </c>
      <c r="B38" s="50" t="s">
        <v>22</v>
      </c>
      <c r="C38" s="74" t="s">
        <v>89</v>
      </c>
      <c r="D38" s="75" t="s">
        <v>90</v>
      </c>
      <c r="E38" s="102">
        <v>2051805.3913356196</v>
      </c>
      <c r="F38" s="102">
        <v>2051805.3913356196</v>
      </c>
      <c r="G38" s="38"/>
      <c r="H38" s="58"/>
      <c r="I38" s="58"/>
      <c r="J38" s="67">
        <f>E38*0.96</f>
        <v>1969733.1756821948</v>
      </c>
      <c r="K38" s="11"/>
    </row>
    <row r="39" spans="1:11" s="7" customFormat="1" ht="36" customHeight="1" x14ac:dyDescent="0.2">
      <c r="A39" s="44" t="s">
        <v>91</v>
      </c>
      <c r="B39" s="50" t="s">
        <v>22</v>
      </c>
      <c r="C39" s="74" t="s">
        <v>92</v>
      </c>
      <c r="D39" s="75" t="s">
        <v>93</v>
      </c>
      <c r="E39" s="102">
        <v>1261742.8062485685</v>
      </c>
      <c r="F39" s="102">
        <v>1261742.8062485685</v>
      </c>
      <c r="G39" s="38"/>
      <c r="H39" s="58"/>
      <c r="I39" s="58"/>
      <c r="J39" s="67">
        <f>E39*0.3</f>
        <v>378522.84187457053</v>
      </c>
      <c r="K39" s="11"/>
    </row>
    <row r="40" spans="1:11" s="7" customFormat="1" ht="36" customHeight="1" x14ac:dyDescent="0.2">
      <c r="A40" s="44" t="s">
        <v>94</v>
      </c>
      <c r="B40" s="50" t="s">
        <v>22</v>
      </c>
      <c r="C40" s="74" t="s">
        <v>95</v>
      </c>
      <c r="D40" s="75" t="s">
        <v>96</v>
      </c>
      <c r="E40" s="11">
        <v>2138511.4290214507</v>
      </c>
      <c r="F40" s="11">
        <v>2138511.4290214507</v>
      </c>
      <c r="G40" s="38"/>
      <c r="H40" s="58"/>
      <c r="I40" s="58"/>
      <c r="J40" s="8"/>
      <c r="K40" s="11"/>
    </row>
    <row r="41" spans="1:11" s="7" customFormat="1" ht="36" customHeight="1" x14ac:dyDescent="0.2">
      <c r="A41" s="44" t="s">
        <v>97</v>
      </c>
      <c r="B41" s="50" t="s">
        <v>22</v>
      </c>
      <c r="C41" s="74" t="s">
        <v>98</v>
      </c>
      <c r="D41" s="75" t="s">
        <v>99</v>
      </c>
      <c r="E41" s="102">
        <v>4492347.7630753433</v>
      </c>
      <c r="F41" s="102">
        <v>4492347.7630753433</v>
      </c>
      <c r="G41" s="38"/>
      <c r="H41" s="58"/>
      <c r="I41" s="58"/>
      <c r="J41" s="67">
        <f>E41*0.97</f>
        <v>4357577.3301830832</v>
      </c>
      <c r="K41" s="11"/>
    </row>
    <row r="42" spans="1:11" s="7" customFormat="1" ht="36" customHeight="1" x14ac:dyDescent="0.2">
      <c r="A42" s="44" t="s">
        <v>100</v>
      </c>
      <c r="B42" s="50" t="s">
        <v>22</v>
      </c>
      <c r="C42" s="74" t="s">
        <v>101</v>
      </c>
      <c r="D42" s="75" t="s">
        <v>102</v>
      </c>
      <c r="E42" s="102">
        <v>1603087.7533493994</v>
      </c>
      <c r="F42" s="102">
        <v>1603087.7533493994</v>
      </c>
      <c r="G42" s="38"/>
      <c r="H42" s="58"/>
      <c r="I42" s="58"/>
      <c r="J42" s="67">
        <f>E42*0.05</f>
        <v>80154.387667469971</v>
      </c>
      <c r="K42" s="11"/>
    </row>
    <row r="43" spans="1:11" s="7" customFormat="1" ht="36" customHeight="1" x14ac:dyDescent="0.2">
      <c r="A43" s="44" t="s">
        <v>103</v>
      </c>
      <c r="B43" s="50" t="s">
        <v>22</v>
      </c>
      <c r="C43" s="74" t="s">
        <v>104</v>
      </c>
      <c r="D43" s="75" t="s">
        <v>105</v>
      </c>
      <c r="E43" s="102">
        <v>1657715.6188786768</v>
      </c>
      <c r="F43" s="102">
        <v>1657715.6188786768</v>
      </c>
      <c r="G43" s="38"/>
      <c r="H43" s="58"/>
      <c r="I43" s="58"/>
      <c r="J43" s="67">
        <f>E43*0.05</f>
        <v>82885.780943933845</v>
      </c>
      <c r="K43" s="11"/>
    </row>
    <row r="44" spans="1:11" s="7" customFormat="1" ht="36" customHeight="1" x14ac:dyDescent="0.2">
      <c r="A44" s="44" t="s">
        <v>106</v>
      </c>
      <c r="B44" s="50" t="s">
        <v>22</v>
      </c>
      <c r="C44" s="74" t="s">
        <v>107</v>
      </c>
      <c r="D44" s="75" t="s">
        <v>108</v>
      </c>
      <c r="E44" s="67">
        <v>1636892.1824737675</v>
      </c>
      <c r="F44" s="67">
        <v>1636892.1824737675</v>
      </c>
      <c r="G44" s="38"/>
      <c r="H44" s="58"/>
      <c r="I44" s="58"/>
      <c r="J44" s="8"/>
      <c r="K44" s="11"/>
    </row>
    <row r="45" spans="1:11" s="7" customFormat="1" ht="36" customHeight="1" x14ac:dyDescent="0.2">
      <c r="A45" s="44" t="s">
        <v>109</v>
      </c>
      <c r="B45" s="50" t="s">
        <v>22</v>
      </c>
      <c r="C45" s="74" t="s">
        <v>110</v>
      </c>
      <c r="D45" s="75" t="s">
        <v>111</v>
      </c>
      <c r="E45" s="11">
        <v>18108.04979077178</v>
      </c>
      <c r="F45" s="11">
        <v>18108.04979077178</v>
      </c>
      <c r="G45" s="38"/>
      <c r="H45" s="58"/>
      <c r="I45" s="58"/>
      <c r="J45" s="8"/>
      <c r="K45" s="11"/>
    </row>
    <row r="46" spans="1:11" s="7" customFormat="1" ht="36" customHeight="1" x14ac:dyDescent="0.2">
      <c r="A46" s="44" t="s">
        <v>112</v>
      </c>
      <c r="B46" s="50" t="s">
        <v>22</v>
      </c>
      <c r="C46" s="74" t="s">
        <v>113</v>
      </c>
      <c r="D46" s="75" t="s">
        <v>114</v>
      </c>
      <c r="E46" s="11">
        <v>448547.72110921721</v>
      </c>
      <c r="F46" s="11">
        <v>448547.72110921721</v>
      </c>
      <c r="G46" s="38"/>
      <c r="H46" s="58"/>
      <c r="I46" s="58"/>
      <c r="J46" s="8"/>
      <c r="K46" s="11"/>
    </row>
    <row r="47" spans="1:11" s="7" customFormat="1" ht="36" customHeight="1" x14ac:dyDescent="0.2">
      <c r="A47" s="44" t="s">
        <v>115</v>
      </c>
      <c r="B47" s="50" t="s">
        <v>22</v>
      </c>
      <c r="C47" s="74" t="s">
        <v>116</v>
      </c>
      <c r="D47" s="75" t="s">
        <v>117</v>
      </c>
      <c r="E47" s="103">
        <v>1064103.210950586</v>
      </c>
      <c r="F47" s="103">
        <v>1064103.210950586</v>
      </c>
      <c r="G47" s="38"/>
      <c r="H47" s="58"/>
      <c r="I47" s="58"/>
      <c r="J47" s="67">
        <f>1887830-1400560.88</f>
        <v>487269.12000000011</v>
      </c>
      <c r="K47" s="11"/>
    </row>
    <row r="48" spans="1:11" s="7" customFormat="1" ht="36" customHeight="1" x14ac:dyDescent="0.2">
      <c r="A48" s="44" t="s">
        <v>118</v>
      </c>
      <c r="B48" s="50" t="s">
        <v>22</v>
      </c>
      <c r="C48" s="74" t="s">
        <v>119</v>
      </c>
      <c r="D48" s="75" t="s">
        <v>120</v>
      </c>
      <c r="E48" s="11">
        <v>1415097.302443553</v>
      </c>
      <c r="F48" s="11">
        <v>1415097.302443553</v>
      </c>
      <c r="G48" s="38"/>
      <c r="H48" s="58"/>
      <c r="I48" s="58"/>
      <c r="J48" s="8"/>
      <c r="K48" s="11"/>
    </row>
    <row r="49" spans="1:11" s="7" customFormat="1" ht="36" customHeight="1" x14ac:dyDescent="0.2">
      <c r="A49" s="44" t="s">
        <v>121</v>
      </c>
      <c r="B49" s="50" t="s">
        <v>22</v>
      </c>
      <c r="C49" s="74" t="s">
        <v>119</v>
      </c>
      <c r="D49" s="75" t="s">
        <v>122</v>
      </c>
      <c r="E49" s="11">
        <v>534485.43900338176</v>
      </c>
      <c r="F49" s="11">
        <v>534485.43900338176</v>
      </c>
      <c r="G49" s="38"/>
      <c r="H49" s="58"/>
      <c r="I49" s="58"/>
      <c r="J49" s="8"/>
      <c r="K49" s="11"/>
    </row>
    <row r="50" spans="1:11" s="7" customFormat="1" ht="36" customHeight="1" x14ac:dyDescent="0.2">
      <c r="A50" s="44" t="s">
        <v>123</v>
      </c>
      <c r="B50" s="50" t="s">
        <v>22</v>
      </c>
      <c r="C50" s="74" t="s">
        <v>124</v>
      </c>
      <c r="D50" s="75" t="s">
        <v>125</v>
      </c>
      <c r="E50" s="102">
        <v>9094716.2935829945</v>
      </c>
      <c r="F50" s="102">
        <v>9094716.2935829945</v>
      </c>
      <c r="G50" s="38"/>
      <c r="H50" s="58"/>
      <c r="I50" s="58"/>
      <c r="J50" s="67">
        <f>E50*0.35</f>
        <v>3183150.7027540477</v>
      </c>
      <c r="K50" s="11"/>
    </row>
    <row r="51" spans="1:11" s="7" customFormat="1" ht="36" customHeight="1" x14ac:dyDescent="0.2">
      <c r="A51" s="44" t="s">
        <v>126</v>
      </c>
      <c r="B51" s="50" t="s">
        <v>22</v>
      </c>
      <c r="C51" s="74" t="s">
        <v>119</v>
      </c>
      <c r="D51" s="75" t="s">
        <v>127</v>
      </c>
      <c r="E51" s="102">
        <v>8023169.574223401</v>
      </c>
      <c r="F51" s="102">
        <v>8023169.574223401</v>
      </c>
      <c r="G51" s="38"/>
      <c r="H51" s="58"/>
      <c r="I51" s="58"/>
      <c r="J51" s="67">
        <f>E51*0.25</f>
        <v>2005792.3935558503</v>
      </c>
      <c r="K51" s="11"/>
    </row>
    <row r="52" spans="1:11" s="7" customFormat="1" ht="36" customHeight="1" x14ac:dyDescent="0.2">
      <c r="A52" s="44" t="s">
        <v>128</v>
      </c>
      <c r="B52" s="50" t="s">
        <v>22</v>
      </c>
      <c r="C52" s="74" t="s">
        <v>129</v>
      </c>
      <c r="D52" s="75" t="s">
        <v>130</v>
      </c>
      <c r="E52" s="102">
        <v>813504.54727766139</v>
      </c>
      <c r="F52" s="102">
        <v>813504.54727766139</v>
      </c>
      <c r="G52" s="38"/>
      <c r="H52" s="58"/>
      <c r="I52" s="58"/>
      <c r="J52" s="67">
        <f>E52*0.99</f>
        <v>805369.50180488476</v>
      </c>
    </row>
    <row r="53" spans="1:11" s="7" customFormat="1" ht="36" customHeight="1" x14ac:dyDescent="0.2">
      <c r="A53" s="44" t="s">
        <v>131</v>
      </c>
      <c r="B53" s="50" t="s">
        <v>22</v>
      </c>
      <c r="C53" s="74" t="s">
        <v>132</v>
      </c>
      <c r="D53" s="75" t="s">
        <v>133</v>
      </c>
      <c r="E53" s="102">
        <v>576211.9346975931</v>
      </c>
      <c r="F53" s="102">
        <v>576211.9346975931</v>
      </c>
      <c r="G53" s="38"/>
      <c r="H53" s="58"/>
      <c r="I53" s="58"/>
      <c r="J53" s="11">
        <f>E53</f>
        <v>576211.9346975931</v>
      </c>
      <c r="K53" s="11"/>
    </row>
    <row r="54" spans="1:11" s="7" customFormat="1" ht="36" customHeight="1" x14ac:dyDescent="0.2">
      <c r="A54" s="44" t="s">
        <v>134</v>
      </c>
      <c r="B54" s="50" t="s">
        <v>22</v>
      </c>
      <c r="C54" s="74" t="s">
        <v>135</v>
      </c>
      <c r="D54" s="75" t="s">
        <v>136</v>
      </c>
      <c r="E54" s="102">
        <v>1179977.4916674818</v>
      </c>
      <c r="F54" s="102">
        <v>1179977.4916674818</v>
      </c>
      <c r="G54" s="38"/>
      <c r="H54" s="58"/>
      <c r="I54" s="58"/>
      <c r="J54" s="11">
        <v>0</v>
      </c>
      <c r="K54" s="11"/>
    </row>
    <row r="55" spans="1:11" s="7" customFormat="1" ht="36" customHeight="1" x14ac:dyDescent="0.2">
      <c r="A55" s="44" t="s">
        <v>137</v>
      </c>
      <c r="B55" s="50" t="s">
        <v>22</v>
      </c>
      <c r="C55" s="74" t="s">
        <v>138</v>
      </c>
      <c r="D55" s="75" t="s">
        <v>139</v>
      </c>
      <c r="E55" s="11">
        <v>297979.20501350204</v>
      </c>
      <c r="F55" s="11">
        <v>297979.20501350204</v>
      </c>
      <c r="G55" s="38"/>
      <c r="H55" s="58">
        <v>520399.01</v>
      </c>
      <c r="I55" s="55">
        <v>0</v>
      </c>
      <c r="J55" s="8">
        <v>0</v>
      </c>
      <c r="K55" s="11"/>
    </row>
    <row r="56" spans="1:11" s="7" customFormat="1" ht="36" customHeight="1" x14ac:dyDescent="0.2">
      <c r="A56" s="44" t="s">
        <v>140</v>
      </c>
      <c r="B56" s="50" t="s">
        <v>22</v>
      </c>
      <c r="C56" s="74" t="s">
        <v>141</v>
      </c>
      <c r="D56" s="75" t="s">
        <v>142</v>
      </c>
      <c r="E56" s="102">
        <v>1803962.3361462681</v>
      </c>
      <c r="F56" s="102">
        <v>1803962.3361462681</v>
      </c>
      <c r="G56" s="38"/>
      <c r="H56" s="58"/>
      <c r="I56" s="55"/>
      <c r="J56" s="11">
        <v>0</v>
      </c>
      <c r="K56" s="11"/>
    </row>
    <row r="57" spans="1:11" s="7" customFormat="1" ht="36" customHeight="1" x14ac:dyDescent="0.2">
      <c r="A57" s="44" t="s">
        <v>143</v>
      </c>
      <c r="B57" s="50" t="s">
        <v>22</v>
      </c>
      <c r="C57" s="74" t="s">
        <v>144</v>
      </c>
      <c r="D57" s="75" t="s">
        <v>145</v>
      </c>
      <c r="E57" s="102">
        <v>630444.1483683415</v>
      </c>
      <c r="F57" s="102">
        <v>630444.1483683415</v>
      </c>
      <c r="G57" s="38"/>
      <c r="H57" s="58"/>
      <c r="I57" s="55"/>
      <c r="J57" s="11">
        <v>0</v>
      </c>
      <c r="K57" s="11"/>
    </row>
    <row r="58" spans="1:11" s="7" customFormat="1" ht="36" customHeight="1" x14ac:dyDescent="0.2">
      <c r="A58" s="44" t="s">
        <v>146</v>
      </c>
      <c r="B58" s="50" t="s">
        <v>22</v>
      </c>
      <c r="C58" s="74" t="s">
        <v>147</v>
      </c>
      <c r="D58" s="75" t="s">
        <v>148</v>
      </c>
      <c r="E58" s="11">
        <v>658471.40367460228</v>
      </c>
      <c r="F58" s="11">
        <v>658471.40367460228</v>
      </c>
      <c r="G58" s="38"/>
      <c r="H58" s="58">
        <v>802172.22</v>
      </c>
      <c r="I58" s="55">
        <v>0</v>
      </c>
      <c r="J58" s="8">
        <v>0</v>
      </c>
      <c r="K58" s="11" t="s">
        <v>149</v>
      </c>
    </row>
    <row r="59" spans="1:11" s="7" customFormat="1" ht="36" customHeight="1" x14ac:dyDescent="0.2">
      <c r="A59" s="44" t="s">
        <v>150</v>
      </c>
      <c r="B59" s="50" t="s">
        <v>22</v>
      </c>
      <c r="C59" s="74" t="s">
        <v>151</v>
      </c>
      <c r="D59" s="75" t="s">
        <v>152</v>
      </c>
      <c r="E59" s="102">
        <v>2453386.2817613105</v>
      </c>
      <c r="F59" s="102">
        <v>2453386.2817613105</v>
      </c>
      <c r="G59" s="38"/>
      <c r="H59" s="58">
        <v>683604.86</v>
      </c>
      <c r="I59" s="55">
        <v>0</v>
      </c>
      <c r="J59" s="11">
        <v>0</v>
      </c>
      <c r="K59" s="11" t="s">
        <v>78</v>
      </c>
    </row>
    <row r="60" spans="1:11" s="7" customFormat="1" ht="36" customHeight="1" x14ac:dyDescent="0.2">
      <c r="A60" s="44" t="s">
        <v>153</v>
      </c>
      <c r="B60" s="50" t="s">
        <v>22</v>
      </c>
      <c r="C60" s="74" t="s">
        <v>154</v>
      </c>
      <c r="D60" s="75" t="s">
        <v>155</v>
      </c>
      <c r="E60" s="11">
        <v>144459.71706838411</v>
      </c>
      <c r="F60" s="11">
        <v>144459.71706838411</v>
      </c>
      <c r="G60" s="38"/>
      <c r="H60" s="58">
        <v>175972.59</v>
      </c>
      <c r="I60" s="55">
        <v>0</v>
      </c>
      <c r="J60" s="8">
        <v>0</v>
      </c>
      <c r="K60" s="11" t="s">
        <v>149</v>
      </c>
    </row>
    <row r="61" spans="1:11" s="7" customFormat="1" ht="36" customHeight="1" x14ac:dyDescent="0.2">
      <c r="A61" s="44" t="s">
        <v>156</v>
      </c>
      <c r="B61" s="50" t="s">
        <v>22</v>
      </c>
      <c r="C61" s="74" t="s">
        <v>157</v>
      </c>
      <c r="D61" s="75" t="s">
        <v>158</v>
      </c>
      <c r="E61" s="11">
        <v>231806.8421017488</v>
      </c>
      <c r="F61" s="11">
        <v>231806.8421017488</v>
      </c>
      <c r="G61" s="38"/>
      <c r="H61" s="58">
        <v>262801.98</v>
      </c>
      <c r="I61" s="55">
        <v>0</v>
      </c>
      <c r="J61" s="8">
        <v>0</v>
      </c>
      <c r="K61" s="11" t="s">
        <v>149</v>
      </c>
    </row>
    <row r="62" spans="1:11" s="7" customFormat="1" ht="36" customHeight="1" x14ac:dyDescent="0.2">
      <c r="A62" s="44" t="s">
        <v>159</v>
      </c>
      <c r="B62" s="50" t="s">
        <v>22</v>
      </c>
      <c r="C62" s="74" t="s">
        <v>160</v>
      </c>
      <c r="D62" s="75" t="s">
        <v>161</v>
      </c>
      <c r="E62" s="102">
        <v>7769572.3291413337</v>
      </c>
      <c r="F62" s="102">
        <v>7769572.3291413337</v>
      </c>
      <c r="G62" s="38"/>
      <c r="H62" s="58">
        <f>2835389.5+4060920.8</f>
        <v>6896310.2999999998</v>
      </c>
      <c r="I62" s="55">
        <v>0</v>
      </c>
      <c r="J62" s="11">
        <v>0</v>
      </c>
      <c r="K62" s="11" t="s">
        <v>149</v>
      </c>
    </row>
    <row r="63" spans="1:11" s="7" customFormat="1" ht="36" customHeight="1" x14ac:dyDescent="0.2">
      <c r="A63" s="44" t="s">
        <v>162</v>
      </c>
      <c r="B63" s="50" t="s">
        <v>22</v>
      </c>
      <c r="C63" s="74" t="s">
        <v>163</v>
      </c>
      <c r="D63" s="75" t="s">
        <v>164</v>
      </c>
      <c r="E63" s="102">
        <v>1197499.4513607642</v>
      </c>
      <c r="F63" s="102">
        <v>1197499.4513607642</v>
      </c>
      <c r="G63" s="38"/>
      <c r="H63" s="58"/>
      <c r="I63" s="55"/>
      <c r="J63" s="11">
        <v>0</v>
      </c>
      <c r="K63" s="11"/>
    </row>
    <row r="64" spans="1:11" s="7" customFormat="1" ht="36" customHeight="1" x14ac:dyDescent="0.2">
      <c r="A64" s="44" t="s">
        <v>165</v>
      </c>
      <c r="B64" s="50" t="s">
        <v>22</v>
      </c>
      <c r="C64" s="74" t="s">
        <v>166</v>
      </c>
      <c r="D64" s="75" t="s">
        <v>167</v>
      </c>
      <c r="E64" s="11">
        <v>0</v>
      </c>
      <c r="F64" s="11">
        <v>0</v>
      </c>
      <c r="G64" s="38"/>
      <c r="H64" s="58">
        <v>759306.63</v>
      </c>
      <c r="I64" s="55">
        <v>0</v>
      </c>
      <c r="J64" s="8">
        <v>0</v>
      </c>
      <c r="K64" s="11" t="s">
        <v>149</v>
      </c>
    </row>
    <row r="65" spans="1:13" s="7" customFormat="1" ht="36" customHeight="1" x14ac:dyDescent="0.2">
      <c r="A65" s="44" t="s">
        <v>168</v>
      </c>
      <c r="B65" s="50" t="s">
        <v>22</v>
      </c>
      <c r="C65" s="74" t="s">
        <v>169</v>
      </c>
      <c r="D65" s="75" t="s">
        <v>170</v>
      </c>
      <c r="E65" s="102">
        <v>5918769.5739011941</v>
      </c>
      <c r="F65" s="102">
        <v>5918769.5739011941</v>
      </c>
      <c r="G65" s="38"/>
      <c r="H65" s="58">
        <v>5611343.9000000004</v>
      </c>
      <c r="I65" s="55">
        <v>0</v>
      </c>
      <c r="J65" s="11">
        <v>0</v>
      </c>
      <c r="K65" s="11" t="s">
        <v>149</v>
      </c>
    </row>
    <row r="66" spans="1:13" s="7" customFormat="1" ht="36" customHeight="1" x14ac:dyDescent="0.2">
      <c r="A66" s="44" t="s">
        <v>171</v>
      </c>
      <c r="B66" s="76" t="s">
        <v>22</v>
      </c>
      <c r="C66" s="74" t="s">
        <v>172</v>
      </c>
      <c r="D66" s="77" t="s">
        <v>173</v>
      </c>
      <c r="E66" s="16">
        <v>196860.60439809843</v>
      </c>
      <c r="F66" s="16">
        <v>196860.60439809843</v>
      </c>
      <c r="G66" s="33"/>
      <c r="H66" s="78">
        <v>239819.9</v>
      </c>
      <c r="I66" s="101">
        <v>0</v>
      </c>
      <c r="J66" s="17">
        <v>0</v>
      </c>
      <c r="K66" s="11" t="s">
        <v>149</v>
      </c>
      <c r="L66" s="4"/>
      <c r="M66" s="4"/>
    </row>
    <row r="67" spans="1:13" s="7" customFormat="1" ht="36" customHeight="1" x14ac:dyDescent="0.2">
      <c r="A67" s="79" t="s">
        <v>19</v>
      </c>
      <c r="B67" s="48" t="s">
        <v>23</v>
      </c>
      <c r="C67" s="19"/>
      <c r="D67" s="77"/>
      <c r="E67" s="36"/>
      <c r="F67" s="63"/>
      <c r="G67" s="70"/>
      <c r="H67" s="70"/>
      <c r="I67" s="70"/>
      <c r="J67" s="80"/>
      <c r="K67" s="63"/>
      <c r="L67" s="4"/>
      <c r="M67" s="4"/>
    </row>
    <row r="68" spans="1:13" s="7" customFormat="1" ht="45" customHeight="1" x14ac:dyDescent="0.2">
      <c r="A68" s="81" t="s">
        <v>174</v>
      </c>
      <c r="B68" s="48" t="s">
        <v>23</v>
      </c>
      <c r="C68" s="47" t="s">
        <v>175</v>
      </c>
      <c r="D68" s="57" t="s">
        <v>176</v>
      </c>
      <c r="E68" s="28"/>
      <c r="F68" s="11">
        <v>0</v>
      </c>
      <c r="G68" s="55">
        <v>0</v>
      </c>
      <c r="H68" s="55">
        <v>0</v>
      </c>
      <c r="I68" s="55">
        <v>0</v>
      </c>
      <c r="J68" s="58">
        <v>27978813.350000001</v>
      </c>
      <c r="K68" s="82">
        <f>SUM(F68:J68)</f>
        <v>27978813.350000001</v>
      </c>
      <c r="L68" s="4"/>
      <c r="M68" s="4"/>
    </row>
    <row r="69" spans="1:13" ht="36" customHeight="1" x14ac:dyDescent="0.2">
      <c r="A69" s="81" t="s">
        <v>177</v>
      </c>
      <c r="B69" s="46" t="s">
        <v>23</v>
      </c>
      <c r="C69" s="47" t="s">
        <v>175</v>
      </c>
      <c r="D69" s="57" t="s">
        <v>178</v>
      </c>
      <c r="E69" s="83">
        <v>4904864.462772307</v>
      </c>
      <c r="F69" s="11">
        <v>4904864.462772307</v>
      </c>
      <c r="G69" s="55">
        <v>0</v>
      </c>
      <c r="H69" s="55">
        <v>0</v>
      </c>
      <c r="I69" s="55">
        <v>0</v>
      </c>
      <c r="J69" s="58">
        <v>11250000</v>
      </c>
      <c r="K69" s="82">
        <f>SUM(F69:J69)</f>
        <v>16154864.462772306</v>
      </c>
    </row>
    <row r="70" spans="1:13" ht="36" customHeight="1" x14ac:dyDescent="0.2">
      <c r="A70" s="84" t="s">
        <v>20</v>
      </c>
      <c r="B70" s="51" t="s">
        <v>34</v>
      </c>
      <c r="C70" s="45" t="s">
        <v>25</v>
      </c>
      <c r="D70" s="57"/>
      <c r="E70" s="85"/>
      <c r="F70" s="63"/>
      <c r="G70" s="70"/>
      <c r="H70" s="70"/>
      <c r="I70" s="70"/>
      <c r="J70" s="70"/>
      <c r="K70" s="82"/>
      <c r="M70" s="139" t="s">
        <v>195</v>
      </c>
    </row>
    <row r="71" spans="1:13" ht="36" customHeight="1" x14ac:dyDescent="0.2">
      <c r="A71" s="81" t="s">
        <v>179</v>
      </c>
      <c r="B71" s="50" t="s">
        <v>180</v>
      </c>
      <c r="C71" s="10" t="s">
        <v>181</v>
      </c>
      <c r="D71" s="57" t="s">
        <v>182</v>
      </c>
      <c r="E71" s="83">
        <v>63510180</v>
      </c>
      <c r="F71" s="11">
        <v>0</v>
      </c>
      <c r="G71" s="55">
        <v>0</v>
      </c>
      <c r="H71" s="55">
        <v>0</v>
      </c>
      <c r="I71" s="55">
        <v>0</v>
      </c>
      <c r="J71" s="55">
        <v>0</v>
      </c>
      <c r="K71" s="53"/>
      <c r="M71" s="139"/>
    </row>
    <row r="72" spans="1:13" ht="36" customHeight="1" x14ac:dyDescent="0.2">
      <c r="A72" s="99" t="s">
        <v>62</v>
      </c>
      <c r="B72" s="136" t="s">
        <v>183</v>
      </c>
      <c r="C72" s="137"/>
      <c r="D72" s="57"/>
      <c r="E72" s="83"/>
      <c r="F72" s="11"/>
      <c r="G72" s="55"/>
      <c r="H72" s="55"/>
      <c r="I72" s="55"/>
      <c r="J72" s="55"/>
      <c r="K72" s="53"/>
      <c r="M72" s="139"/>
    </row>
    <row r="73" spans="1:13" ht="36" customHeight="1" x14ac:dyDescent="0.2">
      <c r="A73" s="84" t="s">
        <v>21</v>
      </c>
      <c r="B73" s="51" t="s">
        <v>33</v>
      </c>
      <c r="C73" s="45" t="s">
        <v>24</v>
      </c>
      <c r="D73" s="57"/>
      <c r="E73" s="85">
        <f>E74+E75</f>
        <v>14250000</v>
      </c>
      <c r="F73" s="86">
        <v>0</v>
      </c>
      <c r="G73" s="70">
        <v>0</v>
      </c>
      <c r="H73" s="70">
        <v>0</v>
      </c>
      <c r="I73" s="70">
        <v>0</v>
      </c>
      <c r="J73" s="70">
        <v>0</v>
      </c>
      <c r="K73" s="53">
        <f>SUM(F73:J73)</f>
        <v>0</v>
      </c>
    </row>
    <row r="74" spans="1:13" ht="36" customHeight="1" x14ac:dyDescent="0.2">
      <c r="A74" s="81"/>
      <c r="B74" s="46"/>
      <c r="C74" s="47" t="s">
        <v>184</v>
      </c>
      <c r="D74" s="52" t="s">
        <v>185</v>
      </c>
      <c r="E74" s="83">
        <v>7600000</v>
      </c>
      <c r="F74" s="87">
        <v>0</v>
      </c>
      <c r="G74" s="55">
        <v>0</v>
      </c>
      <c r="H74" s="55">
        <v>0</v>
      </c>
      <c r="I74" s="55">
        <v>0</v>
      </c>
      <c r="J74" s="55">
        <v>0</v>
      </c>
      <c r="K74" s="53"/>
      <c r="L74" s="23"/>
      <c r="M74" s="23"/>
    </row>
    <row r="75" spans="1:13" ht="36" customHeight="1" x14ac:dyDescent="0.2">
      <c r="A75" s="81"/>
      <c r="B75" s="46"/>
      <c r="C75" s="47" t="s">
        <v>186</v>
      </c>
      <c r="D75" s="52" t="s">
        <v>187</v>
      </c>
      <c r="E75" s="83">
        <v>6650000</v>
      </c>
      <c r="F75" s="87">
        <v>0</v>
      </c>
      <c r="G75" s="55">
        <v>0</v>
      </c>
      <c r="H75" s="55">
        <v>0</v>
      </c>
      <c r="I75" s="55">
        <v>0</v>
      </c>
      <c r="J75" s="55">
        <v>0</v>
      </c>
      <c r="K75" s="53"/>
    </row>
    <row r="76" spans="1:13" ht="13.5" thickBot="1" x14ac:dyDescent="0.25"/>
    <row r="77" spans="1:13" s="23" customFormat="1" ht="35.25" customHeight="1" thickBot="1" x14ac:dyDescent="0.25">
      <c r="A77" s="24"/>
      <c r="B77" s="144" t="s">
        <v>47</v>
      </c>
      <c r="C77" s="144"/>
      <c r="D77" s="25"/>
      <c r="E77" s="39">
        <f>E10+E27</f>
        <v>4475354750.165329</v>
      </c>
      <c r="F77" s="39">
        <f t="shared" ref="F77:K77" si="4">F10+F27</f>
        <v>1096747778.9853289</v>
      </c>
      <c r="G77" s="39">
        <f t="shared" si="4"/>
        <v>119137.52</v>
      </c>
      <c r="H77" s="39">
        <f t="shared" si="4"/>
        <v>444645664.04000002</v>
      </c>
      <c r="I77" s="39">
        <f t="shared" si="4"/>
        <v>0</v>
      </c>
      <c r="J77" s="39">
        <f t="shared" si="4"/>
        <v>74380295.490294889</v>
      </c>
      <c r="K77" s="39">
        <f t="shared" si="4"/>
        <v>519145097.05029488</v>
      </c>
      <c r="L77" s="4"/>
      <c r="M77" s="4"/>
    </row>
    <row r="79" spans="1:13" ht="15" hidden="1" x14ac:dyDescent="0.25">
      <c r="C79" s="12" t="s">
        <v>8</v>
      </c>
      <c r="D79" s="13"/>
      <c r="E79" s="104"/>
      <c r="F79" s="104"/>
      <c r="G79" s="13"/>
      <c r="H79" s="14" t="s">
        <v>9</v>
      </c>
    </row>
    <row r="80" spans="1:13" ht="15" hidden="1" x14ac:dyDescent="0.25">
      <c r="C80" s="12"/>
      <c r="D80" s="12"/>
      <c r="E80" s="105"/>
      <c r="F80" s="105"/>
      <c r="G80" s="12"/>
      <c r="H80" s="14"/>
    </row>
    <row r="81" spans="3:11" ht="15" hidden="1" x14ac:dyDescent="0.25">
      <c r="C81" s="12" t="s">
        <v>10</v>
      </c>
      <c r="D81" s="13"/>
      <c r="E81" s="104"/>
      <c r="F81" s="104"/>
      <c r="G81" s="13"/>
      <c r="H81" s="14" t="s">
        <v>11</v>
      </c>
    </row>
    <row r="82" spans="3:11" ht="15" hidden="1" x14ac:dyDescent="0.25">
      <c r="C82" s="12"/>
      <c r="D82" s="12"/>
      <c r="E82" s="105"/>
      <c r="F82" s="105"/>
      <c r="G82" s="12"/>
      <c r="H82" s="14"/>
    </row>
    <row r="83" spans="3:11" ht="15" x14ac:dyDescent="0.2">
      <c r="C83" s="113" t="s">
        <v>200</v>
      </c>
      <c r="D83" s="114"/>
      <c r="E83" s="115">
        <f>E12</f>
        <v>1929559103.1800001</v>
      </c>
      <c r="F83" s="115">
        <f t="shared" ref="F83:K83" si="5">F12</f>
        <v>947540000</v>
      </c>
      <c r="G83" s="115">
        <f t="shared" si="5"/>
        <v>0</v>
      </c>
      <c r="H83" s="115">
        <f t="shared" si="5"/>
        <v>423357684.73000002</v>
      </c>
      <c r="I83" s="115">
        <f t="shared" si="5"/>
        <v>0</v>
      </c>
      <c r="J83" s="115">
        <f t="shared" si="5"/>
        <v>0</v>
      </c>
      <c r="K83" s="115">
        <f t="shared" si="5"/>
        <v>0</v>
      </c>
    </row>
    <row r="84" spans="3:11" ht="15" x14ac:dyDescent="0.2">
      <c r="C84" s="113" t="s">
        <v>201</v>
      </c>
      <c r="D84" s="114"/>
      <c r="E84" s="115">
        <f>E11+E28</f>
        <v>2545795646.9853292</v>
      </c>
      <c r="F84" s="115">
        <f t="shared" ref="F84:K84" si="6">F11+F28</f>
        <v>149207778.985329</v>
      </c>
      <c r="G84" s="115">
        <f t="shared" si="6"/>
        <v>119137.52</v>
      </c>
      <c r="H84" s="115">
        <f t="shared" si="6"/>
        <v>21287979.309999999</v>
      </c>
      <c r="I84" s="115">
        <f t="shared" si="6"/>
        <v>0</v>
      </c>
      <c r="J84" s="115">
        <f t="shared" si="6"/>
        <v>74380295.490294889</v>
      </c>
      <c r="K84" s="115">
        <f t="shared" si="6"/>
        <v>519145097.05029488</v>
      </c>
    </row>
    <row r="85" spans="3:11" ht="15" x14ac:dyDescent="0.25">
      <c r="C85" s="12"/>
      <c r="D85" s="12"/>
      <c r="E85" s="111"/>
      <c r="F85" s="105"/>
      <c r="G85" s="12"/>
      <c r="H85" s="14"/>
    </row>
    <row r="86" spans="3:11" ht="30" customHeight="1" x14ac:dyDescent="0.25">
      <c r="C86" s="15" t="s">
        <v>12</v>
      </c>
      <c r="D86" s="13"/>
      <c r="E86" s="104"/>
      <c r="F86" s="104"/>
      <c r="G86" s="13"/>
      <c r="H86" s="14" t="s">
        <v>15</v>
      </c>
      <c r="K86" s="42"/>
    </row>
    <row r="87" spans="3:11" ht="15" x14ac:dyDescent="0.25">
      <c r="C87" s="15"/>
      <c r="D87" s="12"/>
      <c r="E87" s="105"/>
      <c r="F87" s="105"/>
      <c r="G87" s="12"/>
      <c r="H87" s="14"/>
    </row>
  </sheetData>
  <autoFilter ref="A9:K9"/>
  <mergeCells count="20">
    <mergeCell ref="B77:C77"/>
    <mergeCell ref="I7:I8"/>
    <mergeCell ref="J7:J8"/>
    <mergeCell ref="B10:C10"/>
    <mergeCell ref="A2:K2"/>
    <mergeCell ref="A3:K4"/>
    <mergeCell ref="A6:A8"/>
    <mergeCell ref="B6:B8"/>
    <mergeCell ref="C6:C8"/>
    <mergeCell ref="D6:D8"/>
    <mergeCell ref="M70:M72"/>
    <mergeCell ref="G6:J6"/>
    <mergeCell ref="K6:K8"/>
    <mergeCell ref="G7:G8"/>
    <mergeCell ref="H7:H8"/>
    <mergeCell ref="B27:C27"/>
    <mergeCell ref="B72:C72"/>
    <mergeCell ref="E6:F6"/>
    <mergeCell ref="E7:E8"/>
    <mergeCell ref="F7:F8"/>
  </mergeCells>
  <printOptions verticalCentered="1"/>
  <pageMargins left="0.47244094488188981" right="0.19685039370078741" top="0.27559055118110237" bottom="0.31496062992125984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K269"/>
  <sheetViews>
    <sheetView tabSelected="1" topLeftCell="G1" zoomScale="55" zoomScaleNormal="55" zoomScaleSheetLayoutView="85" workbookViewId="0">
      <pane ySplit="6" topLeftCell="A82" activePane="bottomLeft" state="frozen"/>
      <selection pane="bottomLeft" activeCell="AG83" sqref="AG83"/>
    </sheetView>
  </sheetViews>
  <sheetFormatPr defaultRowHeight="18.75" outlineLevelCol="1" x14ac:dyDescent="0.25"/>
  <cols>
    <col min="1" max="1" width="13.19921875" style="191" customWidth="1" outlineLevel="1"/>
    <col min="2" max="2" width="13.3984375" style="192" customWidth="1" outlineLevel="1"/>
    <col min="3" max="3" width="13.19921875" style="192" customWidth="1" outlineLevel="1"/>
    <col min="4" max="4" width="19.69921875" style="192" customWidth="1" outlineLevel="1"/>
    <col min="5" max="5" width="17.296875" style="192" customWidth="1" outlineLevel="1"/>
    <col min="6" max="6" width="16.09765625" style="192" customWidth="1" outlineLevel="1"/>
    <col min="7" max="7" width="22" style="192" customWidth="1" outlineLevel="1"/>
    <col min="8" max="8" width="11.19921875" style="168" customWidth="1"/>
    <col min="9" max="9" width="49" style="116" customWidth="1"/>
    <col min="10" max="10" width="42.69921875" style="116" hidden="1" customWidth="1"/>
    <col min="11" max="11" width="14.3984375" style="265" hidden="1" customWidth="1"/>
    <col min="12" max="12" width="19.09765625" style="266" hidden="1" customWidth="1"/>
    <col min="13" max="15" width="15.69921875" style="267" customWidth="1"/>
    <col min="16" max="24" width="20.796875" style="267" hidden="1" customWidth="1"/>
    <col min="25" max="25" width="17.796875" style="267" customWidth="1" collapsed="1"/>
    <col min="26" max="27" width="17.796875" style="266" customWidth="1"/>
    <col min="28" max="28" width="17.796875" style="267" customWidth="1"/>
    <col min="29" max="16384" width="8.796875" style="116"/>
  </cols>
  <sheetData>
    <row r="1" spans="1:111" s="197" customFormat="1" ht="42" customHeight="1" x14ac:dyDescent="0.3">
      <c r="A1" s="193"/>
      <c r="B1" s="119"/>
      <c r="C1" s="194"/>
      <c r="D1" s="119"/>
      <c r="E1" s="119"/>
      <c r="F1" s="194"/>
      <c r="G1" s="119"/>
      <c r="H1" s="195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</row>
    <row r="2" spans="1:111" s="190" customFormat="1" ht="46.5" customHeight="1" x14ac:dyDescent="0.25">
      <c r="A2" s="198"/>
      <c r="B2" s="165"/>
      <c r="C2" s="166"/>
      <c r="D2" s="167"/>
      <c r="E2" s="167"/>
      <c r="F2" s="167"/>
      <c r="G2" s="167"/>
      <c r="H2" s="168"/>
      <c r="I2" s="191"/>
      <c r="J2" s="191"/>
      <c r="K2" s="199"/>
      <c r="L2" s="200"/>
      <c r="M2" s="201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1"/>
      <c r="Z2" s="202"/>
      <c r="AA2" s="203"/>
      <c r="AB2" s="204"/>
    </row>
    <row r="3" spans="1:111" s="190" customFormat="1" ht="64.5" customHeight="1" x14ac:dyDescent="0.25">
      <c r="A3" s="154" t="s">
        <v>207</v>
      </c>
      <c r="B3" s="155"/>
      <c r="C3" s="155"/>
      <c r="D3" s="155"/>
      <c r="E3" s="155"/>
      <c r="F3" s="155"/>
      <c r="G3" s="155"/>
      <c r="H3" s="159" t="s">
        <v>0</v>
      </c>
      <c r="I3" s="156" t="s">
        <v>1</v>
      </c>
      <c r="J3" s="169" t="s">
        <v>301</v>
      </c>
      <c r="K3" s="205" t="s">
        <v>206</v>
      </c>
      <c r="L3" s="162" t="s">
        <v>343</v>
      </c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7"/>
    </row>
    <row r="4" spans="1:111" s="190" customFormat="1" ht="78" customHeight="1" x14ac:dyDescent="0.25">
      <c r="A4" s="119"/>
      <c r="B4" s="119"/>
      <c r="C4" s="119"/>
      <c r="D4" s="119"/>
      <c r="E4" s="119"/>
      <c r="F4" s="119"/>
      <c r="G4" s="119"/>
      <c r="H4" s="160"/>
      <c r="I4" s="157"/>
      <c r="J4" s="157"/>
      <c r="K4" s="208"/>
      <c r="L4" s="163"/>
      <c r="M4" s="209" t="s">
        <v>439</v>
      </c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10"/>
      <c r="Y4" s="211" t="s">
        <v>440</v>
      </c>
      <c r="Z4" s="211"/>
      <c r="AA4" s="211"/>
      <c r="AB4" s="211"/>
    </row>
    <row r="5" spans="1:111" s="190" customFormat="1" ht="95.25" customHeight="1" x14ac:dyDescent="0.25">
      <c r="A5" s="119" t="s">
        <v>208</v>
      </c>
      <c r="B5" s="119" t="s">
        <v>209</v>
      </c>
      <c r="C5" s="119" t="s">
        <v>340</v>
      </c>
      <c r="D5" s="119" t="s">
        <v>210</v>
      </c>
      <c r="E5" s="119" t="s">
        <v>280</v>
      </c>
      <c r="F5" s="119" t="s">
        <v>211</v>
      </c>
      <c r="G5" s="119" t="s">
        <v>342</v>
      </c>
      <c r="H5" s="161"/>
      <c r="I5" s="158"/>
      <c r="J5" s="158"/>
      <c r="K5" s="212"/>
      <c r="L5" s="164"/>
      <c r="M5" s="213" t="s">
        <v>252</v>
      </c>
      <c r="N5" s="127" t="s">
        <v>253</v>
      </c>
      <c r="O5" s="127" t="s">
        <v>254</v>
      </c>
      <c r="P5" s="127" t="s">
        <v>255</v>
      </c>
      <c r="Q5" s="127" t="s">
        <v>256</v>
      </c>
      <c r="R5" s="127" t="s">
        <v>257</v>
      </c>
      <c r="S5" s="127" t="s">
        <v>258</v>
      </c>
      <c r="T5" s="127" t="s">
        <v>259</v>
      </c>
      <c r="U5" s="127" t="s">
        <v>260</v>
      </c>
      <c r="V5" s="127" t="s">
        <v>261</v>
      </c>
      <c r="W5" s="127" t="s">
        <v>262</v>
      </c>
      <c r="X5" s="127" t="s">
        <v>263</v>
      </c>
      <c r="Y5" s="214" t="s">
        <v>441</v>
      </c>
      <c r="Z5" s="127" t="s">
        <v>250</v>
      </c>
      <c r="AA5" s="127" t="s">
        <v>203</v>
      </c>
      <c r="AB5" s="127" t="s">
        <v>204</v>
      </c>
    </row>
    <row r="6" spans="1:111" s="215" customFormat="1" ht="23.25" customHeight="1" x14ac:dyDescent="0.25">
      <c r="A6" s="119" t="s">
        <v>205</v>
      </c>
      <c r="B6" s="119" t="s">
        <v>205</v>
      </c>
      <c r="C6" s="119" t="s">
        <v>205</v>
      </c>
      <c r="D6" s="119" t="s">
        <v>205</v>
      </c>
      <c r="E6" s="119" t="s">
        <v>205</v>
      </c>
      <c r="F6" s="119" t="s">
        <v>205</v>
      </c>
      <c r="G6" s="119" t="s">
        <v>205</v>
      </c>
      <c r="H6" s="126">
        <v>1</v>
      </c>
      <c r="I6" s="126">
        <v>2</v>
      </c>
      <c r="J6" s="126">
        <v>3</v>
      </c>
      <c r="K6" s="170">
        <v>6</v>
      </c>
      <c r="L6" s="127">
        <v>7</v>
      </c>
      <c r="M6" s="127" t="s">
        <v>205</v>
      </c>
      <c r="N6" s="127" t="s">
        <v>205</v>
      </c>
      <c r="O6" s="127" t="s">
        <v>205</v>
      </c>
      <c r="P6" s="127" t="s">
        <v>205</v>
      </c>
      <c r="Q6" s="127" t="s">
        <v>205</v>
      </c>
      <c r="R6" s="127" t="s">
        <v>205</v>
      </c>
      <c r="S6" s="127" t="s">
        <v>205</v>
      </c>
      <c r="T6" s="127" t="s">
        <v>205</v>
      </c>
      <c r="U6" s="127" t="s">
        <v>205</v>
      </c>
      <c r="V6" s="127" t="s">
        <v>205</v>
      </c>
      <c r="W6" s="127" t="s">
        <v>205</v>
      </c>
      <c r="X6" s="127" t="s">
        <v>205</v>
      </c>
      <c r="Y6" s="127" t="s">
        <v>212</v>
      </c>
      <c r="Z6" s="127" t="s">
        <v>213</v>
      </c>
      <c r="AA6" s="127" t="s">
        <v>214</v>
      </c>
      <c r="AB6" s="127" t="s">
        <v>215</v>
      </c>
    </row>
    <row r="7" spans="1:111" s="220" customFormat="1" ht="54" customHeight="1" x14ac:dyDescent="0.25">
      <c r="A7" s="216" t="s">
        <v>247</v>
      </c>
      <c r="B7" s="217" t="s">
        <v>205</v>
      </c>
      <c r="C7" s="217" t="s">
        <v>205</v>
      </c>
      <c r="D7" s="217" t="s">
        <v>205</v>
      </c>
      <c r="E7" s="217" t="s">
        <v>205</v>
      </c>
      <c r="F7" s="217" t="s">
        <v>205</v>
      </c>
      <c r="G7" s="217" t="s">
        <v>205</v>
      </c>
      <c r="H7" s="216"/>
      <c r="I7" s="218" t="s">
        <v>438</v>
      </c>
      <c r="J7" s="217" t="s">
        <v>216</v>
      </c>
      <c r="K7" s="217">
        <f>K8+K12</f>
        <v>70</v>
      </c>
      <c r="L7" s="219">
        <f>L8+L12</f>
        <v>186000</v>
      </c>
      <c r="M7" s="219">
        <f>M8+M12</f>
        <v>1300</v>
      </c>
      <c r="N7" s="219">
        <f t="shared" ref="N7:T7" si="0">N8+N12</f>
        <v>1350</v>
      </c>
      <c r="O7" s="219">
        <f t="shared" si="0"/>
        <v>180</v>
      </c>
      <c r="P7" s="219">
        <f>P8+P12</f>
        <v>0</v>
      </c>
      <c r="Q7" s="219">
        <f>Q8+Q12</f>
        <v>0</v>
      </c>
      <c r="R7" s="219">
        <f>R8+R12</f>
        <v>0</v>
      </c>
      <c r="S7" s="219">
        <f>S8+S12</f>
        <v>0</v>
      </c>
      <c r="T7" s="219">
        <f t="shared" si="0"/>
        <v>0</v>
      </c>
      <c r="U7" s="219">
        <f t="shared" ref="U7:AB7" si="1">U8+U12</f>
        <v>0</v>
      </c>
      <c r="V7" s="219">
        <f t="shared" si="1"/>
        <v>0</v>
      </c>
      <c r="W7" s="219">
        <f t="shared" si="1"/>
        <v>0</v>
      </c>
      <c r="X7" s="219">
        <f t="shared" si="1"/>
        <v>0</v>
      </c>
      <c r="Y7" s="219">
        <f t="shared" si="1"/>
        <v>2830</v>
      </c>
      <c r="Z7" s="219">
        <f t="shared" si="1"/>
        <v>900</v>
      </c>
      <c r="AA7" s="219">
        <f t="shared" si="1"/>
        <v>350</v>
      </c>
      <c r="AB7" s="219">
        <f t="shared" si="1"/>
        <v>4080</v>
      </c>
    </row>
    <row r="8" spans="1:111" ht="47.25" customHeight="1" x14ac:dyDescent="0.25">
      <c r="A8" s="119" t="s">
        <v>271</v>
      </c>
      <c r="B8" s="131" t="s">
        <v>205</v>
      </c>
      <c r="C8" s="131" t="s">
        <v>205</v>
      </c>
      <c r="D8" s="131" t="s">
        <v>205</v>
      </c>
      <c r="E8" s="131" t="s">
        <v>205</v>
      </c>
      <c r="F8" s="131" t="s">
        <v>205</v>
      </c>
      <c r="G8" s="131" t="s">
        <v>205</v>
      </c>
      <c r="H8" s="174"/>
      <c r="I8" s="177" t="s">
        <v>399</v>
      </c>
      <c r="J8" s="221"/>
      <c r="K8" s="222">
        <f>SUBTOTAL(9,K9:K10)</f>
        <v>70</v>
      </c>
      <c r="L8" s="177">
        <f>SUBTOTAL(9,L9:L10)</f>
        <v>174000</v>
      </c>
      <c r="M8" s="177">
        <f>SUBTOTAL(9,M9:M10)</f>
        <v>1200</v>
      </c>
      <c r="N8" s="177">
        <f t="shared" ref="N8:T8" si="2">SUBTOTAL(9,N9:N10)</f>
        <v>1200</v>
      </c>
      <c r="O8" s="177">
        <f t="shared" si="2"/>
        <v>0</v>
      </c>
      <c r="P8" s="177">
        <f>SUBTOTAL(9,P9:P10)</f>
        <v>0</v>
      </c>
      <c r="Q8" s="177">
        <f>SUBTOTAL(9,Q9:Q10)</f>
        <v>0</v>
      </c>
      <c r="R8" s="177">
        <f>SUBTOTAL(9,R9:R10)</f>
        <v>0</v>
      </c>
      <c r="S8" s="177">
        <f>SUBTOTAL(9,S9:S10)</f>
        <v>0</v>
      </c>
      <c r="T8" s="177">
        <f t="shared" si="2"/>
        <v>0</v>
      </c>
      <c r="U8" s="177">
        <f t="shared" ref="U8:AB8" si="3">SUBTOTAL(9,U9:U10)</f>
        <v>0</v>
      </c>
      <c r="V8" s="177">
        <f t="shared" si="3"/>
        <v>0</v>
      </c>
      <c r="W8" s="177">
        <f t="shared" si="3"/>
        <v>0</v>
      </c>
      <c r="X8" s="177">
        <f t="shared" si="3"/>
        <v>0</v>
      </c>
      <c r="Y8" s="177">
        <f t="shared" si="3"/>
        <v>2400</v>
      </c>
      <c r="Z8" s="177">
        <f t="shared" si="3"/>
        <v>900</v>
      </c>
      <c r="AA8" s="177">
        <f t="shared" si="3"/>
        <v>350</v>
      </c>
      <c r="AB8" s="177">
        <f t="shared" si="3"/>
        <v>3650</v>
      </c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</row>
    <row r="9" spans="1:111" ht="40.5" customHeight="1" x14ac:dyDescent="0.25">
      <c r="A9" s="119" t="s">
        <v>276</v>
      </c>
      <c r="B9" s="131" t="s">
        <v>205</v>
      </c>
      <c r="C9" s="131" t="s">
        <v>205</v>
      </c>
      <c r="D9" s="131" t="s">
        <v>205</v>
      </c>
      <c r="E9" s="131" t="s">
        <v>205</v>
      </c>
      <c r="F9" s="131" t="s">
        <v>205</v>
      </c>
      <c r="G9" s="131" t="s">
        <v>205</v>
      </c>
      <c r="H9" s="223"/>
      <c r="I9" s="224" t="s">
        <v>277</v>
      </c>
      <c r="J9" s="221"/>
      <c r="K9" s="225">
        <f t="shared" ref="K9:AB9" si="4">SUMIFS(K83:K256,$F$83:$F$256,"СТОЙКИЕ",$A$83:$A$256,"ИТОГ П")</f>
        <v>60</v>
      </c>
      <c r="L9" s="224">
        <f t="shared" si="4"/>
        <v>64000</v>
      </c>
      <c r="M9" s="224">
        <f t="shared" si="4"/>
        <v>500</v>
      </c>
      <c r="N9" s="224">
        <f t="shared" si="4"/>
        <v>1000</v>
      </c>
      <c r="O9" s="224">
        <f t="shared" si="4"/>
        <v>0</v>
      </c>
      <c r="P9" s="224">
        <f t="shared" si="4"/>
        <v>0</v>
      </c>
      <c r="Q9" s="224">
        <f t="shared" si="4"/>
        <v>0</v>
      </c>
      <c r="R9" s="224">
        <f t="shared" si="4"/>
        <v>0</v>
      </c>
      <c r="S9" s="224">
        <f t="shared" si="4"/>
        <v>0</v>
      </c>
      <c r="T9" s="224">
        <f t="shared" si="4"/>
        <v>0</v>
      </c>
      <c r="U9" s="224">
        <f t="shared" si="4"/>
        <v>0</v>
      </c>
      <c r="V9" s="224">
        <f t="shared" si="4"/>
        <v>0</v>
      </c>
      <c r="W9" s="224">
        <f t="shared" si="4"/>
        <v>0</v>
      </c>
      <c r="X9" s="224">
        <f t="shared" si="4"/>
        <v>0</v>
      </c>
      <c r="Y9" s="224">
        <f t="shared" si="4"/>
        <v>1500</v>
      </c>
      <c r="Z9" s="224">
        <f t="shared" si="4"/>
        <v>900</v>
      </c>
      <c r="AA9" s="224">
        <f t="shared" si="4"/>
        <v>350</v>
      </c>
      <c r="AB9" s="224">
        <f t="shared" si="4"/>
        <v>2750</v>
      </c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</row>
    <row r="10" spans="1:111" ht="40.5" customHeight="1" x14ac:dyDescent="0.25">
      <c r="A10" s="119" t="s">
        <v>293</v>
      </c>
      <c r="B10" s="131" t="s">
        <v>205</v>
      </c>
      <c r="C10" s="131" t="s">
        <v>205</v>
      </c>
      <c r="D10" s="131" t="s">
        <v>205</v>
      </c>
      <c r="E10" s="131" t="s">
        <v>205</v>
      </c>
      <c r="F10" s="131" t="s">
        <v>205</v>
      </c>
      <c r="G10" s="131" t="s">
        <v>205</v>
      </c>
      <c r="H10" s="223"/>
      <c r="I10" s="224" t="s">
        <v>294</v>
      </c>
      <c r="J10" s="221"/>
      <c r="K10" s="225">
        <f t="shared" ref="K10:AB10" si="5">SUMIFS(K83:K256,$F$83:$F$256,"ЗЕРКАЛА",$A$83:$A$256,"ИТОГ П")</f>
        <v>10</v>
      </c>
      <c r="L10" s="224">
        <f t="shared" si="5"/>
        <v>110000</v>
      </c>
      <c r="M10" s="224">
        <f t="shared" si="5"/>
        <v>700</v>
      </c>
      <c r="N10" s="224">
        <f t="shared" si="5"/>
        <v>200</v>
      </c>
      <c r="O10" s="224">
        <f t="shared" si="5"/>
        <v>0</v>
      </c>
      <c r="P10" s="224">
        <f t="shared" si="5"/>
        <v>0</v>
      </c>
      <c r="Q10" s="224">
        <f t="shared" si="5"/>
        <v>0</v>
      </c>
      <c r="R10" s="224">
        <f t="shared" si="5"/>
        <v>0</v>
      </c>
      <c r="S10" s="224">
        <f t="shared" si="5"/>
        <v>0</v>
      </c>
      <c r="T10" s="224">
        <f t="shared" si="5"/>
        <v>0</v>
      </c>
      <c r="U10" s="224">
        <f t="shared" si="5"/>
        <v>0</v>
      </c>
      <c r="V10" s="224">
        <f t="shared" si="5"/>
        <v>0</v>
      </c>
      <c r="W10" s="224">
        <f t="shared" si="5"/>
        <v>0</v>
      </c>
      <c r="X10" s="224">
        <f t="shared" si="5"/>
        <v>0</v>
      </c>
      <c r="Y10" s="224">
        <f t="shared" si="5"/>
        <v>900</v>
      </c>
      <c r="Z10" s="224">
        <f t="shared" si="5"/>
        <v>0</v>
      </c>
      <c r="AA10" s="224">
        <f t="shared" si="5"/>
        <v>0</v>
      </c>
      <c r="AB10" s="224">
        <f t="shared" si="5"/>
        <v>900</v>
      </c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</row>
    <row r="11" spans="1:111" ht="5.25" customHeight="1" x14ac:dyDescent="0.25">
      <c r="A11" s="131"/>
      <c r="B11" s="131"/>
      <c r="C11" s="131"/>
      <c r="D11" s="131"/>
      <c r="E11" s="131"/>
      <c r="F11" s="131"/>
      <c r="G11" s="131"/>
      <c r="H11" s="227" t="s">
        <v>205</v>
      </c>
      <c r="I11" s="228" t="s">
        <v>205</v>
      </c>
      <c r="J11" s="228" t="s">
        <v>205</v>
      </c>
      <c r="K11" s="229" t="s">
        <v>205</v>
      </c>
      <c r="L11" s="230" t="s">
        <v>205</v>
      </c>
      <c r="M11" s="230" t="s">
        <v>205</v>
      </c>
      <c r="N11" s="230" t="s">
        <v>205</v>
      </c>
      <c r="O11" s="230" t="s">
        <v>205</v>
      </c>
      <c r="P11" s="230" t="s">
        <v>205</v>
      </c>
      <c r="Q11" s="230" t="s">
        <v>205</v>
      </c>
      <c r="R11" s="230" t="s">
        <v>205</v>
      </c>
      <c r="S11" s="230" t="s">
        <v>205</v>
      </c>
      <c r="T11" s="230" t="s">
        <v>205</v>
      </c>
      <c r="U11" s="230" t="s">
        <v>205</v>
      </c>
      <c r="V11" s="230" t="s">
        <v>205</v>
      </c>
      <c r="W11" s="230" t="s">
        <v>205</v>
      </c>
      <c r="X11" s="230" t="s">
        <v>205</v>
      </c>
      <c r="Y11" s="230" t="s">
        <v>205</v>
      </c>
      <c r="Z11" s="230" t="s">
        <v>205</v>
      </c>
      <c r="AA11" s="230" t="s">
        <v>205</v>
      </c>
      <c r="AB11" s="230" t="s">
        <v>205</v>
      </c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</row>
    <row r="12" spans="1:111" ht="38.25" customHeight="1" x14ac:dyDescent="0.25">
      <c r="A12" s="231" t="s">
        <v>272</v>
      </c>
      <c r="B12" s="131" t="s">
        <v>205</v>
      </c>
      <c r="C12" s="131" t="s">
        <v>205</v>
      </c>
      <c r="D12" s="131" t="s">
        <v>205</v>
      </c>
      <c r="E12" s="131" t="s">
        <v>205</v>
      </c>
      <c r="F12" s="131" t="s">
        <v>205</v>
      </c>
      <c r="G12" s="131" t="s">
        <v>205</v>
      </c>
      <c r="H12" s="174" t="s">
        <v>205</v>
      </c>
      <c r="I12" s="177" t="s">
        <v>273</v>
      </c>
      <c r="J12" s="177"/>
      <c r="K12" s="222">
        <f>K256</f>
        <v>0</v>
      </c>
      <c r="L12" s="177">
        <f>L256</f>
        <v>12000</v>
      </c>
      <c r="M12" s="177">
        <f>M256</f>
        <v>100</v>
      </c>
      <c r="N12" s="177">
        <f t="shared" ref="N12:T12" si="6">N256</f>
        <v>150</v>
      </c>
      <c r="O12" s="177">
        <f t="shared" si="6"/>
        <v>180</v>
      </c>
      <c r="P12" s="177">
        <f>P256</f>
        <v>0</v>
      </c>
      <c r="Q12" s="177">
        <f>Q256</f>
        <v>0</v>
      </c>
      <c r="R12" s="177">
        <f>R256</f>
        <v>0</v>
      </c>
      <c r="S12" s="177">
        <f>S256</f>
        <v>0</v>
      </c>
      <c r="T12" s="177">
        <f t="shared" si="6"/>
        <v>0</v>
      </c>
      <c r="U12" s="177">
        <f t="shared" ref="U12:AB12" si="7">U256</f>
        <v>0</v>
      </c>
      <c r="V12" s="177">
        <f t="shared" si="7"/>
        <v>0</v>
      </c>
      <c r="W12" s="177">
        <f t="shared" si="7"/>
        <v>0</v>
      </c>
      <c r="X12" s="177">
        <f t="shared" si="7"/>
        <v>0</v>
      </c>
      <c r="Y12" s="177">
        <f t="shared" si="7"/>
        <v>430</v>
      </c>
      <c r="Z12" s="177">
        <f t="shared" si="7"/>
        <v>0</v>
      </c>
      <c r="AA12" s="177">
        <f t="shared" si="7"/>
        <v>0</v>
      </c>
      <c r="AB12" s="177">
        <f t="shared" si="7"/>
        <v>430</v>
      </c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</row>
    <row r="13" spans="1:111" s="129" customFormat="1" ht="29.25" customHeight="1" x14ac:dyDescent="0.25">
      <c r="A13" s="128" t="s">
        <v>205</v>
      </c>
      <c r="B13" s="128" t="s">
        <v>205</v>
      </c>
      <c r="C13" s="128" t="s">
        <v>205</v>
      </c>
      <c r="D13" s="128" t="s">
        <v>205</v>
      </c>
      <c r="E13" s="128" t="s">
        <v>205</v>
      </c>
      <c r="F13" s="128" t="s">
        <v>205</v>
      </c>
      <c r="G13" s="128" t="s">
        <v>205</v>
      </c>
      <c r="H13" s="127" t="s">
        <v>205</v>
      </c>
      <c r="I13" s="128" t="s">
        <v>341</v>
      </c>
      <c r="J13" s="128" t="s">
        <v>205</v>
      </c>
      <c r="K13" s="128">
        <f>K8-SUM(K15,K16,K18,K19,K21,K22,K24,K25)+K8-SUM(K14,K17,K20,K23)</f>
        <v>0</v>
      </c>
      <c r="L13" s="128">
        <f>L8-SUM(L15,L16,L18,L19,L21,L22,L24,L25)+L8-SUM(L14,L17,L20,L23)</f>
        <v>0</v>
      </c>
      <c r="M13" s="128">
        <f>M8-SUM(M15,M16,M18,M19,M21,M22,M24,M25)+M8-SUM(M14,M17,M20,M23)</f>
        <v>0</v>
      </c>
      <c r="N13" s="128">
        <f t="shared" ref="N13:T13" si="8">N8-SUM(N15,N16,N18,N19,N21,N22,N24,N25)+N8-SUM(N14,N17,N20,N23)</f>
        <v>0</v>
      </c>
      <c r="O13" s="128">
        <f t="shared" si="8"/>
        <v>0</v>
      </c>
      <c r="P13" s="128">
        <f>P8-SUM(P15,P16,P18,P19,P21,P22,P24,P25)+P8-SUM(P14,P17,P20,P23)</f>
        <v>0</v>
      </c>
      <c r="Q13" s="128">
        <f>Q8-SUM(Q15,Q16,Q18,Q19,Q21,Q22,Q24,Q25)+Q8-SUM(Q14,Q17,Q20,Q23)</f>
        <v>0</v>
      </c>
      <c r="R13" s="128">
        <f>R8-SUM(R15,R16,R18,R19,R21,R22,R24,R25)+R8-SUM(R14,R17,R20,R23)</f>
        <v>0</v>
      </c>
      <c r="S13" s="128">
        <f>S8-SUM(S15,S16,S18,S19,S21,S22,S24,S25)+S8-SUM(S14,S17,S20,S23)</f>
        <v>0</v>
      </c>
      <c r="T13" s="128">
        <f t="shared" si="8"/>
        <v>0</v>
      </c>
      <c r="U13" s="128">
        <f t="shared" ref="U13:AB13" si="9">U8-SUM(U15,U16,U18,U19,U21,U22,U24,U25)+U8-SUM(U14,U17,U20,U23)</f>
        <v>0</v>
      </c>
      <c r="V13" s="128">
        <f t="shared" si="9"/>
        <v>0</v>
      </c>
      <c r="W13" s="128">
        <f t="shared" si="9"/>
        <v>0</v>
      </c>
      <c r="X13" s="128">
        <f t="shared" si="9"/>
        <v>0</v>
      </c>
      <c r="Y13" s="128">
        <f t="shared" si="9"/>
        <v>0</v>
      </c>
      <c r="Z13" s="128">
        <f t="shared" si="9"/>
        <v>0</v>
      </c>
      <c r="AA13" s="128">
        <f t="shared" si="9"/>
        <v>0</v>
      </c>
      <c r="AB13" s="128">
        <f t="shared" si="9"/>
        <v>0</v>
      </c>
    </row>
    <row r="14" spans="1:111" ht="38.25" customHeight="1" x14ac:dyDescent="0.25">
      <c r="A14" s="221" t="s">
        <v>249</v>
      </c>
      <c r="B14" s="221"/>
      <c r="C14" s="221" t="s">
        <v>281</v>
      </c>
      <c r="D14" s="221"/>
      <c r="E14" s="221"/>
      <c r="F14" s="128" t="s">
        <v>205</v>
      </c>
      <c r="G14" s="128" t="s">
        <v>216</v>
      </c>
      <c r="H14" s="127" t="s">
        <v>244</v>
      </c>
      <c r="I14" s="221" t="s">
        <v>282</v>
      </c>
      <c r="J14" s="128" t="s">
        <v>216</v>
      </c>
      <c r="K14" s="232">
        <f t="shared" ref="K14:AB14" si="10">SUMIFS(K$82:K$269,$C$82:$C$269,"ЗЕРКАЛО")</f>
        <v>68</v>
      </c>
      <c r="L14" s="221">
        <f t="shared" si="10"/>
        <v>144000</v>
      </c>
      <c r="M14" s="221">
        <f t="shared" si="10"/>
        <v>1000</v>
      </c>
      <c r="N14" s="221">
        <f t="shared" si="10"/>
        <v>800</v>
      </c>
      <c r="O14" s="221">
        <f t="shared" si="10"/>
        <v>0</v>
      </c>
      <c r="P14" s="221">
        <f t="shared" si="10"/>
        <v>0</v>
      </c>
      <c r="Q14" s="221">
        <f t="shared" si="10"/>
        <v>0</v>
      </c>
      <c r="R14" s="221">
        <f t="shared" si="10"/>
        <v>0</v>
      </c>
      <c r="S14" s="221">
        <f t="shared" si="10"/>
        <v>0</v>
      </c>
      <c r="T14" s="221">
        <f t="shared" si="10"/>
        <v>0</v>
      </c>
      <c r="U14" s="221">
        <f t="shared" si="10"/>
        <v>0</v>
      </c>
      <c r="V14" s="221">
        <f t="shared" si="10"/>
        <v>0</v>
      </c>
      <c r="W14" s="221">
        <f t="shared" si="10"/>
        <v>0</v>
      </c>
      <c r="X14" s="221">
        <f t="shared" si="10"/>
        <v>0</v>
      </c>
      <c r="Y14" s="221">
        <f t="shared" si="10"/>
        <v>1800</v>
      </c>
      <c r="Z14" s="221">
        <f t="shared" si="10"/>
        <v>900</v>
      </c>
      <c r="AA14" s="221">
        <f t="shared" si="10"/>
        <v>100</v>
      </c>
      <c r="AB14" s="221">
        <f t="shared" si="10"/>
        <v>2800</v>
      </c>
    </row>
    <row r="15" spans="1:111" s="237" customFormat="1" ht="38.25" customHeight="1" x14ac:dyDescent="0.25">
      <c r="A15" s="233" t="s">
        <v>249</v>
      </c>
      <c r="B15" s="233"/>
      <c r="C15" s="233" t="s">
        <v>281</v>
      </c>
      <c r="D15" s="233"/>
      <c r="E15" s="233"/>
      <c r="F15" s="234" t="s">
        <v>278</v>
      </c>
      <c r="G15" s="234"/>
      <c r="H15" s="235"/>
      <c r="I15" s="233" t="s">
        <v>283</v>
      </c>
      <c r="J15" s="234" t="s">
        <v>216</v>
      </c>
      <c r="K15" s="236">
        <f t="shared" ref="K15:AB15" si="11">SUMIFS(K$82:K$269,$C$82:$C$269,"ЗЕРКАЛО",$F$82:$F$269,"СТОЙКИЕ")</f>
        <v>58</v>
      </c>
      <c r="L15" s="233">
        <f t="shared" si="11"/>
        <v>44000</v>
      </c>
      <c r="M15" s="233">
        <f t="shared" si="11"/>
        <v>500</v>
      </c>
      <c r="N15" s="233">
        <f t="shared" si="11"/>
        <v>700</v>
      </c>
      <c r="O15" s="233">
        <f t="shared" si="11"/>
        <v>0</v>
      </c>
      <c r="P15" s="233">
        <f t="shared" si="11"/>
        <v>0</v>
      </c>
      <c r="Q15" s="233">
        <f t="shared" si="11"/>
        <v>0</v>
      </c>
      <c r="R15" s="233">
        <f t="shared" si="11"/>
        <v>0</v>
      </c>
      <c r="S15" s="233">
        <f t="shared" si="11"/>
        <v>0</v>
      </c>
      <c r="T15" s="233">
        <f t="shared" si="11"/>
        <v>0</v>
      </c>
      <c r="U15" s="233">
        <f t="shared" si="11"/>
        <v>0</v>
      </c>
      <c r="V15" s="233">
        <f t="shared" si="11"/>
        <v>0</v>
      </c>
      <c r="W15" s="233">
        <f t="shared" si="11"/>
        <v>0</v>
      </c>
      <c r="X15" s="233">
        <f t="shared" si="11"/>
        <v>0</v>
      </c>
      <c r="Y15" s="233">
        <f t="shared" si="11"/>
        <v>1200</v>
      </c>
      <c r="Z15" s="233">
        <f t="shared" si="11"/>
        <v>900</v>
      </c>
      <c r="AA15" s="233">
        <f t="shared" si="11"/>
        <v>100</v>
      </c>
      <c r="AB15" s="233">
        <f t="shared" si="11"/>
        <v>2200</v>
      </c>
    </row>
    <row r="16" spans="1:111" s="237" customFormat="1" ht="38.25" customHeight="1" x14ac:dyDescent="0.25">
      <c r="A16" s="233" t="s">
        <v>249</v>
      </c>
      <c r="B16" s="233"/>
      <c r="C16" s="233" t="s">
        <v>281</v>
      </c>
      <c r="D16" s="233"/>
      <c r="E16" s="233"/>
      <c r="F16" s="234" t="s">
        <v>295</v>
      </c>
      <c r="G16" s="234"/>
      <c r="H16" s="235"/>
      <c r="I16" s="233" t="s">
        <v>296</v>
      </c>
      <c r="J16" s="234" t="s">
        <v>216</v>
      </c>
      <c r="K16" s="236">
        <f t="shared" ref="K16:AB16" si="12">SUMIFS(K$82:K$269,$C$82:$C$269,"ЗЕРКАЛО",$F$82:$F$269,"ЗЕРКАЛА")</f>
        <v>10</v>
      </c>
      <c r="L16" s="233">
        <f t="shared" si="12"/>
        <v>100000</v>
      </c>
      <c r="M16" s="233">
        <f t="shared" si="12"/>
        <v>500</v>
      </c>
      <c r="N16" s="233">
        <f t="shared" si="12"/>
        <v>100</v>
      </c>
      <c r="O16" s="233">
        <f t="shared" si="12"/>
        <v>0</v>
      </c>
      <c r="P16" s="233">
        <f t="shared" si="12"/>
        <v>0</v>
      </c>
      <c r="Q16" s="233">
        <f t="shared" si="12"/>
        <v>0</v>
      </c>
      <c r="R16" s="233">
        <f t="shared" si="12"/>
        <v>0</v>
      </c>
      <c r="S16" s="233">
        <f t="shared" si="12"/>
        <v>0</v>
      </c>
      <c r="T16" s="233">
        <f t="shared" si="12"/>
        <v>0</v>
      </c>
      <c r="U16" s="233">
        <f t="shared" si="12"/>
        <v>0</v>
      </c>
      <c r="V16" s="233">
        <f t="shared" si="12"/>
        <v>0</v>
      </c>
      <c r="W16" s="233">
        <f t="shared" si="12"/>
        <v>0</v>
      </c>
      <c r="X16" s="233">
        <f t="shared" si="12"/>
        <v>0</v>
      </c>
      <c r="Y16" s="233">
        <f t="shared" si="12"/>
        <v>600</v>
      </c>
      <c r="Z16" s="233">
        <f t="shared" si="12"/>
        <v>0</v>
      </c>
      <c r="AA16" s="233">
        <f t="shared" si="12"/>
        <v>0</v>
      </c>
      <c r="AB16" s="233">
        <f t="shared" si="12"/>
        <v>600</v>
      </c>
    </row>
    <row r="17" spans="1:28" ht="38.25" customHeight="1" x14ac:dyDescent="0.25">
      <c r="A17" s="221" t="s">
        <v>249</v>
      </c>
      <c r="B17" s="221"/>
      <c r="C17" s="221" t="s">
        <v>285</v>
      </c>
      <c r="D17" s="221"/>
      <c r="E17" s="221"/>
      <c r="F17" s="128" t="s">
        <v>205</v>
      </c>
      <c r="G17" s="128" t="s">
        <v>216</v>
      </c>
      <c r="H17" s="127" t="s">
        <v>244</v>
      </c>
      <c r="I17" s="221" t="s">
        <v>286</v>
      </c>
      <c r="J17" s="128" t="s">
        <v>216</v>
      </c>
      <c r="K17" s="232">
        <f t="shared" ref="K17:AB17" si="13">SUMIFS(K$82:K$269,$C$82:$C$269,"ЮРМАЛА")</f>
        <v>2</v>
      </c>
      <c r="L17" s="221">
        <f t="shared" si="13"/>
        <v>30000</v>
      </c>
      <c r="M17" s="221">
        <f t="shared" si="13"/>
        <v>200</v>
      </c>
      <c r="N17" s="221">
        <f t="shared" si="13"/>
        <v>400</v>
      </c>
      <c r="O17" s="221">
        <f t="shared" si="13"/>
        <v>0</v>
      </c>
      <c r="P17" s="221">
        <f t="shared" si="13"/>
        <v>0</v>
      </c>
      <c r="Q17" s="221">
        <f t="shared" si="13"/>
        <v>0</v>
      </c>
      <c r="R17" s="221">
        <f t="shared" si="13"/>
        <v>0</v>
      </c>
      <c r="S17" s="221">
        <f t="shared" si="13"/>
        <v>0</v>
      </c>
      <c r="T17" s="221">
        <f t="shared" si="13"/>
        <v>0</v>
      </c>
      <c r="U17" s="221">
        <f t="shared" si="13"/>
        <v>0</v>
      </c>
      <c r="V17" s="221">
        <f t="shared" si="13"/>
        <v>0</v>
      </c>
      <c r="W17" s="221">
        <f t="shared" si="13"/>
        <v>0</v>
      </c>
      <c r="X17" s="221">
        <f t="shared" si="13"/>
        <v>0</v>
      </c>
      <c r="Y17" s="221">
        <f t="shared" si="13"/>
        <v>600</v>
      </c>
      <c r="Z17" s="221">
        <f t="shared" si="13"/>
        <v>0</v>
      </c>
      <c r="AA17" s="221">
        <f t="shared" si="13"/>
        <v>250</v>
      </c>
      <c r="AB17" s="221">
        <f t="shared" si="13"/>
        <v>850</v>
      </c>
    </row>
    <row r="18" spans="1:28" s="237" customFormat="1" ht="38.25" customHeight="1" x14ac:dyDescent="0.25">
      <c r="A18" s="233" t="s">
        <v>249</v>
      </c>
      <c r="B18" s="233"/>
      <c r="C18" s="233" t="s">
        <v>285</v>
      </c>
      <c r="D18" s="233"/>
      <c r="E18" s="233"/>
      <c r="F18" s="234" t="s">
        <v>278</v>
      </c>
      <c r="G18" s="234"/>
      <c r="H18" s="235"/>
      <c r="I18" s="233" t="s">
        <v>287</v>
      </c>
      <c r="J18" s="234" t="s">
        <v>216</v>
      </c>
      <c r="K18" s="236">
        <f t="shared" ref="K18:AB18" si="14">SUMIFS(K$82:K$269,$C$82:$C$269,"ЮРМАЛА",$F$82:$F$269,"СТОЙКИЕ")</f>
        <v>2</v>
      </c>
      <c r="L18" s="233">
        <f t="shared" si="14"/>
        <v>20000</v>
      </c>
      <c r="M18" s="233">
        <f t="shared" si="14"/>
        <v>0</v>
      </c>
      <c r="N18" s="233">
        <f t="shared" si="14"/>
        <v>300</v>
      </c>
      <c r="O18" s="233">
        <f t="shared" si="14"/>
        <v>0</v>
      </c>
      <c r="P18" s="233">
        <f t="shared" si="14"/>
        <v>0</v>
      </c>
      <c r="Q18" s="233">
        <f t="shared" si="14"/>
        <v>0</v>
      </c>
      <c r="R18" s="233">
        <f t="shared" si="14"/>
        <v>0</v>
      </c>
      <c r="S18" s="233">
        <f t="shared" si="14"/>
        <v>0</v>
      </c>
      <c r="T18" s="233">
        <f t="shared" si="14"/>
        <v>0</v>
      </c>
      <c r="U18" s="233">
        <f t="shared" si="14"/>
        <v>0</v>
      </c>
      <c r="V18" s="233">
        <f t="shared" si="14"/>
        <v>0</v>
      </c>
      <c r="W18" s="233">
        <f t="shared" si="14"/>
        <v>0</v>
      </c>
      <c r="X18" s="233">
        <f t="shared" si="14"/>
        <v>0</v>
      </c>
      <c r="Y18" s="233">
        <f t="shared" si="14"/>
        <v>300</v>
      </c>
      <c r="Z18" s="233">
        <f t="shared" si="14"/>
        <v>0</v>
      </c>
      <c r="AA18" s="233">
        <f t="shared" si="14"/>
        <v>250</v>
      </c>
      <c r="AB18" s="233">
        <f t="shared" si="14"/>
        <v>550</v>
      </c>
    </row>
    <row r="19" spans="1:28" s="237" customFormat="1" ht="38.25" customHeight="1" x14ac:dyDescent="0.25">
      <c r="A19" s="233" t="s">
        <v>249</v>
      </c>
      <c r="B19" s="233"/>
      <c r="C19" s="233" t="s">
        <v>285</v>
      </c>
      <c r="D19" s="233"/>
      <c r="E19" s="233"/>
      <c r="F19" s="234" t="s">
        <v>295</v>
      </c>
      <c r="G19" s="234"/>
      <c r="H19" s="235"/>
      <c r="I19" s="233" t="s">
        <v>297</v>
      </c>
      <c r="J19" s="234" t="s">
        <v>216</v>
      </c>
      <c r="K19" s="236">
        <f t="shared" ref="K19:AB19" si="15">SUMIFS(K$82:K$269,$C$82:$C$269,"ЮРМАЛА",$F$82:$F$269,"ЗЕРКАЛА")</f>
        <v>0</v>
      </c>
      <c r="L19" s="233">
        <f t="shared" si="15"/>
        <v>10000</v>
      </c>
      <c r="M19" s="233">
        <f t="shared" si="15"/>
        <v>200</v>
      </c>
      <c r="N19" s="233">
        <f t="shared" si="15"/>
        <v>100</v>
      </c>
      <c r="O19" s="233">
        <f t="shared" si="15"/>
        <v>0</v>
      </c>
      <c r="P19" s="233">
        <f t="shared" si="15"/>
        <v>0</v>
      </c>
      <c r="Q19" s="233">
        <f t="shared" si="15"/>
        <v>0</v>
      </c>
      <c r="R19" s="233">
        <f t="shared" si="15"/>
        <v>0</v>
      </c>
      <c r="S19" s="233">
        <f t="shared" si="15"/>
        <v>0</v>
      </c>
      <c r="T19" s="233">
        <f t="shared" si="15"/>
        <v>0</v>
      </c>
      <c r="U19" s="233">
        <f t="shared" si="15"/>
        <v>0</v>
      </c>
      <c r="V19" s="233">
        <f t="shared" si="15"/>
        <v>0</v>
      </c>
      <c r="W19" s="233">
        <f t="shared" si="15"/>
        <v>0</v>
      </c>
      <c r="X19" s="233">
        <f t="shared" si="15"/>
        <v>0</v>
      </c>
      <c r="Y19" s="233">
        <f t="shared" si="15"/>
        <v>300</v>
      </c>
      <c r="Z19" s="233">
        <f t="shared" si="15"/>
        <v>0</v>
      </c>
      <c r="AA19" s="233">
        <f t="shared" si="15"/>
        <v>0</v>
      </c>
      <c r="AB19" s="233">
        <f t="shared" si="15"/>
        <v>300</v>
      </c>
    </row>
    <row r="20" spans="1:28" ht="38.25" customHeight="1" x14ac:dyDescent="0.25">
      <c r="A20" s="221" t="s">
        <v>249</v>
      </c>
      <c r="B20" s="221"/>
      <c r="C20" s="221" t="s">
        <v>289</v>
      </c>
      <c r="D20" s="221"/>
      <c r="E20" s="221"/>
      <c r="F20" s="128" t="s">
        <v>205</v>
      </c>
      <c r="G20" s="128" t="s">
        <v>216</v>
      </c>
      <c r="H20" s="127" t="s">
        <v>244</v>
      </c>
      <c r="I20" s="221" t="s">
        <v>290</v>
      </c>
      <c r="J20" s="128" t="s">
        <v>216</v>
      </c>
      <c r="K20" s="232">
        <f t="shared" ref="K20:AB20" si="16">SUMIFS(K$82:K$269,$C$82:$C$269,"ЦЕМЕНТОВОЗ")</f>
        <v>0</v>
      </c>
      <c r="L20" s="221">
        <f t="shared" si="16"/>
        <v>0</v>
      </c>
      <c r="M20" s="221">
        <f t="shared" si="16"/>
        <v>0</v>
      </c>
      <c r="N20" s="221">
        <f t="shared" si="16"/>
        <v>0</v>
      </c>
      <c r="O20" s="221">
        <f t="shared" si="16"/>
        <v>0</v>
      </c>
      <c r="P20" s="221">
        <f t="shared" si="16"/>
        <v>0</v>
      </c>
      <c r="Q20" s="221">
        <f t="shared" si="16"/>
        <v>0</v>
      </c>
      <c r="R20" s="221">
        <f t="shared" si="16"/>
        <v>0</v>
      </c>
      <c r="S20" s="221">
        <f t="shared" si="16"/>
        <v>0</v>
      </c>
      <c r="T20" s="221">
        <f t="shared" si="16"/>
        <v>0</v>
      </c>
      <c r="U20" s="221">
        <f t="shared" si="16"/>
        <v>0</v>
      </c>
      <c r="V20" s="221">
        <f t="shared" si="16"/>
        <v>0</v>
      </c>
      <c r="W20" s="221">
        <f t="shared" si="16"/>
        <v>0</v>
      </c>
      <c r="X20" s="221">
        <f t="shared" si="16"/>
        <v>0</v>
      </c>
      <c r="Y20" s="221">
        <f t="shared" si="16"/>
        <v>0</v>
      </c>
      <c r="Z20" s="221">
        <f t="shared" si="16"/>
        <v>0</v>
      </c>
      <c r="AA20" s="221">
        <f t="shared" si="16"/>
        <v>0</v>
      </c>
      <c r="AB20" s="221">
        <f t="shared" si="16"/>
        <v>0</v>
      </c>
    </row>
    <row r="21" spans="1:28" s="237" customFormat="1" ht="38.25" customHeight="1" x14ac:dyDescent="0.25">
      <c r="A21" s="233" t="s">
        <v>249</v>
      </c>
      <c r="B21" s="233"/>
      <c r="C21" s="233" t="s">
        <v>289</v>
      </c>
      <c r="D21" s="233"/>
      <c r="E21" s="233"/>
      <c r="F21" s="234" t="s">
        <v>278</v>
      </c>
      <c r="G21" s="234"/>
      <c r="H21" s="235"/>
      <c r="I21" s="233" t="s">
        <v>291</v>
      </c>
      <c r="J21" s="234" t="s">
        <v>216</v>
      </c>
      <c r="K21" s="236">
        <f t="shared" ref="K21:AB21" si="17">SUMIFS(K$82:K$269,$C$82:$C$269,"ЦЕМЕНТОВОЗ",$F$82:$F$269,"СТОЙКИЕ")</f>
        <v>0</v>
      </c>
      <c r="L21" s="233">
        <f t="shared" si="17"/>
        <v>0</v>
      </c>
      <c r="M21" s="233">
        <f t="shared" si="17"/>
        <v>0</v>
      </c>
      <c r="N21" s="233">
        <f t="shared" si="17"/>
        <v>0</v>
      </c>
      <c r="O21" s="233">
        <f t="shared" si="17"/>
        <v>0</v>
      </c>
      <c r="P21" s="233">
        <f t="shared" si="17"/>
        <v>0</v>
      </c>
      <c r="Q21" s="233">
        <f t="shared" si="17"/>
        <v>0</v>
      </c>
      <c r="R21" s="233">
        <f t="shared" si="17"/>
        <v>0</v>
      </c>
      <c r="S21" s="233">
        <f t="shared" si="17"/>
        <v>0</v>
      </c>
      <c r="T21" s="233">
        <f t="shared" si="17"/>
        <v>0</v>
      </c>
      <c r="U21" s="233">
        <f t="shared" si="17"/>
        <v>0</v>
      </c>
      <c r="V21" s="233">
        <f t="shared" si="17"/>
        <v>0</v>
      </c>
      <c r="W21" s="233">
        <f t="shared" si="17"/>
        <v>0</v>
      </c>
      <c r="X21" s="233">
        <f t="shared" si="17"/>
        <v>0</v>
      </c>
      <c r="Y21" s="233">
        <f t="shared" si="17"/>
        <v>0</v>
      </c>
      <c r="Z21" s="233">
        <f t="shared" si="17"/>
        <v>0</v>
      </c>
      <c r="AA21" s="233">
        <f t="shared" si="17"/>
        <v>0</v>
      </c>
      <c r="AB21" s="233">
        <f t="shared" si="17"/>
        <v>0</v>
      </c>
    </row>
    <row r="22" spans="1:28" s="237" customFormat="1" ht="38.25" customHeight="1" x14ac:dyDescent="0.25">
      <c r="A22" s="233" t="s">
        <v>249</v>
      </c>
      <c r="B22" s="233"/>
      <c r="C22" s="233" t="s">
        <v>289</v>
      </c>
      <c r="D22" s="233"/>
      <c r="E22" s="233"/>
      <c r="F22" s="234" t="s">
        <v>295</v>
      </c>
      <c r="G22" s="234"/>
      <c r="H22" s="235"/>
      <c r="I22" s="233" t="s">
        <v>298</v>
      </c>
      <c r="J22" s="234" t="s">
        <v>216</v>
      </c>
      <c r="K22" s="236">
        <f t="shared" ref="K22:AB22" si="18">SUMIFS(K$82:K$269,$C$82:$C$269,"ЦЕМЕНТОВОЗ",$F$82:$F$269,"ЗЕРКАЛА")</f>
        <v>0</v>
      </c>
      <c r="L22" s="233">
        <f t="shared" si="18"/>
        <v>0</v>
      </c>
      <c r="M22" s="233">
        <f t="shared" si="18"/>
        <v>0</v>
      </c>
      <c r="N22" s="233">
        <f t="shared" si="18"/>
        <v>0</v>
      </c>
      <c r="O22" s="233">
        <f t="shared" si="18"/>
        <v>0</v>
      </c>
      <c r="P22" s="233">
        <f t="shared" si="18"/>
        <v>0</v>
      </c>
      <c r="Q22" s="233">
        <f t="shared" si="18"/>
        <v>0</v>
      </c>
      <c r="R22" s="233">
        <f t="shared" si="18"/>
        <v>0</v>
      </c>
      <c r="S22" s="233">
        <f t="shared" si="18"/>
        <v>0</v>
      </c>
      <c r="T22" s="233">
        <f t="shared" si="18"/>
        <v>0</v>
      </c>
      <c r="U22" s="233">
        <f t="shared" si="18"/>
        <v>0</v>
      </c>
      <c r="V22" s="233">
        <f t="shared" si="18"/>
        <v>0</v>
      </c>
      <c r="W22" s="233">
        <f t="shared" si="18"/>
        <v>0</v>
      </c>
      <c r="X22" s="233">
        <f t="shared" si="18"/>
        <v>0</v>
      </c>
      <c r="Y22" s="233">
        <f t="shared" si="18"/>
        <v>0</v>
      </c>
      <c r="Z22" s="233">
        <f t="shared" si="18"/>
        <v>0</v>
      </c>
      <c r="AA22" s="233">
        <f t="shared" si="18"/>
        <v>0</v>
      </c>
      <c r="AB22" s="233">
        <f t="shared" si="18"/>
        <v>0</v>
      </c>
    </row>
    <row r="23" spans="1:28" ht="38.25" customHeight="1" x14ac:dyDescent="0.25">
      <c r="A23" s="221" t="s">
        <v>249</v>
      </c>
      <c r="B23" s="221"/>
      <c r="C23" s="221" t="s">
        <v>302</v>
      </c>
      <c r="D23" s="221"/>
      <c r="E23" s="221"/>
      <c r="F23" s="128" t="s">
        <v>205</v>
      </c>
      <c r="G23" s="128" t="s">
        <v>216</v>
      </c>
      <c r="H23" s="127" t="s">
        <v>244</v>
      </c>
      <c r="I23" s="221" t="s">
        <v>303</v>
      </c>
      <c r="J23" s="128" t="s">
        <v>216</v>
      </c>
      <c r="K23" s="232">
        <f t="shared" ref="K23:AB23" si="19">SUMIFS(K$82:K$269,$C$82:$C$269,"ВОСЕМЬ")</f>
        <v>0</v>
      </c>
      <c r="L23" s="221">
        <f t="shared" si="19"/>
        <v>0</v>
      </c>
      <c r="M23" s="221">
        <f t="shared" si="19"/>
        <v>0</v>
      </c>
      <c r="N23" s="221">
        <f t="shared" si="19"/>
        <v>0</v>
      </c>
      <c r="O23" s="221">
        <f t="shared" si="19"/>
        <v>0</v>
      </c>
      <c r="P23" s="221">
        <f t="shared" si="19"/>
        <v>0</v>
      </c>
      <c r="Q23" s="221">
        <f t="shared" si="19"/>
        <v>0</v>
      </c>
      <c r="R23" s="221">
        <f t="shared" si="19"/>
        <v>0</v>
      </c>
      <c r="S23" s="221">
        <f t="shared" si="19"/>
        <v>0</v>
      </c>
      <c r="T23" s="221">
        <f t="shared" si="19"/>
        <v>0</v>
      </c>
      <c r="U23" s="221">
        <f t="shared" si="19"/>
        <v>0</v>
      </c>
      <c r="V23" s="221">
        <f t="shared" si="19"/>
        <v>0</v>
      </c>
      <c r="W23" s="221">
        <f t="shared" si="19"/>
        <v>0</v>
      </c>
      <c r="X23" s="221">
        <f t="shared" si="19"/>
        <v>0</v>
      </c>
      <c r="Y23" s="221">
        <f t="shared" si="19"/>
        <v>0</v>
      </c>
      <c r="Z23" s="221">
        <f t="shared" si="19"/>
        <v>0</v>
      </c>
      <c r="AA23" s="221">
        <f t="shared" si="19"/>
        <v>0</v>
      </c>
      <c r="AB23" s="221">
        <f t="shared" si="19"/>
        <v>0</v>
      </c>
    </row>
    <row r="24" spans="1:28" s="237" customFormat="1" ht="38.25" customHeight="1" x14ac:dyDescent="0.25">
      <c r="A24" s="233" t="s">
        <v>249</v>
      </c>
      <c r="B24" s="233"/>
      <c r="C24" s="233" t="s">
        <v>302</v>
      </c>
      <c r="D24" s="233"/>
      <c r="E24" s="233"/>
      <c r="F24" s="234" t="s">
        <v>278</v>
      </c>
      <c r="G24" s="234"/>
      <c r="H24" s="235"/>
      <c r="I24" s="233" t="s">
        <v>304</v>
      </c>
      <c r="J24" s="234" t="s">
        <v>216</v>
      </c>
      <c r="K24" s="236">
        <f t="shared" ref="K24:AB24" si="20">SUMIFS(K$82:K$269,$C$82:$C$269,"ВОСЕМЬ",$F$82:$F$269,"СТОЙКИЕ")</f>
        <v>0</v>
      </c>
      <c r="L24" s="233">
        <f t="shared" si="20"/>
        <v>0</v>
      </c>
      <c r="M24" s="233">
        <f t="shared" si="20"/>
        <v>0</v>
      </c>
      <c r="N24" s="233">
        <f t="shared" si="20"/>
        <v>0</v>
      </c>
      <c r="O24" s="233">
        <f t="shared" si="20"/>
        <v>0</v>
      </c>
      <c r="P24" s="233">
        <f t="shared" si="20"/>
        <v>0</v>
      </c>
      <c r="Q24" s="233">
        <f t="shared" si="20"/>
        <v>0</v>
      </c>
      <c r="R24" s="233">
        <f t="shared" si="20"/>
        <v>0</v>
      </c>
      <c r="S24" s="233">
        <f t="shared" si="20"/>
        <v>0</v>
      </c>
      <c r="T24" s="233">
        <f t="shared" si="20"/>
        <v>0</v>
      </c>
      <c r="U24" s="233">
        <f t="shared" si="20"/>
        <v>0</v>
      </c>
      <c r="V24" s="233">
        <f t="shared" si="20"/>
        <v>0</v>
      </c>
      <c r="W24" s="233">
        <f t="shared" si="20"/>
        <v>0</v>
      </c>
      <c r="X24" s="233">
        <f t="shared" si="20"/>
        <v>0</v>
      </c>
      <c r="Y24" s="233">
        <f t="shared" si="20"/>
        <v>0</v>
      </c>
      <c r="Z24" s="233">
        <f t="shared" si="20"/>
        <v>0</v>
      </c>
      <c r="AA24" s="233">
        <f t="shared" si="20"/>
        <v>0</v>
      </c>
      <c r="AB24" s="233">
        <f t="shared" si="20"/>
        <v>0</v>
      </c>
    </row>
    <row r="25" spans="1:28" s="237" customFormat="1" ht="38.25" customHeight="1" x14ac:dyDescent="0.25">
      <c r="A25" s="233" t="s">
        <v>249</v>
      </c>
      <c r="B25" s="233"/>
      <c r="C25" s="233" t="s">
        <v>302</v>
      </c>
      <c r="D25" s="233"/>
      <c r="E25" s="233"/>
      <c r="F25" s="234" t="s">
        <v>295</v>
      </c>
      <c r="G25" s="234"/>
      <c r="H25" s="235"/>
      <c r="I25" s="233" t="s">
        <v>305</v>
      </c>
      <c r="J25" s="234" t="s">
        <v>216</v>
      </c>
      <c r="K25" s="236">
        <f t="shared" ref="K25:AB25" si="21">SUMIFS(K$82:K$269,$C$82:$C$269,"ВОСЕМЬ",$F$82:$F$269,"ЗЕРКАЛА")</f>
        <v>0</v>
      </c>
      <c r="L25" s="233">
        <f t="shared" si="21"/>
        <v>0</v>
      </c>
      <c r="M25" s="233">
        <f t="shared" si="21"/>
        <v>0</v>
      </c>
      <c r="N25" s="233">
        <f t="shared" si="21"/>
        <v>0</v>
      </c>
      <c r="O25" s="233">
        <f t="shared" si="21"/>
        <v>0</v>
      </c>
      <c r="P25" s="233">
        <f t="shared" si="21"/>
        <v>0</v>
      </c>
      <c r="Q25" s="233">
        <f t="shared" si="21"/>
        <v>0</v>
      </c>
      <c r="R25" s="233">
        <f t="shared" si="21"/>
        <v>0</v>
      </c>
      <c r="S25" s="233">
        <f t="shared" si="21"/>
        <v>0</v>
      </c>
      <c r="T25" s="233">
        <f t="shared" si="21"/>
        <v>0</v>
      </c>
      <c r="U25" s="233">
        <f t="shared" si="21"/>
        <v>0</v>
      </c>
      <c r="V25" s="233">
        <f t="shared" si="21"/>
        <v>0</v>
      </c>
      <c r="W25" s="233">
        <f t="shared" si="21"/>
        <v>0</v>
      </c>
      <c r="X25" s="233">
        <f t="shared" si="21"/>
        <v>0</v>
      </c>
      <c r="Y25" s="233">
        <f t="shared" si="21"/>
        <v>0</v>
      </c>
      <c r="Z25" s="233">
        <f t="shared" si="21"/>
        <v>0</v>
      </c>
      <c r="AA25" s="233">
        <f t="shared" si="21"/>
        <v>0</v>
      </c>
      <c r="AB25" s="233">
        <f t="shared" si="21"/>
        <v>0</v>
      </c>
    </row>
    <row r="26" spans="1:28" s="129" customFormat="1" ht="29.25" customHeight="1" x14ac:dyDescent="0.25">
      <c r="A26" s="128" t="s">
        <v>205</v>
      </c>
      <c r="B26" s="128" t="s">
        <v>205</v>
      </c>
      <c r="C26" s="128" t="s">
        <v>205</v>
      </c>
      <c r="D26" s="128" t="s">
        <v>205</v>
      </c>
      <c r="E26" s="128" t="s">
        <v>205</v>
      </c>
      <c r="F26" s="128" t="s">
        <v>205</v>
      </c>
      <c r="G26" s="128" t="s">
        <v>205</v>
      </c>
      <c r="H26" s="127" t="s">
        <v>205</v>
      </c>
      <c r="I26" s="130" t="s">
        <v>398</v>
      </c>
      <c r="J26" s="128" t="s">
        <v>205</v>
      </c>
      <c r="K26" s="128">
        <f>K8-SUM(K28,K29,K31,K32,K34,K35,K37,K38,K40,K41,K43,K44,K46,K47,K49,K50,K52,K53,K55,K56)+K8-SUM(K27,K30,K33,K36,K39,K42,K45,K48,K51,K54)</f>
        <v>0</v>
      </c>
      <c r="L26" s="128">
        <f>L8-SUM(L28,L29,L31,L32,L34,L35,L37,L38,L40,L41,L43,L44,L46,L47,L49,L50,L52,L53,L55,L56)+L8-SUM(L27,L30,L33,L36,L39,L42,L45,L48,L51,L54)</f>
        <v>0</v>
      </c>
      <c r="M26" s="128">
        <f>M8-SUM(M28,M29,M31,M32,M34,M35,M37,M38,M40,M41,M43,M44,M46,M47,M49,M50,M52,M53,M55,M56)+M8-SUM(M27,M30,M33,M36,M39,M42,M45,M48,M51,M54)</f>
        <v>0</v>
      </c>
      <c r="N26" s="128">
        <f t="shared" ref="N26:T26" si="22">N8-SUM(N28,N29,N31,N32,N34,N35,N37,N38,N40,N41,N43,N44,N46,N47,N49,N50,N52,N53,N55,N56)+N8-SUM(N27,N30,N33,N36,N39,N42,N45,N48,N51,N54)</f>
        <v>0</v>
      </c>
      <c r="O26" s="128">
        <f t="shared" si="22"/>
        <v>0</v>
      </c>
      <c r="P26" s="128">
        <f>P8-SUM(P28,P29,P31,P32,P34,P35,P37,P38,P40,P41,P43,P44,P46,P47,P49,P50,P52,P53,P55,P56)+P8-SUM(P27,P30,P33,P36,P39,P42,P45,P48,P51,P54)</f>
        <v>0</v>
      </c>
      <c r="Q26" s="128">
        <f>Q8-SUM(Q28,Q29,Q31,Q32,Q34,Q35,Q37,Q38,Q40,Q41,Q43,Q44,Q46,Q47,Q49,Q50,Q52,Q53,Q55,Q56)+Q8-SUM(Q27,Q30,Q33,Q36,Q39,Q42,Q45,Q48,Q51,Q54)</f>
        <v>0</v>
      </c>
      <c r="R26" s="128">
        <f>R8-SUM(R28,R29,R31,R32,R34,R35,R37,R38,R40,R41,R43,R44,R46,R47,R49,R50,R52,R53,R55,R56)+R8-SUM(R27,R30,R33,R36,R39,R42,R45,R48,R51,R54)</f>
        <v>0</v>
      </c>
      <c r="S26" s="128">
        <f>S8-SUM(S28,S29,S31,S32,S34,S35,S37,S38,S40,S41,S43,S44,S46,S47,S49,S50,S52,S53,S55,S56)+S8-SUM(S27,S30,S33,S36,S39,S42,S45,S48,S51,S54)</f>
        <v>0</v>
      </c>
      <c r="T26" s="128">
        <f t="shared" si="22"/>
        <v>0</v>
      </c>
      <c r="U26" s="128">
        <f t="shared" ref="U26:AB26" si="23">U8-SUM(U28,U29,U31,U32,U34,U35,U37,U38,U40,U41,U43,U44,U46,U47,U49,U50,U52,U53,U55,U56)+U8-SUM(U27,U30,U33,U36,U39,U42,U45,U48,U51,U54)</f>
        <v>0</v>
      </c>
      <c r="V26" s="128">
        <f t="shared" si="23"/>
        <v>0</v>
      </c>
      <c r="W26" s="128">
        <f t="shared" si="23"/>
        <v>0</v>
      </c>
      <c r="X26" s="128">
        <f t="shared" si="23"/>
        <v>0</v>
      </c>
      <c r="Y26" s="128">
        <f t="shared" si="23"/>
        <v>0</v>
      </c>
      <c r="Z26" s="128">
        <f t="shared" si="23"/>
        <v>0</v>
      </c>
      <c r="AA26" s="128">
        <f t="shared" si="23"/>
        <v>0</v>
      </c>
      <c r="AB26" s="128">
        <f t="shared" si="23"/>
        <v>0</v>
      </c>
    </row>
    <row r="27" spans="1:28" ht="38.25" customHeight="1" x14ac:dyDescent="0.25">
      <c r="A27" s="221" t="s">
        <v>400</v>
      </c>
      <c r="B27" s="221"/>
      <c r="C27" s="221"/>
      <c r="D27" s="221"/>
      <c r="E27" s="221"/>
      <c r="F27" s="128" t="s">
        <v>205</v>
      </c>
      <c r="G27" s="238" t="s">
        <v>307</v>
      </c>
      <c r="H27" s="127" t="s">
        <v>244</v>
      </c>
      <c r="I27" s="180" t="s">
        <v>307</v>
      </c>
      <c r="J27" s="128" t="s">
        <v>216</v>
      </c>
      <c r="K27" s="232">
        <f t="shared" ref="K27:AB27" si="24">SUMIFS(K$82:K$269,$G$82:$G$269,"ТУФЛИ")</f>
        <v>33</v>
      </c>
      <c r="L27" s="221">
        <f t="shared" si="24"/>
        <v>46000</v>
      </c>
      <c r="M27" s="221">
        <f t="shared" si="24"/>
        <v>0</v>
      </c>
      <c r="N27" s="221">
        <f t="shared" si="24"/>
        <v>0</v>
      </c>
      <c r="O27" s="221">
        <f t="shared" si="24"/>
        <v>0</v>
      </c>
      <c r="P27" s="221">
        <f t="shared" si="24"/>
        <v>0</v>
      </c>
      <c r="Q27" s="221">
        <f t="shared" si="24"/>
        <v>0</v>
      </c>
      <c r="R27" s="221">
        <f t="shared" si="24"/>
        <v>0</v>
      </c>
      <c r="S27" s="221">
        <f t="shared" si="24"/>
        <v>0</v>
      </c>
      <c r="T27" s="221">
        <f t="shared" si="24"/>
        <v>0</v>
      </c>
      <c r="U27" s="221">
        <f t="shared" si="24"/>
        <v>0</v>
      </c>
      <c r="V27" s="221">
        <f t="shared" si="24"/>
        <v>0</v>
      </c>
      <c r="W27" s="221">
        <f t="shared" si="24"/>
        <v>0</v>
      </c>
      <c r="X27" s="221">
        <f t="shared" si="24"/>
        <v>0</v>
      </c>
      <c r="Y27" s="221">
        <f t="shared" si="24"/>
        <v>0</v>
      </c>
      <c r="Z27" s="221">
        <f t="shared" si="24"/>
        <v>0</v>
      </c>
      <c r="AA27" s="221">
        <f t="shared" si="24"/>
        <v>0</v>
      </c>
      <c r="AB27" s="221">
        <f t="shared" si="24"/>
        <v>0</v>
      </c>
    </row>
    <row r="28" spans="1:28" s="237" customFormat="1" ht="46.5" customHeight="1" x14ac:dyDescent="0.25">
      <c r="A28" s="233" t="s">
        <v>400</v>
      </c>
      <c r="B28" s="233"/>
      <c r="C28" s="233"/>
      <c r="D28" s="233"/>
      <c r="E28" s="233"/>
      <c r="F28" s="234" t="s">
        <v>278</v>
      </c>
      <c r="G28" s="239" t="s">
        <v>307</v>
      </c>
      <c r="H28" s="235"/>
      <c r="I28" s="240" t="s">
        <v>308</v>
      </c>
      <c r="J28" s="234" t="s">
        <v>216</v>
      </c>
      <c r="K28" s="236">
        <f t="shared" ref="K28:AB28" si="25">SUMIFS(K$82:K$269,$G$82:$G$269,"ТУФЛИ",$F$82:$F$269,"СТОЙКИЕ")</f>
        <v>29</v>
      </c>
      <c r="L28" s="233">
        <f t="shared" si="25"/>
        <v>6000</v>
      </c>
      <c r="M28" s="233">
        <f t="shared" si="25"/>
        <v>0</v>
      </c>
      <c r="N28" s="233">
        <f t="shared" si="25"/>
        <v>0</v>
      </c>
      <c r="O28" s="233">
        <f t="shared" si="25"/>
        <v>0</v>
      </c>
      <c r="P28" s="233">
        <f t="shared" si="25"/>
        <v>0</v>
      </c>
      <c r="Q28" s="233">
        <f t="shared" si="25"/>
        <v>0</v>
      </c>
      <c r="R28" s="233">
        <f t="shared" si="25"/>
        <v>0</v>
      </c>
      <c r="S28" s="233">
        <f t="shared" si="25"/>
        <v>0</v>
      </c>
      <c r="T28" s="233">
        <f t="shared" si="25"/>
        <v>0</v>
      </c>
      <c r="U28" s="233">
        <f t="shared" si="25"/>
        <v>0</v>
      </c>
      <c r="V28" s="233">
        <f t="shared" si="25"/>
        <v>0</v>
      </c>
      <c r="W28" s="233">
        <f t="shared" si="25"/>
        <v>0</v>
      </c>
      <c r="X28" s="233">
        <f t="shared" si="25"/>
        <v>0</v>
      </c>
      <c r="Y28" s="233">
        <f t="shared" si="25"/>
        <v>0</v>
      </c>
      <c r="Z28" s="233">
        <f t="shared" si="25"/>
        <v>0</v>
      </c>
      <c r="AA28" s="233">
        <f t="shared" si="25"/>
        <v>0</v>
      </c>
      <c r="AB28" s="233">
        <f t="shared" si="25"/>
        <v>0</v>
      </c>
    </row>
    <row r="29" spans="1:28" s="237" customFormat="1" ht="46.5" customHeight="1" x14ac:dyDescent="0.25">
      <c r="A29" s="233" t="s">
        <v>400</v>
      </c>
      <c r="B29" s="233"/>
      <c r="C29" s="233"/>
      <c r="D29" s="233"/>
      <c r="E29" s="233"/>
      <c r="F29" s="234" t="s">
        <v>295</v>
      </c>
      <c r="G29" s="239" t="s">
        <v>307</v>
      </c>
      <c r="H29" s="235"/>
      <c r="I29" s="240" t="s">
        <v>309</v>
      </c>
      <c r="J29" s="234" t="s">
        <v>216</v>
      </c>
      <c r="K29" s="236">
        <f t="shared" ref="K29:AB29" si="26">SUMIFS(K$82:K$269,$G$82:$G$269,"ТУФЛИ",$F$82:$F$269,"ЗЕРКАЛА")</f>
        <v>4</v>
      </c>
      <c r="L29" s="233">
        <f t="shared" si="26"/>
        <v>40000</v>
      </c>
      <c r="M29" s="233">
        <f t="shared" si="26"/>
        <v>0</v>
      </c>
      <c r="N29" s="233">
        <f t="shared" si="26"/>
        <v>0</v>
      </c>
      <c r="O29" s="233">
        <f t="shared" si="26"/>
        <v>0</v>
      </c>
      <c r="P29" s="233">
        <f t="shared" si="26"/>
        <v>0</v>
      </c>
      <c r="Q29" s="233">
        <f t="shared" si="26"/>
        <v>0</v>
      </c>
      <c r="R29" s="233">
        <f t="shared" si="26"/>
        <v>0</v>
      </c>
      <c r="S29" s="233">
        <f t="shared" si="26"/>
        <v>0</v>
      </c>
      <c r="T29" s="233">
        <f t="shared" si="26"/>
        <v>0</v>
      </c>
      <c r="U29" s="233">
        <f t="shared" si="26"/>
        <v>0</v>
      </c>
      <c r="V29" s="233">
        <f t="shared" si="26"/>
        <v>0</v>
      </c>
      <c r="W29" s="233">
        <f t="shared" si="26"/>
        <v>0</v>
      </c>
      <c r="X29" s="233">
        <f t="shared" si="26"/>
        <v>0</v>
      </c>
      <c r="Y29" s="233">
        <f t="shared" si="26"/>
        <v>0</v>
      </c>
      <c r="Z29" s="233">
        <f t="shared" si="26"/>
        <v>0</v>
      </c>
      <c r="AA29" s="233">
        <f t="shared" si="26"/>
        <v>0</v>
      </c>
      <c r="AB29" s="233">
        <f t="shared" si="26"/>
        <v>0</v>
      </c>
    </row>
    <row r="30" spans="1:28" ht="38.25" customHeight="1" x14ac:dyDescent="0.25">
      <c r="A30" s="221" t="s">
        <v>400</v>
      </c>
      <c r="B30" s="221"/>
      <c r="C30" s="221"/>
      <c r="D30" s="221"/>
      <c r="E30" s="221"/>
      <c r="F30" s="128" t="s">
        <v>205</v>
      </c>
      <c r="G30" s="238" t="s">
        <v>311</v>
      </c>
      <c r="H30" s="127" t="s">
        <v>244</v>
      </c>
      <c r="I30" s="180" t="s">
        <v>311</v>
      </c>
      <c r="J30" s="128" t="s">
        <v>216</v>
      </c>
      <c r="K30" s="232">
        <f t="shared" ref="K30:AB30" si="27">SUMIFS(K$82:K$269,$G$82:$G$269,"РЕТРО ЗЕРКАЛО")</f>
        <v>0</v>
      </c>
      <c r="L30" s="221">
        <f t="shared" si="27"/>
        <v>0</v>
      </c>
      <c r="M30" s="221">
        <f t="shared" si="27"/>
        <v>0</v>
      </c>
      <c r="N30" s="221">
        <f t="shared" si="27"/>
        <v>0</v>
      </c>
      <c r="O30" s="221">
        <f t="shared" si="27"/>
        <v>0</v>
      </c>
      <c r="P30" s="221">
        <f t="shared" si="27"/>
        <v>0</v>
      </c>
      <c r="Q30" s="221">
        <f t="shared" si="27"/>
        <v>0</v>
      </c>
      <c r="R30" s="221">
        <f t="shared" si="27"/>
        <v>0</v>
      </c>
      <c r="S30" s="221">
        <f t="shared" si="27"/>
        <v>0</v>
      </c>
      <c r="T30" s="221">
        <f t="shared" si="27"/>
        <v>0</v>
      </c>
      <c r="U30" s="221">
        <f t="shared" si="27"/>
        <v>0</v>
      </c>
      <c r="V30" s="221">
        <f t="shared" si="27"/>
        <v>0</v>
      </c>
      <c r="W30" s="221">
        <f t="shared" si="27"/>
        <v>0</v>
      </c>
      <c r="X30" s="221">
        <f t="shared" si="27"/>
        <v>0</v>
      </c>
      <c r="Y30" s="221">
        <f t="shared" si="27"/>
        <v>0</v>
      </c>
      <c r="Z30" s="221">
        <f t="shared" si="27"/>
        <v>0</v>
      </c>
      <c r="AA30" s="221">
        <f t="shared" si="27"/>
        <v>0</v>
      </c>
      <c r="AB30" s="221">
        <f t="shared" si="27"/>
        <v>0</v>
      </c>
    </row>
    <row r="31" spans="1:28" s="237" customFormat="1" ht="46.5" customHeight="1" x14ac:dyDescent="0.25">
      <c r="A31" s="233" t="s">
        <v>400</v>
      </c>
      <c r="B31" s="233"/>
      <c r="C31" s="233"/>
      <c r="D31" s="233"/>
      <c r="E31" s="233"/>
      <c r="F31" s="234" t="s">
        <v>278</v>
      </c>
      <c r="G31" s="239" t="s">
        <v>311</v>
      </c>
      <c r="H31" s="235"/>
      <c r="I31" s="240" t="s">
        <v>312</v>
      </c>
      <c r="J31" s="234" t="s">
        <v>216</v>
      </c>
      <c r="K31" s="236">
        <f t="shared" ref="K31:AB31" si="28">SUMIFS(K$82:K$269,$G$82:$G$269,"РЕТРО ЗЕРКАЛО",$F$82:$F$269,"СТОЙКИЕ")</f>
        <v>0</v>
      </c>
      <c r="L31" s="233">
        <f t="shared" si="28"/>
        <v>0</v>
      </c>
      <c r="M31" s="233">
        <f t="shared" si="28"/>
        <v>0</v>
      </c>
      <c r="N31" s="233">
        <f t="shared" si="28"/>
        <v>0</v>
      </c>
      <c r="O31" s="233">
        <f t="shared" si="28"/>
        <v>0</v>
      </c>
      <c r="P31" s="233">
        <f t="shared" si="28"/>
        <v>0</v>
      </c>
      <c r="Q31" s="233">
        <f t="shared" si="28"/>
        <v>0</v>
      </c>
      <c r="R31" s="233">
        <f t="shared" si="28"/>
        <v>0</v>
      </c>
      <c r="S31" s="233">
        <f t="shared" si="28"/>
        <v>0</v>
      </c>
      <c r="T31" s="233">
        <f t="shared" si="28"/>
        <v>0</v>
      </c>
      <c r="U31" s="233">
        <f t="shared" si="28"/>
        <v>0</v>
      </c>
      <c r="V31" s="233">
        <f t="shared" si="28"/>
        <v>0</v>
      </c>
      <c r="W31" s="233">
        <f t="shared" si="28"/>
        <v>0</v>
      </c>
      <c r="X31" s="233">
        <f t="shared" si="28"/>
        <v>0</v>
      </c>
      <c r="Y31" s="233">
        <f t="shared" si="28"/>
        <v>0</v>
      </c>
      <c r="Z31" s="233">
        <f t="shared" si="28"/>
        <v>0</v>
      </c>
      <c r="AA31" s="233">
        <f t="shared" si="28"/>
        <v>0</v>
      </c>
      <c r="AB31" s="233">
        <f t="shared" si="28"/>
        <v>0</v>
      </c>
    </row>
    <row r="32" spans="1:28" s="237" customFormat="1" ht="46.5" customHeight="1" x14ac:dyDescent="0.25">
      <c r="A32" s="233" t="s">
        <v>400</v>
      </c>
      <c r="B32" s="233"/>
      <c r="C32" s="233"/>
      <c r="D32" s="233"/>
      <c r="E32" s="233"/>
      <c r="F32" s="234" t="s">
        <v>295</v>
      </c>
      <c r="G32" s="239" t="s">
        <v>311</v>
      </c>
      <c r="H32" s="235"/>
      <c r="I32" s="240" t="s">
        <v>313</v>
      </c>
      <c r="J32" s="234" t="s">
        <v>216</v>
      </c>
      <c r="K32" s="236">
        <f t="shared" ref="K32:AB32" si="29">SUMIFS(K$82:K$269,$G$82:$G$269,"РЕТРО ЗЕРКАЛО",$F$82:$F$269,"ЗЕРКАЛА")</f>
        <v>0</v>
      </c>
      <c r="L32" s="233">
        <f t="shared" si="29"/>
        <v>0</v>
      </c>
      <c r="M32" s="233">
        <f t="shared" si="29"/>
        <v>0</v>
      </c>
      <c r="N32" s="233">
        <f t="shared" si="29"/>
        <v>0</v>
      </c>
      <c r="O32" s="233">
        <f t="shared" si="29"/>
        <v>0</v>
      </c>
      <c r="P32" s="233">
        <f t="shared" si="29"/>
        <v>0</v>
      </c>
      <c r="Q32" s="233">
        <f t="shared" si="29"/>
        <v>0</v>
      </c>
      <c r="R32" s="233">
        <f t="shared" si="29"/>
        <v>0</v>
      </c>
      <c r="S32" s="233">
        <f t="shared" si="29"/>
        <v>0</v>
      </c>
      <c r="T32" s="233">
        <f t="shared" si="29"/>
        <v>0</v>
      </c>
      <c r="U32" s="233">
        <f t="shared" si="29"/>
        <v>0</v>
      </c>
      <c r="V32" s="233">
        <f t="shared" si="29"/>
        <v>0</v>
      </c>
      <c r="W32" s="233">
        <f t="shared" si="29"/>
        <v>0</v>
      </c>
      <c r="X32" s="233">
        <f t="shared" si="29"/>
        <v>0</v>
      </c>
      <c r="Y32" s="233">
        <f t="shared" si="29"/>
        <v>0</v>
      </c>
      <c r="Z32" s="233">
        <f t="shared" si="29"/>
        <v>0</v>
      </c>
      <c r="AA32" s="233">
        <f t="shared" si="29"/>
        <v>0</v>
      </c>
      <c r="AB32" s="233">
        <f t="shared" si="29"/>
        <v>0</v>
      </c>
    </row>
    <row r="33" spans="1:28" ht="38.25" customHeight="1" x14ac:dyDescent="0.25">
      <c r="A33" s="221" t="s">
        <v>400</v>
      </c>
      <c r="B33" s="221"/>
      <c r="C33" s="221"/>
      <c r="D33" s="221"/>
      <c r="E33" s="221"/>
      <c r="F33" s="128" t="s">
        <v>205</v>
      </c>
      <c r="G33" s="238" t="s">
        <v>314</v>
      </c>
      <c r="H33" s="127" t="s">
        <v>244</v>
      </c>
      <c r="I33" s="180" t="s">
        <v>314</v>
      </c>
      <c r="J33" s="128" t="s">
        <v>216</v>
      </c>
      <c r="K33" s="232">
        <f t="shared" ref="K33:AB33" si="30">SUMIFS(K$82:K$269,$G$82:$G$269,"РЕТРО ЦЕМЕНТОВОЗ")</f>
        <v>0</v>
      </c>
      <c r="L33" s="221">
        <f t="shared" si="30"/>
        <v>0</v>
      </c>
      <c r="M33" s="221">
        <f t="shared" si="30"/>
        <v>0</v>
      </c>
      <c r="N33" s="221">
        <f t="shared" si="30"/>
        <v>0</v>
      </c>
      <c r="O33" s="221">
        <f t="shared" si="30"/>
        <v>0</v>
      </c>
      <c r="P33" s="221">
        <f t="shared" si="30"/>
        <v>0</v>
      </c>
      <c r="Q33" s="221">
        <f t="shared" si="30"/>
        <v>0</v>
      </c>
      <c r="R33" s="221">
        <f t="shared" si="30"/>
        <v>0</v>
      </c>
      <c r="S33" s="221">
        <f t="shared" si="30"/>
        <v>0</v>
      </c>
      <c r="T33" s="221">
        <f t="shared" si="30"/>
        <v>0</v>
      </c>
      <c r="U33" s="221">
        <f t="shared" si="30"/>
        <v>0</v>
      </c>
      <c r="V33" s="221">
        <f t="shared" si="30"/>
        <v>0</v>
      </c>
      <c r="W33" s="221">
        <f t="shared" si="30"/>
        <v>0</v>
      </c>
      <c r="X33" s="221">
        <f t="shared" si="30"/>
        <v>0</v>
      </c>
      <c r="Y33" s="221">
        <f t="shared" si="30"/>
        <v>0</v>
      </c>
      <c r="Z33" s="221">
        <f t="shared" si="30"/>
        <v>0</v>
      </c>
      <c r="AA33" s="221">
        <f t="shared" si="30"/>
        <v>0</v>
      </c>
      <c r="AB33" s="221">
        <f t="shared" si="30"/>
        <v>0</v>
      </c>
    </row>
    <row r="34" spans="1:28" s="237" customFormat="1" ht="46.5" customHeight="1" x14ac:dyDescent="0.25">
      <c r="A34" s="233" t="s">
        <v>400</v>
      </c>
      <c r="B34" s="233"/>
      <c r="C34" s="233"/>
      <c r="D34" s="233"/>
      <c r="E34" s="233"/>
      <c r="F34" s="234" t="s">
        <v>278</v>
      </c>
      <c r="G34" s="239" t="s">
        <v>314</v>
      </c>
      <c r="H34" s="235"/>
      <c r="I34" s="240" t="s">
        <v>315</v>
      </c>
      <c r="J34" s="234" t="s">
        <v>216</v>
      </c>
      <c r="K34" s="236">
        <f t="shared" ref="K34:AB34" si="31">SUMIFS(K$82:K$269,$G$82:$G$269,"РЕТРО ЦЕМЕНТОВОЗ",$F$82:$F$269,"СТОЙКИЕ")</f>
        <v>0</v>
      </c>
      <c r="L34" s="233">
        <f t="shared" si="31"/>
        <v>0</v>
      </c>
      <c r="M34" s="233">
        <f t="shared" si="31"/>
        <v>0</v>
      </c>
      <c r="N34" s="233">
        <f t="shared" si="31"/>
        <v>0</v>
      </c>
      <c r="O34" s="233">
        <f t="shared" si="31"/>
        <v>0</v>
      </c>
      <c r="P34" s="233">
        <f t="shared" si="31"/>
        <v>0</v>
      </c>
      <c r="Q34" s="233">
        <f t="shared" si="31"/>
        <v>0</v>
      </c>
      <c r="R34" s="233">
        <f t="shared" si="31"/>
        <v>0</v>
      </c>
      <c r="S34" s="233">
        <f t="shared" si="31"/>
        <v>0</v>
      </c>
      <c r="T34" s="233">
        <f t="shared" si="31"/>
        <v>0</v>
      </c>
      <c r="U34" s="233">
        <f t="shared" si="31"/>
        <v>0</v>
      </c>
      <c r="V34" s="233">
        <f t="shared" si="31"/>
        <v>0</v>
      </c>
      <c r="W34" s="233">
        <f t="shared" si="31"/>
        <v>0</v>
      </c>
      <c r="X34" s="233">
        <f t="shared" si="31"/>
        <v>0</v>
      </c>
      <c r="Y34" s="233">
        <f t="shared" si="31"/>
        <v>0</v>
      </c>
      <c r="Z34" s="233">
        <f t="shared" si="31"/>
        <v>0</v>
      </c>
      <c r="AA34" s="233">
        <f t="shared" si="31"/>
        <v>0</v>
      </c>
      <c r="AB34" s="233">
        <f t="shared" si="31"/>
        <v>0</v>
      </c>
    </row>
    <row r="35" spans="1:28" s="237" customFormat="1" ht="46.5" customHeight="1" x14ac:dyDescent="0.25">
      <c r="A35" s="233" t="s">
        <v>400</v>
      </c>
      <c r="B35" s="233"/>
      <c r="C35" s="233"/>
      <c r="D35" s="233"/>
      <c r="E35" s="233"/>
      <c r="F35" s="234" t="s">
        <v>295</v>
      </c>
      <c r="G35" s="239" t="s">
        <v>314</v>
      </c>
      <c r="H35" s="235"/>
      <c r="I35" s="240" t="s">
        <v>316</v>
      </c>
      <c r="J35" s="234" t="s">
        <v>216</v>
      </c>
      <c r="K35" s="236">
        <f t="shared" ref="K35:AB35" si="32">SUMIFS(K$82:K$269,$G$82:$G$269,"РЕТРО ЦЕМЕНТОВОЗ",$F$82:$F$269,"ЗЕРКАЛА")</f>
        <v>0</v>
      </c>
      <c r="L35" s="233">
        <f t="shared" si="32"/>
        <v>0</v>
      </c>
      <c r="M35" s="233">
        <f t="shared" si="32"/>
        <v>0</v>
      </c>
      <c r="N35" s="233">
        <f t="shared" si="32"/>
        <v>0</v>
      </c>
      <c r="O35" s="233">
        <f t="shared" si="32"/>
        <v>0</v>
      </c>
      <c r="P35" s="233">
        <f t="shared" si="32"/>
        <v>0</v>
      </c>
      <c r="Q35" s="233">
        <f t="shared" si="32"/>
        <v>0</v>
      </c>
      <c r="R35" s="233">
        <f t="shared" si="32"/>
        <v>0</v>
      </c>
      <c r="S35" s="233">
        <f t="shared" si="32"/>
        <v>0</v>
      </c>
      <c r="T35" s="233">
        <f t="shared" si="32"/>
        <v>0</v>
      </c>
      <c r="U35" s="233">
        <f t="shared" si="32"/>
        <v>0</v>
      </c>
      <c r="V35" s="233">
        <f t="shared" si="32"/>
        <v>0</v>
      </c>
      <c r="W35" s="233">
        <f t="shared" si="32"/>
        <v>0</v>
      </c>
      <c r="X35" s="233">
        <f t="shared" si="32"/>
        <v>0</v>
      </c>
      <c r="Y35" s="233">
        <f t="shared" si="32"/>
        <v>0</v>
      </c>
      <c r="Z35" s="233">
        <f t="shared" si="32"/>
        <v>0</v>
      </c>
      <c r="AA35" s="233">
        <f t="shared" si="32"/>
        <v>0</v>
      </c>
      <c r="AB35" s="233">
        <f t="shared" si="32"/>
        <v>0</v>
      </c>
    </row>
    <row r="36" spans="1:28" ht="38.25" customHeight="1" x14ac:dyDescent="0.25">
      <c r="A36" s="221" t="s">
        <v>400</v>
      </c>
      <c r="B36" s="221"/>
      <c r="C36" s="221"/>
      <c r="D36" s="221"/>
      <c r="E36" s="221"/>
      <c r="F36" s="128" t="s">
        <v>205</v>
      </c>
      <c r="G36" s="238" t="s">
        <v>317</v>
      </c>
      <c r="H36" s="127" t="s">
        <v>244</v>
      </c>
      <c r="I36" s="180" t="s">
        <v>317</v>
      </c>
      <c r="J36" s="128" t="s">
        <v>216</v>
      </c>
      <c r="K36" s="232">
        <f t="shared" ref="K36:AB36" si="33">SUMIFS(K$82:K$269,$G$82:$G$269,"РЕТРО ВОСЕМЬ")</f>
        <v>20</v>
      </c>
      <c r="L36" s="221">
        <f t="shared" si="33"/>
        <v>2000</v>
      </c>
      <c r="M36" s="221">
        <f t="shared" si="33"/>
        <v>0</v>
      </c>
      <c r="N36" s="221">
        <f t="shared" si="33"/>
        <v>0</v>
      </c>
      <c r="O36" s="221">
        <f t="shared" si="33"/>
        <v>0</v>
      </c>
      <c r="P36" s="221">
        <f t="shared" si="33"/>
        <v>0</v>
      </c>
      <c r="Q36" s="221">
        <f t="shared" si="33"/>
        <v>0</v>
      </c>
      <c r="R36" s="221">
        <f t="shared" si="33"/>
        <v>0</v>
      </c>
      <c r="S36" s="221">
        <f t="shared" si="33"/>
        <v>0</v>
      </c>
      <c r="T36" s="221">
        <f t="shared" si="33"/>
        <v>0</v>
      </c>
      <c r="U36" s="221">
        <f t="shared" si="33"/>
        <v>0</v>
      </c>
      <c r="V36" s="221">
        <f t="shared" si="33"/>
        <v>0</v>
      </c>
      <c r="W36" s="221">
        <f t="shared" si="33"/>
        <v>0</v>
      </c>
      <c r="X36" s="221">
        <f t="shared" si="33"/>
        <v>0</v>
      </c>
      <c r="Y36" s="221">
        <f t="shared" si="33"/>
        <v>0</v>
      </c>
      <c r="Z36" s="221">
        <f t="shared" si="33"/>
        <v>0</v>
      </c>
      <c r="AA36" s="221">
        <f t="shared" si="33"/>
        <v>0</v>
      </c>
      <c r="AB36" s="221">
        <f t="shared" si="33"/>
        <v>0</v>
      </c>
    </row>
    <row r="37" spans="1:28" s="237" customFormat="1" ht="46.5" customHeight="1" x14ac:dyDescent="0.25">
      <c r="A37" s="233" t="s">
        <v>400</v>
      </c>
      <c r="B37" s="233"/>
      <c r="C37" s="233"/>
      <c r="D37" s="233"/>
      <c r="E37" s="233"/>
      <c r="F37" s="234" t="s">
        <v>278</v>
      </c>
      <c r="G37" s="239" t="s">
        <v>317</v>
      </c>
      <c r="H37" s="235"/>
      <c r="I37" s="240" t="s">
        <v>318</v>
      </c>
      <c r="J37" s="234" t="s">
        <v>216</v>
      </c>
      <c r="K37" s="236">
        <f t="shared" ref="K37:AB37" si="34">SUMIFS(K$82:K$269,$G$82:$G$269,"РЕТРО ВОСЕМЬ",$F$82:$F$269,"СТОЙКИЕ")</f>
        <v>20</v>
      </c>
      <c r="L37" s="233">
        <f t="shared" si="34"/>
        <v>2000</v>
      </c>
      <c r="M37" s="233">
        <f t="shared" si="34"/>
        <v>0</v>
      </c>
      <c r="N37" s="233">
        <f t="shared" si="34"/>
        <v>0</v>
      </c>
      <c r="O37" s="233">
        <f t="shared" si="34"/>
        <v>0</v>
      </c>
      <c r="P37" s="233">
        <f t="shared" si="34"/>
        <v>0</v>
      </c>
      <c r="Q37" s="233">
        <f t="shared" si="34"/>
        <v>0</v>
      </c>
      <c r="R37" s="233">
        <f t="shared" si="34"/>
        <v>0</v>
      </c>
      <c r="S37" s="233">
        <f t="shared" si="34"/>
        <v>0</v>
      </c>
      <c r="T37" s="233">
        <f t="shared" si="34"/>
        <v>0</v>
      </c>
      <c r="U37" s="233">
        <f t="shared" si="34"/>
        <v>0</v>
      </c>
      <c r="V37" s="233">
        <f t="shared" si="34"/>
        <v>0</v>
      </c>
      <c r="W37" s="233">
        <f t="shared" si="34"/>
        <v>0</v>
      </c>
      <c r="X37" s="233">
        <f t="shared" si="34"/>
        <v>0</v>
      </c>
      <c r="Y37" s="233">
        <f t="shared" si="34"/>
        <v>0</v>
      </c>
      <c r="Z37" s="233">
        <f t="shared" si="34"/>
        <v>0</v>
      </c>
      <c r="AA37" s="233">
        <f t="shared" si="34"/>
        <v>0</v>
      </c>
      <c r="AB37" s="233">
        <f t="shared" si="34"/>
        <v>0</v>
      </c>
    </row>
    <row r="38" spans="1:28" s="237" customFormat="1" ht="46.5" customHeight="1" x14ac:dyDescent="0.25">
      <c r="A38" s="233" t="s">
        <v>400</v>
      </c>
      <c r="B38" s="233"/>
      <c r="C38" s="233"/>
      <c r="D38" s="233"/>
      <c r="E38" s="233"/>
      <c r="F38" s="234" t="s">
        <v>295</v>
      </c>
      <c r="G38" s="239" t="s">
        <v>317</v>
      </c>
      <c r="H38" s="235"/>
      <c r="I38" s="240" t="s">
        <v>319</v>
      </c>
      <c r="J38" s="234" t="s">
        <v>216</v>
      </c>
      <c r="K38" s="236">
        <f t="shared" ref="K38:AB38" si="35">SUMIFS(K$82:K$269,$G$82:$G$269,"РЕТРО ВОСЕМЬ",$F$82:$F$269,"ЗЕРКАЛА")</f>
        <v>0</v>
      </c>
      <c r="L38" s="233">
        <f t="shared" si="35"/>
        <v>0</v>
      </c>
      <c r="M38" s="233">
        <f t="shared" si="35"/>
        <v>0</v>
      </c>
      <c r="N38" s="233">
        <f t="shared" si="35"/>
        <v>0</v>
      </c>
      <c r="O38" s="233">
        <f t="shared" si="35"/>
        <v>0</v>
      </c>
      <c r="P38" s="233">
        <f t="shared" si="35"/>
        <v>0</v>
      </c>
      <c r="Q38" s="233">
        <f t="shared" si="35"/>
        <v>0</v>
      </c>
      <c r="R38" s="233">
        <f t="shared" si="35"/>
        <v>0</v>
      </c>
      <c r="S38" s="233">
        <f t="shared" si="35"/>
        <v>0</v>
      </c>
      <c r="T38" s="233">
        <f t="shared" si="35"/>
        <v>0</v>
      </c>
      <c r="U38" s="233">
        <f t="shared" si="35"/>
        <v>0</v>
      </c>
      <c r="V38" s="233">
        <f t="shared" si="35"/>
        <v>0</v>
      </c>
      <c r="W38" s="233">
        <f t="shared" si="35"/>
        <v>0</v>
      </c>
      <c r="X38" s="233">
        <f t="shared" si="35"/>
        <v>0</v>
      </c>
      <c r="Y38" s="233">
        <f t="shared" si="35"/>
        <v>0</v>
      </c>
      <c r="Z38" s="233">
        <f t="shared" si="35"/>
        <v>0</v>
      </c>
      <c r="AA38" s="233">
        <f t="shared" si="35"/>
        <v>0</v>
      </c>
      <c r="AB38" s="233">
        <f t="shared" si="35"/>
        <v>0</v>
      </c>
    </row>
    <row r="39" spans="1:28" ht="38.25" customHeight="1" x14ac:dyDescent="0.25">
      <c r="A39" s="221" t="s">
        <v>400</v>
      </c>
      <c r="B39" s="221"/>
      <c r="C39" s="221"/>
      <c r="D39" s="221"/>
      <c r="E39" s="221"/>
      <c r="F39" s="128" t="s">
        <v>205</v>
      </c>
      <c r="G39" s="238" t="s">
        <v>320</v>
      </c>
      <c r="H39" s="127" t="s">
        <v>244</v>
      </c>
      <c r="I39" s="180" t="s">
        <v>320</v>
      </c>
      <c r="J39" s="128" t="s">
        <v>216</v>
      </c>
      <c r="K39" s="232">
        <f t="shared" ref="K39:AB39" si="36">SUMIFS(K$82:K$269,$G$82:$G$269,"РЕТРО ЮРМАЛА")</f>
        <v>0</v>
      </c>
      <c r="L39" s="221">
        <f t="shared" si="36"/>
        <v>10000</v>
      </c>
      <c r="M39" s="221">
        <f t="shared" si="36"/>
        <v>200</v>
      </c>
      <c r="N39" s="221">
        <f t="shared" si="36"/>
        <v>100</v>
      </c>
      <c r="O39" s="221">
        <f t="shared" si="36"/>
        <v>0</v>
      </c>
      <c r="P39" s="221">
        <f t="shared" si="36"/>
        <v>0</v>
      </c>
      <c r="Q39" s="221">
        <f t="shared" si="36"/>
        <v>0</v>
      </c>
      <c r="R39" s="221">
        <f t="shared" si="36"/>
        <v>0</v>
      </c>
      <c r="S39" s="221">
        <f t="shared" si="36"/>
        <v>0</v>
      </c>
      <c r="T39" s="221">
        <f t="shared" si="36"/>
        <v>0</v>
      </c>
      <c r="U39" s="221">
        <f t="shared" si="36"/>
        <v>0</v>
      </c>
      <c r="V39" s="221">
        <f t="shared" si="36"/>
        <v>0</v>
      </c>
      <c r="W39" s="221">
        <f t="shared" si="36"/>
        <v>0</v>
      </c>
      <c r="X39" s="221">
        <f t="shared" si="36"/>
        <v>0</v>
      </c>
      <c r="Y39" s="221">
        <f t="shared" si="36"/>
        <v>300</v>
      </c>
      <c r="Z39" s="221">
        <f t="shared" si="36"/>
        <v>0</v>
      </c>
      <c r="AA39" s="221">
        <f t="shared" si="36"/>
        <v>0</v>
      </c>
      <c r="AB39" s="221">
        <f t="shared" si="36"/>
        <v>300</v>
      </c>
    </row>
    <row r="40" spans="1:28" s="237" customFormat="1" ht="46.5" customHeight="1" x14ac:dyDescent="0.25">
      <c r="A40" s="233" t="s">
        <v>400</v>
      </c>
      <c r="B40" s="233"/>
      <c r="C40" s="233"/>
      <c r="D40" s="233"/>
      <c r="E40" s="233"/>
      <c r="F40" s="234" t="s">
        <v>278</v>
      </c>
      <c r="G40" s="239" t="s">
        <v>320</v>
      </c>
      <c r="H40" s="235"/>
      <c r="I40" s="240" t="s">
        <v>321</v>
      </c>
      <c r="J40" s="234" t="s">
        <v>216</v>
      </c>
      <c r="K40" s="236">
        <f t="shared" ref="K40:AB40" si="37">SUMIFS(K$82:K$269,$G$82:$G$269,"РЕТРО ЮРМАЛА",$F$82:$F$269,"СТОЙКИЕ")</f>
        <v>0</v>
      </c>
      <c r="L40" s="233">
        <f t="shared" si="37"/>
        <v>0</v>
      </c>
      <c r="M40" s="233">
        <f t="shared" si="37"/>
        <v>0</v>
      </c>
      <c r="N40" s="233">
        <f t="shared" si="37"/>
        <v>0</v>
      </c>
      <c r="O40" s="233">
        <f t="shared" si="37"/>
        <v>0</v>
      </c>
      <c r="P40" s="233">
        <f t="shared" si="37"/>
        <v>0</v>
      </c>
      <c r="Q40" s="233">
        <f t="shared" si="37"/>
        <v>0</v>
      </c>
      <c r="R40" s="233">
        <f t="shared" si="37"/>
        <v>0</v>
      </c>
      <c r="S40" s="233">
        <f t="shared" si="37"/>
        <v>0</v>
      </c>
      <c r="T40" s="233">
        <f t="shared" si="37"/>
        <v>0</v>
      </c>
      <c r="U40" s="233">
        <f t="shared" si="37"/>
        <v>0</v>
      </c>
      <c r="V40" s="233">
        <f t="shared" si="37"/>
        <v>0</v>
      </c>
      <c r="W40" s="233">
        <f t="shared" si="37"/>
        <v>0</v>
      </c>
      <c r="X40" s="233">
        <f t="shared" si="37"/>
        <v>0</v>
      </c>
      <c r="Y40" s="233">
        <f t="shared" si="37"/>
        <v>0</v>
      </c>
      <c r="Z40" s="233">
        <f t="shared" si="37"/>
        <v>0</v>
      </c>
      <c r="AA40" s="233">
        <f t="shared" si="37"/>
        <v>0</v>
      </c>
      <c r="AB40" s="233">
        <f t="shared" si="37"/>
        <v>0</v>
      </c>
    </row>
    <row r="41" spans="1:28" s="237" customFormat="1" ht="46.5" customHeight="1" x14ac:dyDescent="0.25">
      <c r="A41" s="233" t="s">
        <v>400</v>
      </c>
      <c r="B41" s="233"/>
      <c r="C41" s="233"/>
      <c r="D41" s="233"/>
      <c r="E41" s="233"/>
      <c r="F41" s="234" t="s">
        <v>295</v>
      </c>
      <c r="G41" s="239" t="s">
        <v>320</v>
      </c>
      <c r="H41" s="235"/>
      <c r="I41" s="240" t="s">
        <v>322</v>
      </c>
      <c r="J41" s="234" t="s">
        <v>216</v>
      </c>
      <c r="K41" s="236">
        <f t="shared" ref="K41:AB41" si="38">SUMIFS(K$82:K$269,$G$82:$G$269,"РЕТРО ЮРМАЛА",$F$82:$F$269,"ЗЕРКАЛА")</f>
        <v>0</v>
      </c>
      <c r="L41" s="233">
        <f t="shared" si="38"/>
        <v>10000</v>
      </c>
      <c r="M41" s="233">
        <f t="shared" si="38"/>
        <v>200</v>
      </c>
      <c r="N41" s="233">
        <f t="shared" si="38"/>
        <v>100</v>
      </c>
      <c r="O41" s="233">
        <f t="shared" si="38"/>
        <v>0</v>
      </c>
      <c r="P41" s="233">
        <f t="shared" si="38"/>
        <v>0</v>
      </c>
      <c r="Q41" s="233">
        <f t="shared" si="38"/>
        <v>0</v>
      </c>
      <c r="R41" s="233">
        <f t="shared" si="38"/>
        <v>0</v>
      </c>
      <c r="S41" s="233">
        <f t="shared" si="38"/>
        <v>0</v>
      </c>
      <c r="T41" s="233">
        <f t="shared" si="38"/>
        <v>0</v>
      </c>
      <c r="U41" s="233">
        <f t="shared" si="38"/>
        <v>0</v>
      </c>
      <c r="V41" s="233">
        <f t="shared" si="38"/>
        <v>0</v>
      </c>
      <c r="W41" s="233">
        <f t="shared" si="38"/>
        <v>0</v>
      </c>
      <c r="X41" s="233">
        <f t="shared" si="38"/>
        <v>0</v>
      </c>
      <c r="Y41" s="233">
        <f t="shared" si="38"/>
        <v>300</v>
      </c>
      <c r="Z41" s="233">
        <f t="shared" si="38"/>
        <v>0</v>
      </c>
      <c r="AA41" s="233">
        <f t="shared" si="38"/>
        <v>0</v>
      </c>
      <c r="AB41" s="233">
        <f t="shared" si="38"/>
        <v>300</v>
      </c>
    </row>
    <row r="42" spans="1:28" ht="38.25" customHeight="1" x14ac:dyDescent="0.25">
      <c r="A42" s="221" t="s">
        <v>400</v>
      </c>
      <c r="B42" s="221"/>
      <c r="C42" s="221"/>
      <c r="D42" s="221"/>
      <c r="E42" s="221"/>
      <c r="F42" s="128" t="s">
        <v>205</v>
      </c>
      <c r="G42" s="238" t="s">
        <v>327</v>
      </c>
      <c r="H42" s="127" t="s">
        <v>244</v>
      </c>
      <c r="I42" s="180" t="s">
        <v>328</v>
      </c>
      <c r="J42" s="128" t="s">
        <v>216</v>
      </c>
      <c r="K42" s="232">
        <f t="shared" ref="K42:AB42" si="39">SUMIFS(K$82:K$269,$G$82:$G$269,"ОБРАЗ КВ РЕТРО ЗЕРКАЛО")</f>
        <v>9</v>
      </c>
      <c r="L42" s="221">
        <f t="shared" si="39"/>
        <v>36000</v>
      </c>
      <c r="M42" s="221">
        <f t="shared" si="39"/>
        <v>500</v>
      </c>
      <c r="N42" s="221">
        <f t="shared" si="39"/>
        <v>700</v>
      </c>
      <c r="O42" s="221">
        <f t="shared" si="39"/>
        <v>0</v>
      </c>
      <c r="P42" s="221">
        <f t="shared" si="39"/>
        <v>0</v>
      </c>
      <c r="Q42" s="221">
        <f t="shared" si="39"/>
        <v>0</v>
      </c>
      <c r="R42" s="221">
        <f t="shared" si="39"/>
        <v>0</v>
      </c>
      <c r="S42" s="221">
        <f t="shared" si="39"/>
        <v>0</v>
      </c>
      <c r="T42" s="221">
        <f t="shared" si="39"/>
        <v>0</v>
      </c>
      <c r="U42" s="221">
        <f t="shared" si="39"/>
        <v>0</v>
      </c>
      <c r="V42" s="221">
        <f t="shared" si="39"/>
        <v>0</v>
      </c>
      <c r="W42" s="221">
        <f t="shared" si="39"/>
        <v>0</v>
      </c>
      <c r="X42" s="221">
        <f t="shared" si="39"/>
        <v>0</v>
      </c>
      <c r="Y42" s="221">
        <f t="shared" si="39"/>
        <v>1200</v>
      </c>
      <c r="Z42" s="221">
        <f t="shared" si="39"/>
        <v>900</v>
      </c>
      <c r="AA42" s="221">
        <f t="shared" si="39"/>
        <v>100</v>
      </c>
      <c r="AB42" s="221">
        <f t="shared" si="39"/>
        <v>2200</v>
      </c>
    </row>
    <row r="43" spans="1:28" s="237" customFormat="1" ht="46.5" customHeight="1" x14ac:dyDescent="0.25">
      <c r="A43" s="233" t="s">
        <v>400</v>
      </c>
      <c r="B43" s="233"/>
      <c r="C43" s="233"/>
      <c r="D43" s="233"/>
      <c r="E43" s="233"/>
      <c r="F43" s="234" t="s">
        <v>278</v>
      </c>
      <c r="G43" s="239" t="s">
        <v>327</v>
      </c>
      <c r="H43" s="235"/>
      <c r="I43" s="240" t="s">
        <v>329</v>
      </c>
      <c r="J43" s="234" t="s">
        <v>216</v>
      </c>
      <c r="K43" s="236">
        <f t="shared" ref="K43:AB43" si="40">SUMIFS(K$82:K$269,$G$82:$G$269,"ОБРАЗ КВ РЕТРО ЗЕРКАЛО",$F$82:$F$269,"СТОЙКИЕ")</f>
        <v>9</v>
      </c>
      <c r="L43" s="233">
        <f t="shared" si="40"/>
        <v>36000</v>
      </c>
      <c r="M43" s="233">
        <f t="shared" si="40"/>
        <v>500</v>
      </c>
      <c r="N43" s="233">
        <f t="shared" si="40"/>
        <v>700</v>
      </c>
      <c r="O43" s="233">
        <f t="shared" si="40"/>
        <v>0</v>
      </c>
      <c r="P43" s="233">
        <f t="shared" si="40"/>
        <v>0</v>
      </c>
      <c r="Q43" s="233">
        <f t="shared" si="40"/>
        <v>0</v>
      </c>
      <c r="R43" s="233">
        <f t="shared" si="40"/>
        <v>0</v>
      </c>
      <c r="S43" s="233">
        <f t="shared" si="40"/>
        <v>0</v>
      </c>
      <c r="T43" s="233">
        <f t="shared" si="40"/>
        <v>0</v>
      </c>
      <c r="U43" s="233">
        <f t="shared" si="40"/>
        <v>0</v>
      </c>
      <c r="V43" s="233">
        <f t="shared" si="40"/>
        <v>0</v>
      </c>
      <c r="W43" s="233">
        <f t="shared" si="40"/>
        <v>0</v>
      </c>
      <c r="X43" s="233">
        <f t="shared" si="40"/>
        <v>0</v>
      </c>
      <c r="Y43" s="233">
        <f t="shared" si="40"/>
        <v>1200</v>
      </c>
      <c r="Z43" s="233">
        <f t="shared" si="40"/>
        <v>900</v>
      </c>
      <c r="AA43" s="233">
        <f t="shared" si="40"/>
        <v>100</v>
      </c>
      <c r="AB43" s="233">
        <f t="shared" si="40"/>
        <v>2200</v>
      </c>
    </row>
    <row r="44" spans="1:28" s="237" customFormat="1" ht="46.5" customHeight="1" x14ac:dyDescent="0.25">
      <c r="A44" s="233" t="s">
        <v>400</v>
      </c>
      <c r="B44" s="233"/>
      <c r="C44" s="233"/>
      <c r="D44" s="233"/>
      <c r="E44" s="233"/>
      <c r="F44" s="234" t="s">
        <v>295</v>
      </c>
      <c r="G44" s="239" t="s">
        <v>327</v>
      </c>
      <c r="H44" s="235"/>
      <c r="I44" s="240" t="s">
        <v>330</v>
      </c>
      <c r="J44" s="234" t="s">
        <v>216</v>
      </c>
      <c r="K44" s="236">
        <f t="shared" ref="K44:AB44" si="41">SUMIFS(K$82:K$269,$G$82:$G$269,"ОБРАЗ КВ РЕТРО ЗЕРКАЛО",$F$82:$F$269,"ЗЕРКАЛА")</f>
        <v>0</v>
      </c>
      <c r="L44" s="233">
        <f t="shared" si="41"/>
        <v>0</v>
      </c>
      <c r="M44" s="233">
        <f t="shared" si="41"/>
        <v>0</v>
      </c>
      <c r="N44" s="233">
        <f t="shared" si="41"/>
        <v>0</v>
      </c>
      <c r="O44" s="233">
        <f t="shared" si="41"/>
        <v>0</v>
      </c>
      <c r="P44" s="233">
        <f t="shared" si="41"/>
        <v>0</v>
      </c>
      <c r="Q44" s="233">
        <f t="shared" si="41"/>
        <v>0</v>
      </c>
      <c r="R44" s="233">
        <f t="shared" si="41"/>
        <v>0</v>
      </c>
      <c r="S44" s="233">
        <f t="shared" si="41"/>
        <v>0</v>
      </c>
      <c r="T44" s="233">
        <f t="shared" si="41"/>
        <v>0</v>
      </c>
      <c r="U44" s="233">
        <f t="shared" si="41"/>
        <v>0</v>
      </c>
      <c r="V44" s="233">
        <f t="shared" si="41"/>
        <v>0</v>
      </c>
      <c r="W44" s="233">
        <f t="shared" si="41"/>
        <v>0</v>
      </c>
      <c r="X44" s="233">
        <f t="shared" si="41"/>
        <v>0</v>
      </c>
      <c r="Y44" s="233">
        <f t="shared" si="41"/>
        <v>0</v>
      </c>
      <c r="Z44" s="233">
        <f t="shared" si="41"/>
        <v>0</v>
      </c>
      <c r="AA44" s="233">
        <f t="shared" si="41"/>
        <v>0</v>
      </c>
      <c r="AB44" s="233">
        <f t="shared" si="41"/>
        <v>0</v>
      </c>
    </row>
    <row r="45" spans="1:28" ht="38.25" customHeight="1" x14ac:dyDescent="0.25">
      <c r="A45" s="221" t="s">
        <v>400</v>
      </c>
      <c r="B45" s="221"/>
      <c r="C45" s="221"/>
      <c r="D45" s="221"/>
      <c r="E45" s="221"/>
      <c r="F45" s="128" t="s">
        <v>205</v>
      </c>
      <c r="G45" s="238" t="s">
        <v>331</v>
      </c>
      <c r="H45" s="127" t="s">
        <v>244</v>
      </c>
      <c r="I45" s="180" t="s">
        <v>332</v>
      </c>
      <c r="J45" s="128" t="s">
        <v>216</v>
      </c>
      <c r="K45" s="232">
        <f t="shared" ref="K45:AB45" si="42">SUMIFS(K$82:K$269,$G$82:$G$269,"ОБРАЗ г.Новороссийск РЕТРО ЮРМАЛА")</f>
        <v>2</v>
      </c>
      <c r="L45" s="221">
        <f t="shared" si="42"/>
        <v>20000</v>
      </c>
      <c r="M45" s="221">
        <f t="shared" si="42"/>
        <v>0</v>
      </c>
      <c r="N45" s="221">
        <f t="shared" si="42"/>
        <v>300</v>
      </c>
      <c r="O45" s="221">
        <f t="shared" si="42"/>
        <v>0</v>
      </c>
      <c r="P45" s="221">
        <f t="shared" si="42"/>
        <v>0</v>
      </c>
      <c r="Q45" s="221">
        <f t="shared" si="42"/>
        <v>0</v>
      </c>
      <c r="R45" s="221">
        <f t="shared" si="42"/>
        <v>0</v>
      </c>
      <c r="S45" s="221">
        <f t="shared" si="42"/>
        <v>0</v>
      </c>
      <c r="T45" s="221">
        <f t="shared" si="42"/>
        <v>0</v>
      </c>
      <c r="U45" s="221">
        <f t="shared" si="42"/>
        <v>0</v>
      </c>
      <c r="V45" s="221">
        <f t="shared" si="42"/>
        <v>0</v>
      </c>
      <c r="W45" s="221">
        <f t="shared" si="42"/>
        <v>0</v>
      </c>
      <c r="X45" s="221">
        <f t="shared" si="42"/>
        <v>0</v>
      </c>
      <c r="Y45" s="221">
        <f t="shared" si="42"/>
        <v>300</v>
      </c>
      <c r="Z45" s="221">
        <f t="shared" si="42"/>
        <v>0</v>
      </c>
      <c r="AA45" s="221">
        <f t="shared" si="42"/>
        <v>250</v>
      </c>
      <c r="AB45" s="221">
        <f t="shared" si="42"/>
        <v>550</v>
      </c>
    </row>
    <row r="46" spans="1:28" s="237" customFormat="1" ht="46.5" customHeight="1" x14ac:dyDescent="0.25">
      <c r="A46" s="233" t="s">
        <v>400</v>
      </c>
      <c r="B46" s="233"/>
      <c r="C46" s="233"/>
      <c r="D46" s="233"/>
      <c r="E46" s="233"/>
      <c r="F46" s="234" t="s">
        <v>278</v>
      </c>
      <c r="G46" s="239" t="s">
        <v>331</v>
      </c>
      <c r="H46" s="235"/>
      <c r="I46" s="240" t="s">
        <v>333</v>
      </c>
      <c r="J46" s="234" t="s">
        <v>216</v>
      </c>
      <c r="K46" s="236">
        <f t="shared" ref="K46:AB46" si="43">SUMIFS(K$82:K$269,$G$82:$G$269,"ОБРАЗ г.Новороссийск РЕТРО ЮРМАЛА",$F$82:$F$269,"СТОЙКИЕ")</f>
        <v>2</v>
      </c>
      <c r="L46" s="233">
        <f t="shared" si="43"/>
        <v>20000</v>
      </c>
      <c r="M46" s="233">
        <f t="shared" si="43"/>
        <v>0</v>
      </c>
      <c r="N46" s="233">
        <f t="shared" si="43"/>
        <v>300</v>
      </c>
      <c r="O46" s="233">
        <f t="shared" si="43"/>
        <v>0</v>
      </c>
      <c r="P46" s="233">
        <f t="shared" si="43"/>
        <v>0</v>
      </c>
      <c r="Q46" s="233">
        <f t="shared" si="43"/>
        <v>0</v>
      </c>
      <c r="R46" s="233">
        <f t="shared" si="43"/>
        <v>0</v>
      </c>
      <c r="S46" s="233">
        <f t="shared" si="43"/>
        <v>0</v>
      </c>
      <c r="T46" s="233">
        <f t="shared" si="43"/>
        <v>0</v>
      </c>
      <c r="U46" s="233">
        <f t="shared" si="43"/>
        <v>0</v>
      </c>
      <c r="V46" s="233">
        <f t="shared" si="43"/>
        <v>0</v>
      </c>
      <c r="W46" s="233">
        <f t="shared" si="43"/>
        <v>0</v>
      </c>
      <c r="X46" s="233">
        <f t="shared" si="43"/>
        <v>0</v>
      </c>
      <c r="Y46" s="233">
        <f t="shared" si="43"/>
        <v>300</v>
      </c>
      <c r="Z46" s="233">
        <f t="shared" si="43"/>
        <v>0</v>
      </c>
      <c r="AA46" s="233">
        <f t="shared" si="43"/>
        <v>250</v>
      </c>
      <c r="AB46" s="233">
        <f t="shared" si="43"/>
        <v>550</v>
      </c>
    </row>
    <row r="47" spans="1:28" s="237" customFormat="1" ht="46.5" customHeight="1" x14ac:dyDescent="0.25">
      <c r="A47" s="233" t="s">
        <v>400</v>
      </c>
      <c r="B47" s="233"/>
      <c r="C47" s="233"/>
      <c r="D47" s="233"/>
      <c r="E47" s="233"/>
      <c r="F47" s="234" t="s">
        <v>295</v>
      </c>
      <c r="G47" s="239" t="s">
        <v>331</v>
      </c>
      <c r="H47" s="235"/>
      <c r="I47" s="240" t="s">
        <v>334</v>
      </c>
      <c r="J47" s="234" t="s">
        <v>216</v>
      </c>
      <c r="K47" s="236">
        <f t="shared" ref="K47:AB47" si="44">SUMIFS(K$82:K$269,$G$82:$G$269,"ОБРАЗ г.Новороссийск РЕТРО ЮРМАЛА",$F$82:$F$269,"ЗЕРКАЛА")</f>
        <v>0</v>
      </c>
      <c r="L47" s="233">
        <f t="shared" si="44"/>
        <v>0</v>
      </c>
      <c r="M47" s="233">
        <f t="shared" si="44"/>
        <v>0</v>
      </c>
      <c r="N47" s="233">
        <f t="shared" si="44"/>
        <v>0</v>
      </c>
      <c r="O47" s="233">
        <f t="shared" si="44"/>
        <v>0</v>
      </c>
      <c r="P47" s="233">
        <f t="shared" si="44"/>
        <v>0</v>
      </c>
      <c r="Q47" s="233">
        <f t="shared" si="44"/>
        <v>0</v>
      </c>
      <c r="R47" s="233">
        <f t="shared" si="44"/>
        <v>0</v>
      </c>
      <c r="S47" s="233">
        <f t="shared" si="44"/>
        <v>0</v>
      </c>
      <c r="T47" s="233">
        <f t="shared" si="44"/>
        <v>0</v>
      </c>
      <c r="U47" s="233">
        <f t="shared" si="44"/>
        <v>0</v>
      </c>
      <c r="V47" s="233">
        <f t="shared" si="44"/>
        <v>0</v>
      </c>
      <c r="W47" s="233">
        <f t="shared" si="44"/>
        <v>0</v>
      </c>
      <c r="X47" s="233">
        <f t="shared" si="44"/>
        <v>0</v>
      </c>
      <c r="Y47" s="233">
        <f t="shared" si="44"/>
        <v>0</v>
      </c>
      <c r="Z47" s="233">
        <f t="shared" si="44"/>
        <v>0</v>
      </c>
      <c r="AA47" s="233">
        <f t="shared" si="44"/>
        <v>0</v>
      </c>
      <c r="AB47" s="233">
        <f t="shared" si="44"/>
        <v>0</v>
      </c>
    </row>
    <row r="48" spans="1:28" ht="38.25" customHeight="1" x14ac:dyDescent="0.25">
      <c r="A48" s="221" t="s">
        <v>400</v>
      </c>
      <c r="B48" s="221"/>
      <c r="C48" s="221"/>
      <c r="D48" s="221"/>
      <c r="E48" s="221"/>
      <c r="F48" s="128" t="s">
        <v>205</v>
      </c>
      <c r="G48" s="238" t="s">
        <v>335</v>
      </c>
      <c r="H48" s="127" t="s">
        <v>244</v>
      </c>
      <c r="I48" s="180" t="s">
        <v>390</v>
      </c>
      <c r="J48" s="128" t="s">
        <v>216</v>
      </c>
      <c r="K48" s="232">
        <f t="shared" ref="K48:AB48" si="45">SUMIFS(K$82:K$269,$G$82:$G$269,"ОБРАЗ г.Новосибирск РЕТРО ЦЕМЕНТОВОЗ")</f>
        <v>0</v>
      </c>
      <c r="L48" s="221">
        <f t="shared" si="45"/>
        <v>0</v>
      </c>
      <c r="M48" s="221">
        <f t="shared" si="45"/>
        <v>0</v>
      </c>
      <c r="N48" s="221">
        <f t="shared" si="45"/>
        <v>0</v>
      </c>
      <c r="O48" s="221">
        <f t="shared" si="45"/>
        <v>0</v>
      </c>
      <c r="P48" s="221">
        <f t="shared" si="45"/>
        <v>0</v>
      </c>
      <c r="Q48" s="221">
        <f t="shared" si="45"/>
        <v>0</v>
      </c>
      <c r="R48" s="221">
        <f t="shared" si="45"/>
        <v>0</v>
      </c>
      <c r="S48" s="221">
        <f t="shared" si="45"/>
        <v>0</v>
      </c>
      <c r="T48" s="221">
        <f t="shared" si="45"/>
        <v>0</v>
      </c>
      <c r="U48" s="221">
        <f t="shared" si="45"/>
        <v>0</v>
      </c>
      <c r="V48" s="221">
        <f t="shared" si="45"/>
        <v>0</v>
      </c>
      <c r="W48" s="221">
        <f t="shared" si="45"/>
        <v>0</v>
      </c>
      <c r="X48" s="221">
        <f t="shared" si="45"/>
        <v>0</v>
      </c>
      <c r="Y48" s="221">
        <f t="shared" si="45"/>
        <v>0</v>
      </c>
      <c r="Z48" s="221">
        <f t="shared" si="45"/>
        <v>0</v>
      </c>
      <c r="AA48" s="221">
        <f t="shared" si="45"/>
        <v>0</v>
      </c>
      <c r="AB48" s="221">
        <f t="shared" si="45"/>
        <v>0</v>
      </c>
    </row>
    <row r="49" spans="1:28" s="237" customFormat="1" ht="46.5" customHeight="1" x14ac:dyDescent="0.25">
      <c r="A49" s="233" t="s">
        <v>400</v>
      </c>
      <c r="B49" s="233"/>
      <c r="C49" s="233"/>
      <c r="D49" s="233"/>
      <c r="E49" s="233"/>
      <c r="F49" s="234" t="s">
        <v>278</v>
      </c>
      <c r="G49" s="239" t="s">
        <v>335</v>
      </c>
      <c r="H49" s="235"/>
      <c r="I49" s="240" t="s">
        <v>336</v>
      </c>
      <c r="J49" s="234" t="s">
        <v>216</v>
      </c>
      <c r="K49" s="236">
        <f t="shared" ref="K49:AB49" si="46">SUMIFS(K$82:K$269,$G$82:$G$269,"ОБРАЗ г.Новосибирск РЕТРО ЦЕМЕНТОВОЗ",$F$82:$F$269,"СТОЙКИЕ")</f>
        <v>0</v>
      </c>
      <c r="L49" s="233">
        <f t="shared" si="46"/>
        <v>0</v>
      </c>
      <c r="M49" s="233">
        <f t="shared" si="46"/>
        <v>0</v>
      </c>
      <c r="N49" s="233">
        <f t="shared" si="46"/>
        <v>0</v>
      </c>
      <c r="O49" s="233">
        <f t="shared" si="46"/>
        <v>0</v>
      </c>
      <c r="P49" s="233">
        <f t="shared" si="46"/>
        <v>0</v>
      </c>
      <c r="Q49" s="233">
        <f t="shared" si="46"/>
        <v>0</v>
      </c>
      <c r="R49" s="233">
        <f t="shared" si="46"/>
        <v>0</v>
      </c>
      <c r="S49" s="233">
        <f t="shared" si="46"/>
        <v>0</v>
      </c>
      <c r="T49" s="233">
        <f t="shared" si="46"/>
        <v>0</v>
      </c>
      <c r="U49" s="233">
        <f t="shared" si="46"/>
        <v>0</v>
      </c>
      <c r="V49" s="233">
        <f t="shared" si="46"/>
        <v>0</v>
      </c>
      <c r="W49" s="233">
        <f t="shared" si="46"/>
        <v>0</v>
      </c>
      <c r="X49" s="233">
        <f t="shared" si="46"/>
        <v>0</v>
      </c>
      <c r="Y49" s="233">
        <f t="shared" si="46"/>
        <v>0</v>
      </c>
      <c r="Z49" s="233">
        <f t="shared" si="46"/>
        <v>0</v>
      </c>
      <c r="AA49" s="233">
        <f t="shared" si="46"/>
        <v>0</v>
      </c>
      <c r="AB49" s="233">
        <f t="shared" si="46"/>
        <v>0</v>
      </c>
    </row>
    <row r="50" spans="1:28" s="237" customFormat="1" ht="46.5" customHeight="1" x14ac:dyDescent="0.25">
      <c r="A50" s="233" t="s">
        <v>400</v>
      </c>
      <c r="B50" s="233"/>
      <c r="C50" s="233"/>
      <c r="D50" s="233"/>
      <c r="E50" s="233"/>
      <c r="F50" s="234" t="s">
        <v>295</v>
      </c>
      <c r="G50" s="239" t="s">
        <v>335</v>
      </c>
      <c r="H50" s="235"/>
      <c r="I50" s="240" t="s">
        <v>337</v>
      </c>
      <c r="J50" s="234" t="s">
        <v>216</v>
      </c>
      <c r="K50" s="236">
        <f t="shared" ref="K50:AB50" si="47">SUMIFS(K$82:K$269,$G$82:$G$269,"ОБРАЗ г.Новосибирск РЕТРО ЦЕМЕНТОВОЗ",$F$82:$F$269,"ЗЕРКАЛА")</f>
        <v>0</v>
      </c>
      <c r="L50" s="233">
        <f t="shared" si="47"/>
        <v>0</v>
      </c>
      <c r="M50" s="233">
        <f t="shared" si="47"/>
        <v>0</v>
      </c>
      <c r="N50" s="233">
        <f t="shared" si="47"/>
        <v>0</v>
      </c>
      <c r="O50" s="233">
        <f t="shared" si="47"/>
        <v>0</v>
      </c>
      <c r="P50" s="233">
        <f t="shared" si="47"/>
        <v>0</v>
      </c>
      <c r="Q50" s="233">
        <f t="shared" si="47"/>
        <v>0</v>
      </c>
      <c r="R50" s="233">
        <f t="shared" si="47"/>
        <v>0</v>
      </c>
      <c r="S50" s="233">
        <f t="shared" si="47"/>
        <v>0</v>
      </c>
      <c r="T50" s="233">
        <f t="shared" si="47"/>
        <v>0</v>
      </c>
      <c r="U50" s="233">
        <f t="shared" si="47"/>
        <v>0</v>
      </c>
      <c r="V50" s="233">
        <f t="shared" si="47"/>
        <v>0</v>
      </c>
      <c r="W50" s="233">
        <f t="shared" si="47"/>
        <v>0</v>
      </c>
      <c r="X50" s="233">
        <f t="shared" si="47"/>
        <v>0</v>
      </c>
      <c r="Y50" s="233">
        <f t="shared" si="47"/>
        <v>0</v>
      </c>
      <c r="Z50" s="233">
        <f t="shared" si="47"/>
        <v>0</v>
      </c>
      <c r="AA50" s="233">
        <f t="shared" si="47"/>
        <v>0</v>
      </c>
      <c r="AB50" s="233">
        <f t="shared" si="47"/>
        <v>0</v>
      </c>
    </row>
    <row r="51" spans="1:28" ht="38.25" customHeight="1" x14ac:dyDescent="0.25">
      <c r="A51" s="221" t="s">
        <v>400</v>
      </c>
      <c r="B51" s="221"/>
      <c r="C51" s="221"/>
      <c r="D51" s="221"/>
      <c r="E51" s="221"/>
      <c r="F51" s="128" t="s">
        <v>205</v>
      </c>
      <c r="G51" s="238" t="s">
        <v>435</v>
      </c>
      <c r="H51" s="127" t="s">
        <v>244</v>
      </c>
      <c r="I51" s="180" t="s">
        <v>387</v>
      </c>
      <c r="J51" s="128" t="s">
        <v>216</v>
      </c>
      <c r="K51" s="232">
        <f t="shared" ref="K51:AB51" si="48">SUMIFS(K$82:K$269,$G$82:$G$269,"ОБРАЗ г.ТАТРА РЕТРО ЦЕМЕНТОВОЗ")</f>
        <v>0</v>
      </c>
      <c r="L51" s="221">
        <f t="shared" si="48"/>
        <v>0</v>
      </c>
      <c r="M51" s="221">
        <f t="shared" si="48"/>
        <v>0</v>
      </c>
      <c r="N51" s="221">
        <f t="shared" si="48"/>
        <v>0</v>
      </c>
      <c r="O51" s="221">
        <f t="shared" si="48"/>
        <v>0</v>
      </c>
      <c r="P51" s="221">
        <f t="shared" si="48"/>
        <v>0</v>
      </c>
      <c r="Q51" s="221">
        <f t="shared" si="48"/>
        <v>0</v>
      </c>
      <c r="R51" s="221">
        <f t="shared" si="48"/>
        <v>0</v>
      </c>
      <c r="S51" s="221">
        <f t="shared" si="48"/>
        <v>0</v>
      </c>
      <c r="T51" s="221">
        <f t="shared" si="48"/>
        <v>0</v>
      </c>
      <c r="U51" s="221">
        <f t="shared" si="48"/>
        <v>0</v>
      </c>
      <c r="V51" s="221">
        <f t="shared" si="48"/>
        <v>0</v>
      </c>
      <c r="W51" s="221">
        <f t="shared" si="48"/>
        <v>0</v>
      </c>
      <c r="X51" s="221">
        <f t="shared" si="48"/>
        <v>0</v>
      </c>
      <c r="Y51" s="221">
        <f t="shared" si="48"/>
        <v>0</v>
      </c>
      <c r="Z51" s="221">
        <f t="shared" si="48"/>
        <v>0</v>
      </c>
      <c r="AA51" s="221">
        <f t="shared" si="48"/>
        <v>0</v>
      </c>
      <c r="AB51" s="221">
        <f t="shared" si="48"/>
        <v>0</v>
      </c>
    </row>
    <row r="52" spans="1:28" s="237" customFormat="1" ht="46.5" customHeight="1" x14ac:dyDescent="0.25">
      <c r="A52" s="233" t="s">
        <v>400</v>
      </c>
      <c r="B52" s="233"/>
      <c r="C52" s="233"/>
      <c r="D52" s="233"/>
      <c r="E52" s="233"/>
      <c r="F52" s="234" t="s">
        <v>278</v>
      </c>
      <c r="G52" s="239" t="s">
        <v>435</v>
      </c>
      <c r="H52" s="235"/>
      <c r="I52" s="240" t="s">
        <v>436</v>
      </c>
      <c r="J52" s="234" t="s">
        <v>216</v>
      </c>
      <c r="K52" s="236">
        <f t="shared" ref="K52:AB52" si="49">SUMIFS(K$82:K$269,$G$82:$G$269,"ОБРАЗ г.ТАТРА РЕТРО ЦЕМЕНТОВОЗ",$F$82:$F$269,"СТОЙКИЕ")</f>
        <v>0</v>
      </c>
      <c r="L52" s="233">
        <f t="shared" si="49"/>
        <v>0</v>
      </c>
      <c r="M52" s="233">
        <f t="shared" si="49"/>
        <v>0</v>
      </c>
      <c r="N52" s="233">
        <f t="shared" si="49"/>
        <v>0</v>
      </c>
      <c r="O52" s="233">
        <f t="shared" si="49"/>
        <v>0</v>
      </c>
      <c r="P52" s="233">
        <f t="shared" si="49"/>
        <v>0</v>
      </c>
      <c r="Q52" s="233">
        <f t="shared" si="49"/>
        <v>0</v>
      </c>
      <c r="R52" s="233">
        <f t="shared" si="49"/>
        <v>0</v>
      </c>
      <c r="S52" s="233">
        <f t="shared" si="49"/>
        <v>0</v>
      </c>
      <c r="T52" s="233">
        <f t="shared" si="49"/>
        <v>0</v>
      </c>
      <c r="U52" s="233">
        <f t="shared" si="49"/>
        <v>0</v>
      </c>
      <c r="V52" s="233">
        <f t="shared" si="49"/>
        <v>0</v>
      </c>
      <c r="W52" s="233">
        <f t="shared" si="49"/>
        <v>0</v>
      </c>
      <c r="X52" s="233">
        <f t="shared" si="49"/>
        <v>0</v>
      </c>
      <c r="Y52" s="233">
        <f t="shared" si="49"/>
        <v>0</v>
      </c>
      <c r="Z52" s="233">
        <f t="shared" si="49"/>
        <v>0</v>
      </c>
      <c r="AA52" s="233">
        <f t="shared" si="49"/>
        <v>0</v>
      </c>
      <c r="AB52" s="233">
        <f t="shared" si="49"/>
        <v>0</v>
      </c>
    </row>
    <row r="53" spans="1:28" s="237" customFormat="1" ht="46.5" customHeight="1" x14ac:dyDescent="0.25">
      <c r="A53" s="233" t="s">
        <v>400</v>
      </c>
      <c r="B53" s="233"/>
      <c r="C53" s="233"/>
      <c r="D53" s="233"/>
      <c r="E53" s="233"/>
      <c r="F53" s="234" t="s">
        <v>295</v>
      </c>
      <c r="G53" s="239" t="s">
        <v>435</v>
      </c>
      <c r="H53" s="235"/>
      <c r="I53" s="240" t="s">
        <v>437</v>
      </c>
      <c r="J53" s="234" t="s">
        <v>216</v>
      </c>
      <c r="K53" s="236">
        <f t="shared" ref="K53:AB53" si="50">SUMIFS(K$82:K$269,$G$82:$G$269,"ОБРАЗ г.ТАТРА РЕТРО ЦЕМЕНТОВОЗ",$F$82:$F$269,"ЗЕРКАЛА")</f>
        <v>0</v>
      </c>
      <c r="L53" s="233">
        <f t="shared" si="50"/>
        <v>0</v>
      </c>
      <c r="M53" s="233">
        <f t="shared" si="50"/>
        <v>0</v>
      </c>
      <c r="N53" s="233">
        <f t="shared" si="50"/>
        <v>0</v>
      </c>
      <c r="O53" s="233">
        <f t="shared" si="50"/>
        <v>0</v>
      </c>
      <c r="P53" s="233">
        <f t="shared" si="50"/>
        <v>0</v>
      </c>
      <c r="Q53" s="233">
        <f t="shared" si="50"/>
        <v>0</v>
      </c>
      <c r="R53" s="233">
        <f t="shared" si="50"/>
        <v>0</v>
      </c>
      <c r="S53" s="233">
        <f t="shared" si="50"/>
        <v>0</v>
      </c>
      <c r="T53" s="233">
        <f t="shared" si="50"/>
        <v>0</v>
      </c>
      <c r="U53" s="233">
        <f t="shared" si="50"/>
        <v>0</v>
      </c>
      <c r="V53" s="233">
        <f t="shared" si="50"/>
        <v>0</v>
      </c>
      <c r="W53" s="233">
        <f t="shared" si="50"/>
        <v>0</v>
      </c>
      <c r="X53" s="233">
        <f t="shared" si="50"/>
        <v>0</v>
      </c>
      <c r="Y53" s="233">
        <f t="shared" si="50"/>
        <v>0</v>
      </c>
      <c r="Z53" s="233">
        <f t="shared" si="50"/>
        <v>0</v>
      </c>
      <c r="AA53" s="233">
        <f t="shared" si="50"/>
        <v>0</v>
      </c>
      <c r="AB53" s="233">
        <f t="shared" si="50"/>
        <v>0</v>
      </c>
    </row>
    <row r="54" spans="1:28" ht="38.25" customHeight="1" x14ac:dyDescent="0.25">
      <c r="A54" s="221" t="s">
        <v>400</v>
      </c>
      <c r="B54" s="221"/>
      <c r="C54" s="221"/>
      <c r="D54" s="221"/>
      <c r="E54" s="221"/>
      <c r="F54" s="128" t="s">
        <v>205</v>
      </c>
      <c r="G54" s="238" t="s">
        <v>393</v>
      </c>
      <c r="H54" s="127" t="s">
        <v>244</v>
      </c>
      <c r="I54" s="180" t="s">
        <v>394</v>
      </c>
      <c r="J54" s="128" t="s">
        <v>216</v>
      </c>
      <c r="K54" s="232">
        <f t="shared" ref="K54:AB54" si="51">SUMIFS(K$82:K$269,$G$82:$G$269,"ОБРАЗ ТУРТУФЛИ")</f>
        <v>6</v>
      </c>
      <c r="L54" s="221">
        <f t="shared" si="51"/>
        <v>60000</v>
      </c>
      <c r="M54" s="221">
        <f t="shared" si="51"/>
        <v>500</v>
      </c>
      <c r="N54" s="221">
        <f t="shared" si="51"/>
        <v>100</v>
      </c>
      <c r="O54" s="221">
        <f t="shared" si="51"/>
        <v>0</v>
      </c>
      <c r="P54" s="221">
        <f t="shared" si="51"/>
        <v>0</v>
      </c>
      <c r="Q54" s="221">
        <f t="shared" si="51"/>
        <v>0</v>
      </c>
      <c r="R54" s="221">
        <f t="shared" si="51"/>
        <v>0</v>
      </c>
      <c r="S54" s="221">
        <f t="shared" si="51"/>
        <v>0</v>
      </c>
      <c r="T54" s="221">
        <f t="shared" si="51"/>
        <v>0</v>
      </c>
      <c r="U54" s="221">
        <f t="shared" si="51"/>
        <v>0</v>
      </c>
      <c r="V54" s="221">
        <f t="shared" si="51"/>
        <v>0</v>
      </c>
      <c r="W54" s="221">
        <f t="shared" si="51"/>
        <v>0</v>
      </c>
      <c r="X54" s="221">
        <f t="shared" si="51"/>
        <v>0</v>
      </c>
      <c r="Y54" s="221">
        <f t="shared" si="51"/>
        <v>600</v>
      </c>
      <c r="Z54" s="221">
        <f t="shared" si="51"/>
        <v>0</v>
      </c>
      <c r="AA54" s="221">
        <f t="shared" si="51"/>
        <v>0</v>
      </c>
      <c r="AB54" s="221">
        <f t="shared" si="51"/>
        <v>600</v>
      </c>
    </row>
    <row r="55" spans="1:28" s="237" customFormat="1" ht="46.5" customHeight="1" x14ac:dyDescent="0.25">
      <c r="A55" s="233" t="s">
        <v>400</v>
      </c>
      <c r="B55" s="233"/>
      <c r="C55" s="233"/>
      <c r="D55" s="233"/>
      <c r="E55" s="233"/>
      <c r="F55" s="234" t="s">
        <v>278</v>
      </c>
      <c r="G55" s="239" t="s">
        <v>393</v>
      </c>
      <c r="H55" s="235"/>
      <c r="I55" s="240" t="s">
        <v>395</v>
      </c>
      <c r="J55" s="234" t="s">
        <v>216</v>
      </c>
      <c r="K55" s="236">
        <f t="shared" ref="K55:AB55" si="52">SUMIFS(K$82:K$269,$G$82:$G$269,"ОБРАЗ ТУРТУФЛИ",$F$82:$F$269,"СТОЙКИЕ")</f>
        <v>0</v>
      </c>
      <c r="L55" s="233">
        <f t="shared" si="52"/>
        <v>0</v>
      </c>
      <c r="M55" s="233">
        <f t="shared" si="52"/>
        <v>0</v>
      </c>
      <c r="N55" s="233">
        <f t="shared" si="52"/>
        <v>0</v>
      </c>
      <c r="O55" s="233">
        <f t="shared" si="52"/>
        <v>0</v>
      </c>
      <c r="P55" s="233">
        <f t="shared" si="52"/>
        <v>0</v>
      </c>
      <c r="Q55" s="233">
        <f t="shared" si="52"/>
        <v>0</v>
      </c>
      <c r="R55" s="233">
        <f t="shared" si="52"/>
        <v>0</v>
      </c>
      <c r="S55" s="233">
        <f t="shared" si="52"/>
        <v>0</v>
      </c>
      <c r="T55" s="233">
        <f t="shared" si="52"/>
        <v>0</v>
      </c>
      <c r="U55" s="233">
        <f t="shared" si="52"/>
        <v>0</v>
      </c>
      <c r="V55" s="233">
        <f t="shared" si="52"/>
        <v>0</v>
      </c>
      <c r="W55" s="233">
        <f t="shared" si="52"/>
        <v>0</v>
      </c>
      <c r="X55" s="233">
        <f t="shared" si="52"/>
        <v>0</v>
      </c>
      <c r="Y55" s="233">
        <f t="shared" si="52"/>
        <v>0</v>
      </c>
      <c r="Z55" s="233">
        <f t="shared" si="52"/>
        <v>0</v>
      </c>
      <c r="AA55" s="233">
        <f t="shared" si="52"/>
        <v>0</v>
      </c>
      <c r="AB55" s="233">
        <f t="shared" si="52"/>
        <v>0</v>
      </c>
    </row>
    <row r="56" spans="1:28" s="237" customFormat="1" ht="46.5" customHeight="1" x14ac:dyDescent="0.25">
      <c r="A56" s="233" t="s">
        <v>400</v>
      </c>
      <c r="B56" s="233"/>
      <c r="C56" s="233"/>
      <c r="D56" s="233"/>
      <c r="E56" s="233"/>
      <c r="F56" s="234" t="s">
        <v>295</v>
      </c>
      <c r="G56" s="239" t="s">
        <v>393</v>
      </c>
      <c r="H56" s="235"/>
      <c r="I56" s="240" t="s">
        <v>396</v>
      </c>
      <c r="J56" s="234" t="s">
        <v>216</v>
      </c>
      <c r="K56" s="236">
        <f t="shared" ref="K56:AB56" si="53">SUMIFS(K$82:K$269,$G$82:$G$269,"ОБРАЗ ТУРТУФЛИ",$F$82:$F$269,"ЗЕРКАЛА")</f>
        <v>6</v>
      </c>
      <c r="L56" s="233">
        <f t="shared" si="53"/>
        <v>60000</v>
      </c>
      <c r="M56" s="233">
        <f t="shared" si="53"/>
        <v>500</v>
      </c>
      <c r="N56" s="233">
        <f t="shared" si="53"/>
        <v>100</v>
      </c>
      <c r="O56" s="233">
        <f t="shared" si="53"/>
        <v>0</v>
      </c>
      <c r="P56" s="233">
        <f t="shared" si="53"/>
        <v>0</v>
      </c>
      <c r="Q56" s="233">
        <f t="shared" si="53"/>
        <v>0</v>
      </c>
      <c r="R56" s="233">
        <f t="shared" si="53"/>
        <v>0</v>
      </c>
      <c r="S56" s="233">
        <f t="shared" si="53"/>
        <v>0</v>
      </c>
      <c r="T56" s="233">
        <f t="shared" si="53"/>
        <v>0</v>
      </c>
      <c r="U56" s="233">
        <f t="shared" si="53"/>
        <v>0</v>
      </c>
      <c r="V56" s="233">
        <f t="shared" si="53"/>
        <v>0</v>
      </c>
      <c r="W56" s="233">
        <f t="shared" si="53"/>
        <v>0</v>
      </c>
      <c r="X56" s="233">
        <f t="shared" si="53"/>
        <v>0</v>
      </c>
      <c r="Y56" s="233">
        <f t="shared" si="53"/>
        <v>600</v>
      </c>
      <c r="Z56" s="233">
        <f t="shared" si="53"/>
        <v>0</v>
      </c>
      <c r="AA56" s="233">
        <f t="shared" si="53"/>
        <v>0</v>
      </c>
      <c r="AB56" s="233">
        <f t="shared" si="53"/>
        <v>600</v>
      </c>
    </row>
    <row r="57" spans="1:28" s="129" customFormat="1" ht="29.25" customHeight="1" x14ac:dyDescent="0.25">
      <c r="A57" s="128" t="s">
        <v>205</v>
      </c>
      <c r="B57" s="128" t="s">
        <v>205</v>
      </c>
      <c r="C57" s="128" t="s">
        <v>205</v>
      </c>
      <c r="D57" s="128" t="s">
        <v>205</v>
      </c>
      <c r="E57" s="128" t="s">
        <v>205</v>
      </c>
      <c r="F57" s="128" t="s">
        <v>205</v>
      </c>
      <c r="G57" s="128" t="s">
        <v>205</v>
      </c>
      <c r="H57" s="127" t="s">
        <v>205</v>
      </c>
      <c r="I57" s="128" t="s">
        <v>398</v>
      </c>
      <c r="J57" s="128" t="s">
        <v>205</v>
      </c>
      <c r="K57" s="128">
        <f>K7-SUM(K59,K60,K62,K63,K65,K66,K68,K69,K71,K72,K74,K75,K77,K78,K80,K81)+K7-SUM(K58,K61,K64,K67,K70,K73,K76,K79)</f>
        <v>0</v>
      </c>
      <c r="L57" s="128">
        <f>L7-SUM(L59,L60,L62,L63,L65,L66,L68,L69,L71,L72,L74,L75,L77,L78,L80,L81)+L7-SUM(L58,L61,L64,L67,L70,L73,L76,L79)</f>
        <v>0</v>
      </c>
      <c r="M57" s="128">
        <f>M7-SUM(M59,M60,M62,M63,M65,M66,M68,M69,M71,M72,M74,M75,M77,M78,M80,M81)+M7-SUM(M58,M61,M64,M67,M70,M73,M76,M79)</f>
        <v>0</v>
      </c>
      <c r="N57" s="128">
        <f t="shared" ref="N57:T57" si="54">N7-SUM(N59,N60,N62,N63,N65,N66,N68,N69,N71,N72,N74,N75,N77,N78,N80,N81)+N7-SUM(N58,N61,N64,N67,N70,N73,N76,N79)</f>
        <v>0</v>
      </c>
      <c r="O57" s="128">
        <f t="shared" si="54"/>
        <v>0</v>
      </c>
      <c r="P57" s="128">
        <f>P7-SUM(P59,P60,P62,P63,P65,P66,P68,P69,P71,P72,P74,P75,P77,P78,P80,P81)+P7-SUM(P58,P61,P64,P67,P70,P73,P76,P79)</f>
        <v>0</v>
      </c>
      <c r="Q57" s="128">
        <f>Q7-SUM(Q59,Q60,Q62,Q63,Q65,Q66,Q68,Q69,Q71,Q72,Q74,Q75,Q77,Q78,Q80,Q81)+Q7-SUM(Q58,Q61,Q64,Q67,Q70,Q73,Q76,Q79)</f>
        <v>0</v>
      </c>
      <c r="R57" s="128">
        <f>R7-SUM(R59,R60,R62,R63,R65,R66,R68,R69,R71,R72,R74,R75,R77,R78,R80,R81)+R7-SUM(R58,R61,R64,R67,R70,R73,R76,R79)</f>
        <v>0</v>
      </c>
      <c r="S57" s="128">
        <f>S7-SUM(S59,S60,S62,S63,S65,S66,S68,S69,S71,S72,S74,S75,S77,S78,S80,S81)+S7-SUM(S58,S61,S64,S67,S70,S73,S76,S79)</f>
        <v>0</v>
      </c>
      <c r="T57" s="128">
        <f t="shared" si="54"/>
        <v>0</v>
      </c>
      <c r="U57" s="128">
        <f t="shared" ref="U57:AB57" si="55">U7-SUM(U59,U60,U62,U63,U65,U66,U68,U69,U71,U72,U74,U75,U77,U78,U80,U81)+U7-SUM(U58,U61,U64,U67,U70,U73,U76,U79)</f>
        <v>0</v>
      </c>
      <c r="V57" s="128">
        <f t="shared" si="55"/>
        <v>0</v>
      </c>
      <c r="W57" s="128">
        <f t="shared" si="55"/>
        <v>0</v>
      </c>
      <c r="X57" s="128">
        <f t="shared" si="55"/>
        <v>0</v>
      </c>
      <c r="Y57" s="128">
        <f t="shared" si="55"/>
        <v>0</v>
      </c>
      <c r="Z57" s="128">
        <f t="shared" si="55"/>
        <v>0</v>
      </c>
      <c r="AA57" s="128">
        <f t="shared" si="55"/>
        <v>0</v>
      </c>
      <c r="AB57" s="128">
        <f t="shared" si="55"/>
        <v>0</v>
      </c>
    </row>
    <row r="58" spans="1:28" s="215" customFormat="1" ht="40.5" customHeight="1" x14ac:dyDescent="0.25">
      <c r="A58" s="131" t="s">
        <v>248</v>
      </c>
      <c r="B58" s="131" t="s">
        <v>348</v>
      </c>
      <c r="C58" s="131"/>
      <c r="D58" s="131"/>
      <c r="E58" s="131"/>
      <c r="F58" s="131"/>
      <c r="G58" s="131" t="s">
        <v>216</v>
      </c>
      <c r="H58" s="119" t="s">
        <v>246</v>
      </c>
      <c r="I58" s="241" t="s">
        <v>349</v>
      </c>
      <c r="J58" s="131" t="s">
        <v>216</v>
      </c>
      <c r="K58" s="232">
        <f t="shared" ref="K58:AB58" si="56">SUMIFS(K$82:K$269,$A$82:$A$269,"ИТОГ Ф",$B$82:$B$269,"ЦЕНТР")</f>
        <v>59</v>
      </c>
      <c r="L58" s="221">
        <f t="shared" si="56"/>
        <v>108000</v>
      </c>
      <c r="M58" s="221">
        <f t="shared" si="56"/>
        <v>500</v>
      </c>
      <c r="N58" s="221">
        <f t="shared" si="56"/>
        <v>100</v>
      </c>
      <c r="O58" s="221">
        <f t="shared" si="56"/>
        <v>0</v>
      </c>
      <c r="P58" s="221">
        <f t="shared" si="56"/>
        <v>0</v>
      </c>
      <c r="Q58" s="221">
        <f t="shared" si="56"/>
        <v>0</v>
      </c>
      <c r="R58" s="221">
        <f t="shared" si="56"/>
        <v>0</v>
      </c>
      <c r="S58" s="221">
        <f t="shared" si="56"/>
        <v>0</v>
      </c>
      <c r="T58" s="221">
        <f t="shared" si="56"/>
        <v>0</v>
      </c>
      <c r="U58" s="221">
        <f t="shared" si="56"/>
        <v>0</v>
      </c>
      <c r="V58" s="221">
        <f t="shared" si="56"/>
        <v>0</v>
      </c>
      <c r="W58" s="221">
        <f t="shared" si="56"/>
        <v>0</v>
      </c>
      <c r="X58" s="221">
        <f t="shared" si="56"/>
        <v>0</v>
      </c>
      <c r="Y58" s="221">
        <f t="shared" si="56"/>
        <v>600</v>
      </c>
      <c r="Z58" s="221">
        <f t="shared" si="56"/>
        <v>0</v>
      </c>
      <c r="AA58" s="221">
        <f t="shared" si="56"/>
        <v>0</v>
      </c>
      <c r="AB58" s="221">
        <f t="shared" si="56"/>
        <v>600</v>
      </c>
    </row>
    <row r="59" spans="1:28" s="244" customFormat="1" ht="39" customHeight="1" x14ac:dyDescent="0.25">
      <c r="A59" s="171" t="s">
        <v>248</v>
      </c>
      <c r="B59" s="171" t="s">
        <v>348</v>
      </c>
      <c r="C59" s="171"/>
      <c r="D59" s="171"/>
      <c r="E59" s="171"/>
      <c r="F59" s="171" t="s">
        <v>278</v>
      </c>
      <c r="G59" s="171"/>
      <c r="H59" s="242"/>
      <c r="I59" s="243" t="s">
        <v>350</v>
      </c>
      <c r="J59" s="242" t="s">
        <v>216</v>
      </c>
      <c r="K59" s="236">
        <f t="shared" ref="K59:AB59" si="57">SUMIFS(K$82:K$269,$A$82:$A$269,"ИТОГ Ф",$B$82:$B$269,"ЦЕНТР",$F$82:$F$269,"СТОЙКИЕ")</f>
        <v>49</v>
      </c>
      <c r="L59" s="233">
        <f t="shared" si="57"/>
        <v>8000</v>
      </c>
      <c r="M59" s="233">
        <f t="shared" si="57"/>
        <v>0</v>
      </c>
      <c r="N59" s="233">
        <f t="shared" si="57"/>
        <v>0</v>
      </c>
      <c r="O59" s="233">
        <f t="shared" si="57"/>
        <v>0</v>
      </c>
      <c r="P59" s="233">
        <f t="shared" si="57"/>
        <v>0</v>
      </c>
      <c r="Q59" s="233">
        <f t="shared" si="57"/>
        <v>0</v>
      </c>
      <c r="R59" s="233">
        <f t="shared" si="57"/>
        <v>0</v>
      </c>
      <c r="S59" s="233">
        <f t="shared" si="57"/>
        <v>0</v>
      </c>
      <c r="T59" s="233">
        <f t="shared" si="57"/>
        <v>0</v>
      </c>
      <c r="U59" s="233">
        <f t="shared" si="57"/>
        <v>0</v>
      </c>
      <c r="V59" s="233">
        <f t="shared" si="57"/>
        <v>0</v>
      </c>
      <c r="W59" s="233">
        <f t="shared" si="57"/>
        <v>0</v>
      </c>
      <c r="X59" s="233">
        <f t="shared" si="57"/>
        <v>0</v>
      </c>
      <c r="Y59" s="233">
        <f t="shared" si="57"/>
        <v>0</v>
      </c>
      <c r="Z59" s="233">
        <f t="shared" si="57"/>
        <v>0</v>
      </c>
      <c r="AA59" s="233">
        <f t="shared" si="57"/>
        <v>0</v>
      </c>
      <c r="AB59" s="233">
        <f t="shared" si="57"/>
        <v>0</v>
      </c>
    </row>
    <row r="60" spans="1:28" s="244" customFormat="1" ht="39" customHeight="1" x14ac:dyDescent="0.25">
      <c r="A60" s="171" t="s">
        <v>248</v>
      </c>
      <c r="B60" s="171" t="s">
        <v>348</v>
      </c>
      <c r="C60" s="171"/>
      <c r="D60" s="171"/>
      <c r="E60" s="171"/>
      <c r="F60" s="171" t="s">
        <v>295</v>
      </c>
      <c r="G60" s="171"/>
      <c r="H60" s="242"/>
      <c r="I60" s="243" t="s">
        <v>351</v>
      </c>
      <c r="J60" s="242" t="s">
        <v>216</v>
      </c>
      <c r="K60" s="236">
        <f t="shared" ref="K60:AB60" si="58">SUMIFS(K$82:K$269,$A$82:$A$269,"ИТОГ Ф",$B$82:$B$269,"ЦЕНТР",$F$82:$F$269,"ЗЕРКАЛА")</f>
        <v>10</v>
      </c>
      <c r="L60" s="233">
        <f t="shared" si="58"/>
        <v>100000</v>
      </c>
      <c r="M60" s="233">
        <f t="shared" si="58"/>
        <v>500</v>
      </c>
      <c r="N60" s="233">
        <f t="shared" si="58"/>
        <v>100</v>
      </c>
      <c r="O60" s="233">
        <f t="shared" si="58"/>
        <v>0</v>
      </c>
      <c r="P60" s="233">
        <f t="shared" si="58"/>
        <v>0</v>
      </c>
      <c r="Q60" s="233">
        <f t="shared" si="58"/>
        <v>0</v>
      </c>
      <c r="R60" s="233">
        <f t="shared" si="58"/>
        <v>0</v>
      </c>
      <c r="S60" s="233">
        <f t="shared" si="58"/>
        <v>0</v>
      </c>
      <c r="T60" s="233">
        <f t="shared" si="58"/>
        <v>0</v>
      </c>
      <c r="U60" s="233">
        <f t="shared" si="58"/>
        <v>0</v>
      </c>
      <c r="V60" s="233">
        <f t="shared" si="58"/>
        <v>0</v>
      </c>
      <c r="W60" s="233">
        <f t="shared" si="58"/>
        <v>0</v>
      </c>
      <c r="X60" s="233">
        <f t="shared" si="58"/>
        <v>0</v>
      </c>
      <c r="Y60" s="233">
        <f t="shared" si="58"/>
        <v>600</v>
      </c>
      <c r="Z60" s="233">
        <f t="shared" si="58"/>
        <v>0</v>
      </c>
      <c r="AA60" s="233">
        <f t="shared" si="58"/>
        <v>0</v>
      </c>
      <c r="AB60" s="233">
        <f t="shared" si="58"/>
        <v>600</v>
      </c>
    </row>
    <row r="61" spans="1:28" s="215" customFormat="1" ht="35.25" customHeight="1" x14ac:dyDescent="0.25">
      <c r="A61" s="131" t="s">
        <v>248</v>
      </c>
      <c r="B61" s="131" t="s">
        <v>345</v>
      </c>
      <c r="C61" s="131"/>
      <c r="D61" s="131"/>
      <c r="E61" s="131"/>
      <c r="F61" s="131"/>
      <c r="G61" s="131" t="s">
        <v>216</v>
      </c>
      <c r="H61" s="119" t="s">
        <v>246</v>
      </c>
      <c r="I61" s="241" t="s">
        <v>380</v>
      </c>
      <c r="J61" s="131" t="s">
        <v>216</v>
      </c>
      <c r="K61" s="232">
        <f t="shared" ref="K61:AB61" si="59">SUMIFS(K$82:K$269,$A$82:$A$269,"ИТОГ Ф",$B$82:$B$269,"СЕВЕР")</f>
        <v>9</v>
      </c>
      <c r="L61" s="221">
        <f t="shared" si="59"/>
        <v>36000</v>
      </c>
      <c r="M61" s="221">
        <f t="shared" si="59"/>
        <v>500</v>
      </c>
      <c r="N61" s="221">
        <f t="shared" si="59"/>
        <v>700</v>
      </c>
      <c r="O61" s="221">
        <f t="shared" si="59"/>
        <v>0</v>
      </c>
      <c r="P61" s="221">
        <f t="shared" si="59"/>
        <v>0</v>
      </c>
      <c r="Q61" s="221">
        <f t="shared" si="59"/>
        <v>0</v>
      </c>
      <c r="R61" s="221">
        <f t="shared" si="59"/>
        <v>0</v>
      </c>
      <c r="S61" s="221">
        <f t="shared" si="59"/>
        <v>0</v>
      </c>
      <c r="T61" s="221">
        <f t="shared" si="59"/>
        <v>0</v>
      </c>
      <c r="U61" s="221">
        <f t="shared" si="59"/>
        <v>0</v>
      </c>
      <c r="V61" s="221">
        <f t="shared" si="59"/>
        <v>0</v>
      </c>
      <c r="W61" s="221">
        <f t="shared" si="59"/>
        <v>0</v>
      </c>
      <c r="X61" s="221">
        <f t="shared" si="59"/>
        <v>0</v>
      </c>
      <c r="Y61" s="221">
        <f t="shared" si="59"/>
        <v>1200</v>
      </c>
      <c r="Z61" s="221">
        <f t="shared" si="59"/>
        <v>900</v>
      </c>
      <c r="AA61" s="221">
        <f t="shared" si="59"/>
        <v>100</v>
      </c>
      <c r="AB61" s="221">
        <f t="shared" si="59"/>
        <v>2200</v>
      </c>
    </row>
    <row r="62" spans="1:28" s="244" customFormat="1" ht="39" customHeight="1" x14ac:dyDescent="0.25">
      <c r="A62" s="171" t="s">
        <v>248</v>
      </c>
      <c r="B62" s="171" t="s">
        <v>345</v>
      </c>
      <c r="C62" s="171"/>
      <c r="D62" s="171"/>
      <c r="E62" s="171"/>
      <c r="F62" s="171" t="s">
        <v>278</v>
      </c>
      <c r="G62" s="171"/>
      <c r="H62" s="242"/>
      <c r="I62" s="243" t="s">
        <v>346</v>
      </c>
      <c r="J62" s="242" t="s">
        <v>216</v>
      </c>
      <c r="K62" s="236">
        <f t="shared" ref="K62:AB62" si="60">SUMIFS(K$82:K$269,$A$82:$A$269,"ИТОГ Ф",$B$82:$B$269,"СЕВЕР",$F$82:$F$269,"СТОЙКИЕ")</f>
        <v>9</v>
      </c>
      <c r="L62" s="233">
        <f t="shared" si="60"/>
        <v>36000</v>
      </c>
      <c r="M62" s="233">
        <f t="shared" si="60"/>
        <v>500</v>
      </c>
      <c r="N62" s="233">
        <f t="shared" si="60"/>
        <v>700</v>
      </c>
      <c r="O62" s="233">
        <f t="shared" si="60"/>
        <v>0</v>
      </c>
      <c r="P62" s="233">
        <f t="shared" si="60"/>
        <v>0</v>
      </c>
      <c r="Q62" s="233">
        <f t="shared" si="60"/>
        <v>0</v>
      </c>
      <c r="R62" s="233">
        <f t="shared" si="60"/>
        <v>0</v>
      </c>
      <c r="S62" s="233">
        <f t="shared" si="60"/>
        <v>0</v>
      </c>
      <c r="T62" s="233">
        <f t="shared" si="60"/>
        <v>0</v>
      </c>
      <c r="U62" s="233">
        <f t="shared" si="60"/>
        <v>0</v>
      </c>
      <c r="V62" s="233">
        <f t="shared" si="60"/>
        <v>0</v>
      </c>
      <c r="W62" s="233">
        <f t="shared" si="60"/>
        <v>0</v>
      </c>
      <c r="X62" s="233">
        <f t="shared" si="60"/>
        <v>0</v>
      </c>
      <c r="Y62" s="233">
        <f t="shared" si="60"/>
        <v>1200</v>
      </c>
      <c r="Z62" s="233">
        <f t="shared" si="60"/>
        <v>900</v>
      </c>
      <c r="AA62" s="233">
        <f t="shared" si="60"/>
        <v>100</v>
      </c>
      <c r="AB62" s="233">
        <f t="shared" si="60"/>
        <v>2200</v>
      </c>
    </row>
    <row r="63" spans="1:28" s="244" customFormat="1" ht="39" customHeight="1" x14ac:dyDescent="0.25">
      <c r="A63" s="171" t="s">
        <v>248</v>
      </c>
      <c r="B63" s="171" t="s">
        <v>345</v>
      </c>
      <c r="C63" s="171"/>
      <c r="D63" s="171"/>
      <c r="E63" s="171"/>
      <c r="F63" s="171" t="s">
        <v>295</v>
      </c>
      <c r="G63" s="171"/>
      <c r="H63" s="242"/>
      <c r="I63" s="243" t="s">
        <v>347</v>
      </c>
      <c r="J63" s="242" t="s">
        <v>216</v>
      </c>
      <c r="K63" s="236">
        <f t="shared" ref="K63:AB63" si="61">SUMIFS(K$82:K$269,$A$82:$A$269,"ИТОГ Ф",$B$82:$B$269,"СЕВЕР",$F$82:$F$269,"ЗЕРКАЛА")</f>
        <v>0</v>
      </c>
      <c r="L63" s="233">
        <f t="shared" si="61"/>
        <v>0</v>
      </c>
      <c r="M63" s="233">
        <f t="shared" si="61"/>
        <v>0</v>
      </c>
      <c r="N63" s="233">
        <f t="shared" si="61"/>
        <v>0</v>
      </c>
      <c r="O63" s="233">
        <f t="shared" si="61"/>
        <v>0</v>
      </c>
      <c r="P63" s="233">
        <f t="shared" si="61"/>
        <v>0</v>
      </c>
      <c r="Q63" s="233">
        <f t="shared" si="61"/>
        <v>0</v>
      </c>
      <c r="R63" s="233">
        <f t="shared" si="61"/>
        <v>0</v>
      </c>
      <c r="S63" s="233">
        <f t="shared" si="61"/>
        <v>0</v>
      </c>
      <c r="T63" s="233">
        <f t="shared" si="61"/>
        <v>0</v>
      </c>
      <c r="U63" s="233">
        <f t="shared" si="61"/>
        <v>0</v>
      </c>
      <c r="V63" s="233">
        <f t="shared" si="61"/>
        <v>0</v>
      </c>
      <c r="W63" s="233">
        <f t="shared" si="61"/>
        <v>0</v>
      </c>
      <c r="X63" s="233">
        <f t="shared" si="61"/>
        <v>0</v>
      </c>
      <c r="Y63" s="233">
        <f t="shared" si="61"/>
        <v>0</v>
      </c>
      <c r="Z63" s="233">
        <f t="shared" si="61"/>
        <v>0</v>
      </c>
      <c r="AA63" s="233">
        <f t="shared" si="61"/>
        <v>0</v>
      </c>
      <c r="AB63" s="233">
        <f t="shared" si="61"/>
        <v>0</v>
      </c>
    </row>
    <row r="64" spans="1:28" s="215" customFormat="1" ht="33.75" customHeight="1" x14ac:dyDescent="0.25">
      <c r="A64" s="131" t="s">
        <v>248</v>
      </c>
      <c r="B64" s="131" t="s">
        <v>352</v>
      </c>
      <c r="C64" s="131"/>
      <c r="D64" s="131"/>
      <c r="E64" s="131"/>
      <c r="F64" s="131"/>
      <c r="G64" s="131" t="s">
        <v>216</v>
      </c>
      <c r="H64" s="119" t="s">
        <v>246</v>
      </c>
      <c r="I64" s="241" t="s">
        <v>381</v>
      </c>
      <c r="J64" s="131" t="s">
        <v>216</v>
      </c>
      <c r="K64" s="232">
        <f t="shared" ref="K64:AB64" si="62">SUMIFS(K$82:K$269,$A$82:$A$269,"ИТОГ Ф",$B$82:$B$269,"ПРиволжье")</f>
        <v>0</v>
      </c>
      <c r="L64" s="221">
        <f t="shared" si="62"/>
        <v>0</v>
      </c>
      <c r="M64" s="221">
        <f t="shared" si="62"/>
        <v>0</v>
      </c>
      <c r="N64" s="221">
        <f t="shared" si="62"/>
        <v>0</v>
      </c>
      <c r="O64" s="221">
        <f t="shared" si="62"/>
        <v>0</v>
      </c>
      <c r="P64" s="221">
        <f t="shared" si="62"/>
        <v>0</v>
      </c>
      <c r="Q64" s="221">
        <f t="shared" si="62"/>
        <v>0</v>
      </c>
      <c r="R64" s="221">
        <f t="shared" si="62"/>
        <v>0</v>
      </c>
      <c r="S64" s="221">
        <f t="shared" si="62"/>
        <v>0</v>
      </c>
      <c r="T64" s="221">
        <f t="shared" si="62"/>
        <v>0</v>
      </c>
      <c r="U64" s="221">
        <f t="shared" si="62"/>
        <v>0</v>
      </c>
      <c r="V64" s="221">
        <f t="shared" si="62"/>
        <v>0</v>
      </c>
      <c r="W64" s="221">
        <f t="shared" si="62"/>
        <v>0</v>
      </c>
      <c r="X64" s="221">
        <f t="shared" si="62"/>
        <v>0</v>
      </c>
      <c r="Y64" s="221">
        <f t="shared" si="62"/>
        <v>0</v>
      </c>
      <c r="Z64" s="221">
        <f t="shared" si="62"/>
        <v>0</v>
      </c>
      <c r="AA64" s="221">
        <f t="shared" si="62"/>
        <v>0</v>
      </c>
      <c r="AB64" s="221">
        <f t="shared" si="62"/>
        <v>0</v>
      </c>
    </row>
    <row r="65" spans="1:28" s="244" customFormat="1" ht="39" customHeight="1" x14ac:dyDescent="0.25">
      <c r="A65" s="171" t="s">
        <v>248</v>
      </c>
      <c r="B65" s="171" t="s">
        <v>352</v>
      </c>
      <c r="C65" s="171"/>
      <c r="D65" s="171"/>
      <c r="E65" s="171"/>
      <c r="F65" s="171" t="s">
        <v>278</v>
      </c>
      <c r="G65" s="171"/>
      <c r="H65" s="242"/>
      <c r="I65" s="243" t="s">
        <v>353</v>
      </c>
      <c r="J65" s="242" t="s">
        <v>216</v>
      </c>
      <c r="K65" s="236">
        <f t="shared" ref="K65:AB65" si="63">SUMIFS(K$82:K$269,$A$82:$A$269,"ИТОГ Ф",$B$82:$B$269,"ПРиволжье",$F$82:$F$269,"СТОЙКИЕ")</f>
        <v>0</v>
      </c>
      <c r="L65" s="233">
        <f t="shared" si="63"/>
        <v>0</v>
      </c>
      <c r="M65" s="233">
        <f t="shared" si="63"/>
        <v>0</v>
      </c>
      <c r="N65" s="233">
        <f t="shared" si="63"/>
        <v>0</v>
      </c>
      <c r="O65" s="233">
        <f t="shared" si="63"/>
        <v>0</v>
      </c>
      <c r="P65" s="233">
        <f t="shared" si="63"/>
        <v>0</v>
      </c>
      <c r="Q65" s="233">
        <f t="shared" si="63"/>
        <v>0</v>
      </c>
      <c r="R65" s="233">
        <f t="shared" si="63"/>
        <v>0</v>
      </c>
      <c r="S65" s="233">
        <f t="shared" si="63"/>
        <v>0</v>
      </c>
      <c r="T65" s="233">
        <f t="shared" si="63"/>
        <v>0</v>
      </c>
      <c r="U65" s="233">
        <f t="shared" si="63"/>
        <v>0</v>
      </c>
      <c r="V65" s="233">
        <f t="shared" si="63"/>
        <v>0</v>
      </c>
      <c r="W65" s="233">
        <f t="shared" si="63"/>
        <v>0</v>
      </c>
      <c r="X65" s="233">
        <f t="shared" si="63"/>
        <v>0</v>
      </c>
      <c r="Y65" s="233">
        <f t="shared" si="63"/>
        <v>0</v>
      </c>
      <c r="Z65" s="233">
        <f t="shared" si="63"/>
        <v>0</v>
      </c>
      <c r="AA65" s="233">
        <f t="shared" si="63"/>
        <v>0</v>
      </c>
      <c r="AB65" s="233">
        <f t="shared" si="63"/>
        <v>0</v>
      </c>
    </row>
    <row r="66" spans="1:28" s="244" customFormat="1" ht="39" customHeight="1" x14ac:dyDescent="0.25">
      <c r="A66" s="171" t="s">
        <v>248</v>
      </c>
      <c r="B66" s="171" t="s">
        <v>352</v>
      </c>
      <c r="C66" s="171"/>
      <c r="D66" s="171"/>
      <c r="E66" s="171"/>
      <c r="F66" s="171" t="s">
        <v>295</v>
      </c>
      <c r="G66" s="171"/>
      <c r="H66" s="242"/>
      <c r="I66" s="243" t="s">
        <v>354</v>
      </c>
      <c r="J66" s="242" t="s">
        <v>216</v>
      </c>
      <c r="K66" s="236">
        <f t="shared" ref="K66:AB66" si="64">SUMIFS(K$82:K$269,$A$82:$A$269,"ИТОГ Ф",$B$82:$B$269,"ПРиволжье",$F$82:$F$269,"ЗЕРКАЛА")</f>
        <v>0</v>
      </c>
      <c r="L66" s="233">
        <f t="shared" si="64"/>
        <v>0</v>
      </c>
      <c r="M66" s="233">
        <f t="shared" si="64"/>
        <v>0</v>
      </c>
      <c r="N66" s="233">
        <f t="shared" si="64"/>
        <v>0</v>
      </c>
      <c r="O66" s="233">
        <f t="shared" si="64"/>
        <v>0</v>
      </c>
      <c r="P66" s="233">
        <f t="shared" si="64"/>
        <v>0</v>
      </c>
      <c r="Q66" s="233">
        <f t="shared" si="64"/>
        <v>0</v>
      </c>
      <c r="R66" s="233">
        <f t="shared" si="64"/>
        <v>0</v>
      </c>
      <c r="S66" s="233">
        <f t="shared" si="64"/>
        <v>0</v>
      </c>
      <c r="T66" s="233">
        <f t="shared" si="64"/>
        <v>0</v>
      </c>
      <c r="U66" s="233">
        <f t="shared" si="64"/>
        <v>0</v>
      </c>
      <c r="V66" s="233">
        <f t="shared" si="64"/>
        <v>0</v>
      </c>
      <c r="W66" s="233">
        <f t="shared" si="64"/>
        <v>0</v>
      </c>
      <c r="X66" s="233">
        <f t="shared" si="64"/>
        <v>0</v>
      </c>
      <c r="Y66" s="233">
        <f t="shared" si="64"/>
        <v>0</v>
      </c>
      <c r="Z66" s="233">
        <f t="shared" si="64"/>
        <v>0</v>
      </c>
      <c r="AA66" s="233">
        <f t="shared" si="64"/>
        <v>0</v>
      </c>
      <c r="AB66" s="233">
        <f t="shared" si="64"/>
        <v>0</v>
      </c>
    </row>
    <row r="67" spans="1:28" s="215" customFormat="1" ht="33.75" customHeight="1" x14ac:dyDescent="0.25">
      <c r="A67" s="131" t="s">
        <v>248</v>
      </c>
      <c r="B67" s="131" t="s">
        <v>355</v>
      </c>
      <c r="C67" s="131"/>
      <c r="D67" s="131"/>
      <c r="E67" s="131"/>
      <c r="F67" s="131"/>
      <c r="G67" s="131" t="s">
        <v>216</v>
      </c>
      <c r="H67" s="119" t="s">
        <v>246</v>
      </c>
      <c r="I67" s="241" t="s">
        <v>382</v>
      </c>
      <c r="J67" s="131" t="s">
        <v>216</v>
      </c>
      <c r="K67" s="232">
        <f t="shared" ref="K67:AB67" si="65">SUMIFS(K$82:K$269,$A$82:$A$269,"ИТОГ Ф",$B$82:$B$269,"ЮГ")</f>
        <v>2</v>
      </c>
      <c r="L67" s="221">
        <f t="shared" si="65"/>
        <v>30000</v>
      </c>
      <c r="M67" s="221">
        <f t="shared" si="65"/>
        <v>200</v>
      </c>
      <c r="N67" s="221">
        <f t="shared" si="65"/>
        <v>400</v>
      </c>
      <c r="O67" s="221">
        <f t="shared" si="65"/>
        <v>0</v>
      </c>
      <c r="P67" s="221">
        <f t="shared" si="65"/>
        <v>0</v>
      </c>
      <c r="Q67" s="221">
        <f t="shared" si="65"/>
        <v>0</v>
      </c>
      <c r="R67" s="221">
        <f t="shared" si="65"/>
        <v>0</v>
      </c>
      <c r="S67" s="221">
        <f t="shared" si="65"/>
        <v>0</v>
      </c>
      <c r="T67" s="221">
        <f t="shared" si="65"/>
        <v>0</v>
      </c>
      <c r="U67" s="221">
        <f t="shared" si="65"/>
        <v>0</v>
      </c>
      <c r="V67" s="221">
        <f t="shared" si="65"/>
        <v>0</v>
      </c>
      <c r="W67" s="221">
        <f t="shared" si="65"/>
        <v>0</v>
      </c>
      <c r="X67" s="221">
        <f t="shared" si="65"/>
        <v>0</v>
      </c>
      <c r="Y67" s="221">
        <f t="shared" si="65"/>
        <v>600</v>
      </c>
      <c r="Z67" s="221">
        <f t="shared" si="65"/>
        <v>0</v>
      </c>
      <c r="AA67" s="221">
        <f t="shared" si="65"/>
        <v>250</v>
      </c>
      <c r="AB67" s="221">
        <f t="shared" si="65"/>
        <v>850</v>
      </c>
    </row>
    <row r="68" spans="1:28" s="244" customFormat="1" ht="39" customHeight="1" x14ac:dyDescent="0.25">
      <c r="A68" s="171" t="s">
        <v>248</v>
      </c>
      <c r="B68" s="171" t="s">
        <v>355</v>
      </c>
      <c r="C68" s="171"/>
      <c r="D68" s="171"/>
      <c r="E68" s="171"/>
      <c r="F68" s="171" t="s">
        <v>278</v>
      </c>
      <c r="G68" s="171"/>
      <c r="H68" s="242"/>
      <c r="I68" s="243" t="s">
        <v>356</v>
      </c>
      <c r="J68" s="242" t="s">
        <v>216</v>
      </c>
      <c r="K68" s="236">
        <f t="shared" ref="K68:AB68" si="66">SUMIFS(K$82:K$269,$A$82:$A$269,"ИТОГ Ф",$B$82:$B$269,"ЮГ",$F$82:$F$269,"СТОЙКИЕ")</f>
        <v>2</v>
      </c>
      <c r="L68" s="233">
        <f t="shared" si="66"/>
        <v>20000</v>
      </c>
      <c r="M68" s="233">
        <f t="shared" si="66"/>
        <v>0</v>
      </c>
      <c r="N68" s="233">
        <f t="shared" si="66"/>
        <v>300</v>
      </c>
      <c r="O68" s="233">
        <f t="shared" si="66"/>
        <v>0</v>
      </c>
      <c r="P68" s="233">
        <f t="shared" si="66"/>
        <v>0</v>
      </c>
      <c r="Q68" s="233">
        <f t="shared" si="66"/>
        <v>0</v>
      </c>
      <c r="R68" s="233">
        <f t="shared" si="66"/>
        <v>0</v>
      </c>
      <c r="S68" s="233">
        <f t="shared" si="66"/>
        <v>0</v>
      </c>
      <c r="T68" s="233">
        <f t="shared" si="66"/>
        <v>0</v>
      </c>
      <c r="U68" s="233">
        <f t="shared" si="66"/>
        <v>0</v>
      </c>
      <c r="V68" s="233">
        <f t="shared" si="66"/>
        <v>0</v>
      </c>
      <c r="W68" s="233">
        <f t="shared" si="66"/>
        <v>0</v>
      </c>
      <c r="X68" s="233">
        <f t="shared" si="66"/>
        <v>0</v>
      </c>
      <c r="Y68" s="233">
        <f t="shared" si="66"/>
        <v>300</v>
      </c>
      <c r="Z68" s="233">
        <f t="shared" si="66"/>
        <v>0</v>
      </c>
      <c r="AA68" s="233">
        <f t="shared" si="66"/>
        <v>250</v>
      </c>
      <c r="AB68" s="233">
        <f t="shared" si="66"/>
        <v>550</v>
      </c>
    </row>
    <row r="69" spans="1:28" s="244" customFormat="1" ht="39" customHeight="1" x14ac:dyDescent="0.25">
      <c r="A69" s="171" t="s">
        <v>248</v>
      </c>
      <c r="B69" s="171" t="s">
        <v>355</v>
      </c>
      <c r="C69" s="171"/>
      <c r="D69" s="171"/>
      <c r="E69" s="171"/>
      <c r="F69" s="171" t="s">
        <v>295</v>
      </c>
      <c r="G69" s="171"/>
      <c r="H69" s="242"/>
      <c r="I69" s="243" t="s">
        <v>357</v>
      </c>
      <c r="J69" s="242" t="s">
        <v>216</v>
      </c>
      <c r="K69" s="236">
        <f t="shared" ref="K69:AB69" si="67">SUMIFS(K$82:K$269,$A$82:$A$269,"ИТОГ Ф",$B$82:$B$269,"ЮГ",$F$82:$F$269,"ЗЕРКАЛА")</f>
        <v>0</v>
      </c>
      <c r="L69" s="233">
        <f t="shared" si="67"/>
        <v>10000</v>
      </c>
      <c r="M69" s="233">
        <f t="shared" si="67"/>
        <v>200</v>
      </c>
      <c r="N69" s="233">
        <f t="shared" si="67"/>
        <v>100</v>
      </c>
      <c r="O69" s="233">
        <f t="shared" si="67"/>
        <v>0</v>
      </c>
      <c r="P69" s="233">
        <f t="shared" si="67"/>
        <v>0</v>
      </c>
      <c r="Q69" s="233">
        <f t="shared" si="67"/>
        <v>0</v>
      </c>
      <c r="R69" s="233">
        <f t="shared" si="67"/>
        <v>0</v>
      </c>
      <c r="S69" s="233">
        <f t="shared" si="67"/>
        <v>0</v>
      </c>
      <c r="T69" s="233">
        <f t="shared" si="67"/>
        <v>0</v>
      </c>
      <c r="U69" s="233">
        <f t="shared" si="67"/>
        <v>0</v>
      </c>
      <c r="V69" s="233">
        <f t="shared" si="67"/>
        <v>0</v>
      </c>
      <c r="W69" s="233">
        <f t="shared" si="67"/>
        <v>0</v>
      </c>
      <c r="X69" s="233">
        <f t="shared" si="67"/>
        <v>0</v>
      </c>
      <c r="Y69" s="233">
        <f t="shared" si="67"/>
        <v>300</v>
      </c>
      <c r="Z69" s="233">
        <f t="shared" si="67"/>
        <v>0</v>
      </c>
      <c r="AA69" s="233">
        <f t="shared" si="67"/>
        <v>0</v>
      </c>
      <c r="AB69" s="233">
        <f t="shared" si="67"/>
        <v>300</v>
      </c>
    </row>
    <row r="70" spans="1:28" s="215" customFormat="1" ht="33.75" customHeight="1" x14ac:dyDescent="0.25">
      <c r="A70" s="131" t="s">
        <v>248</v>
      </c>
      <c r="B70" s="131" t="s">
        <v>358</v>
      </c>
      <c r="C70" s="131"/>
      <c r="D70" s="131"/>
      <c r="E70" s="131"/>
      <c r="F70" s="131"/>
      <c r="G70" s="131" t="s">
        <v>216</v>
      </c>
      <c r="H70" s="119" t="s">
        <v>246</v>
      </c>
      <c r="I70" s="241" t="s">
        <v>383</v>
      </c>
      <c r="J70" s="131" t="s">
        <v>216</v>
      </c>
      <c r="K70" s="232">
        <f t="shared" ref="K70:AB70" si="68">SUMIFS(K$82:K$269,$A$82:$A$269,"ИТОГ Ф",$B$82:$B$269,"Урал")</f>
        <v>0</v>
      </c>
      <c r="L70" s="221">
        <f t="shared" si="68"/>
        <v>12000</v>
      </c>
      <c r="M70" s="221">
        <f t="shared" si="68"/>
        <v>100</v>
      </c>
      <c r="N70" s="221">
        <f t="shared" si="68"/>
        <v>150</v>
      </c>
      <c r="O70" s="221">
        <f t="shared" si="68"/>
        <v>180</v>
      </c>
      <c r="P70" s="221">
        <f t="shared" si="68"/>
        <v>0</v>
      </c>
      <c r="Q70" s="221">
        <f t="shared" si="68"/>
        <v>0</v>
      </c>
      <c r="R70" s="221">
        <f t="shared" si="68"/>
        <v>0</v>
      </c>
      <c r="S70" s="221">
        <f t="shared" si="68"/>
        <v>0</v>
      </c>
      <c r="T70" s="221">
        <f t="shared" si="68"/>
        <v>0</v>
      </c>
      <c r="U70" s="221">
        <f t="shared" si="68"/>
        <v>0</v>
      </c>
      <c r="V70" s="221">
        <f t="shared" si="68"/>
        <v>0</v>
      </c>
      <c r="W70" s="221">
        <f t="shared" si="68"/>
        <v>0</v>
      </c>
      <c r="X70" s="221">
        <f t="shared" si="68"/>
        <v>0</v>
      </c>
      <c r="Y70" s="221">
        <f t="shared" si="68"/>
        <v>430</v>
      </c>
      <c r="Z70" s="221">
        <f t="shared" si="68"/>
        <v>0</v>
      </c>
      <c r="AA70" s="221">
        <f t="shared" si="68"/>
        <v>0</v>
      </c>
      <c r="AB70" s="221">
        <f t="shared" si="68"/>
        <v>430</v>
      </c>
    </row>
    <row r="71" spans="1:28" s="244" customFormat="1" ht="39" customHeight="1" x14ac:dyDescent="0.25">
      <c r="A71" s="171" t="s">
        <v>248</v>
      </c>
      <c r="B71" s="171" t="s">
        <v>358</v>
      </c>
      <c r="C71" s="171"/>
      <c r="D71" s="171"/>
      <c r="E71" s="171"/>
      <c r="F71" s="171" t="s">
        <v>278</v>
      </c>
      <c r="G71" s="171"/>
      <c r="H71" s="242"/>
      <c r="I71" s="243" t="s">
        <v>359</v>
      </c>
      <c r="J71" s="242" t="s">
        <v>216</v>
      </c>
      <c r="K71" s="236">
        <f t="shared" ref="K71:AB71" si="69">SUMIFS(K$82:K$269,$A$82:$A$269,"ИТОГ Ф",$B$82:$B$269,"Урал",$F$82:$F$269,"СТОЙКИЕ")</f>
        <v>0</v>
      </c>
      <c r="L71" s="233">
        <f t="shared" si="69"/>
        <v>0</v>
      </c>
      <c r="M71" s="233">
        <f t="shared" si="69"/>
        <v>0</v>
      </c>
      <c r="N71" s="233">
        <f t="shared" si="69"/>
        <v>0</v>
      </c>
      <c r="O71" s="233">
        <f t="shared" si="69"/>
        <v>0</v>
      </c>
      <c r="P71" s="233">
        <f t="shared" si="69"/>
        <v>0</v>
      </c>
      <c r="Q71" s="233">
        <f t="shared" si="69"/>
        <v>0</v>
      </c>
      <c r="R71" s="233">
        <f t="shared" si="69"/>
        <v>0</v>
      </c>
      <c r="S71" s="233">
        <f t="shared" si="69"/>
        <v>0</v>
      </c>
      <c r="T71" s="233">
        <f t="shared" si="69"/>
        <v>0</v>
      </c>
      <c r="U71" s="233">
        <f t="shared" si="69"/>
        <v>0</v>
      </c>
      <c r="V71" s="233">
        <f t="shared" si="69"/>
        <v>0</v>
      </c>
      <c r="W71" s="233">
        <f t="shared" si="69"/>
        <v>0</v>
      </c>
      <c r="X71" s="233">
        <f t="shared" si="69"/>
        <v>0</v>
      </c>
      <c r="Y71" s="233">
        <f t="shared" si="69"/>
        <v>0</v>
      </c>
      <c r="Z71" s="233">
        <f t="shared" si="69"/>
        <v>0</v>
      </c>
      <c r="AA71" s="233">
        <f t="shared" si="69"/>
        <v>0</v>
      </c>
      <c r="AB71" s="233">
        <f t="shared" si="69"/>
        <v>0</v>
      </c>
    </row>
    <row r="72" spans="1:28" s="244" customFormat="1" ht="39" customHeight="1" x14ac:dyDescent="0.25">
      <c r="A72" s="171" t="s">
        <v>248</v>
      </c>
      <c r="B72" s="171" t="s">
        <v>358</v>
      </c>
      <c r="C72" s="171"/>
      <c r="D72" s="171"/>
      <c r="E72" s="171"/>
      <c r="F72" s="171" t="s">
        <v>295</v>
      </c>
      <c r="G72" s="171"/>
      <c r="H72" s="242"/>
      <c r="I72" s="243" t="s">
        <v>360</v>
      </c>
      <c r="J72" s="242" t="s">
        <v>216</v>
      </c>
      <c r="K72" s="236">
        <f t="shared" ref="K72:AB72" si="70">SUMIFS(K$82:K$269,$A$82:$A$269,"ИТОГ Ф",$B$82:$B$269,"Урал",$F$82:$F$269,"ЗЕРКАЛА")</f>
        <v>0</v>
      </c>
      <c r="L72" s="233">
        <f t="shared" si="70"/>
        <v>12000</v>
      </c>
      <c r="M72" s="233">
        <f t="shared" si="70"/>
        <v>100</v>
      </c>
      <c r="N72" s="233">
        <f t="shared" si="70"/>
        <v>150</v>
      </c>
      <c r="O72" s="233">
        <f t="shared" si="70"/>
        <v>180</v>
      </c>
      <c r="P72" s="233">
        <f t="shared" si="70"/>
        <v>0</v>
      </c>
      <c r="Q72" s="233">
        <f t="shared" si="70"/>
        <v>0</v>
      </c>
      <c r="R72" s="233">
        <f t="shared" si="70"/>
        <v>0</v>
      </c>
      <c r="S72" s="233">
        <f t="shared" si="70"/>
        <v>0</v>
      </c>
      <c r="T72" s="233">
        <f t="shared" si="70"/>
        <v>0</v>
      </c>
      <c r="U72" s="233">
        <f t="shared" si="70"/>
        <v>0</v>
      </c>
      <c r="V72" s="233">
        <f t="shared" si="70"/>
        <v>0</v>
      </c>
      <c r="W72" s="233">
        <f t="shared" si="70"/>
        <v>0</v>
      </c>
      <c r="X72" s="233">
        <f t="shared" si="70"/>
        <v>0</v>
      </c>
      <c r="Y72" s="233">
        <f t="shared" si="70"/>
        <v>430</v>
      </c>
      <c r="Z72" s="233">
        <f t="shared" si="70"/>
        <v>0</v>
      </c>
      <c r="AA72" s="233">
        <f t="shared" si="70"/>
        <v>0</v>
      </c>
      <c r="AB72" s="233">
        <f t="shared" si="70"/>
        <v>430</v>
      </c>
    </row>
    <row r="73" spans="1:28" s="215" customFormat="1" ht="33.75" customHeight="1" x14ac:dyDescent="0.25">
      <c r="A73" s="131" t="s">
        <v>248</v>
      </c>
      <c r="B73" s="131" t="s">
        <v>370</v>
      </c>
      <c r="C73" s="131"/>
      <c r="D73" s="131"/>
      <c r="E73" s="131"/>
      <c r="F73" s="131"/>
      <c r="G73" s="131" t="s">
        <v>216</v>
      </c>
      <c r="H73" s="119" t="s">
        <v>246</v>
      </c>
      <c r="I73" s="241" t="s">
        <v>384</v>
      </c>
      <c r="J73" s="131" t="s">
        <v>216</v>
      </c>
      <c r="K73" s="232">
        <f t="shared" ref="K73:AB73" si="71">SUMIFS(K$82:K$269,$A$82:$A$269,"ИТОГ Ф",$B$82:$B$269,"Сибирь")</f>
        <v>0</v>
      </c>
      <c r="L73" s="221">
        <f t="shared" si="71"/>
        <v>0</v>
      </c>
      <c r="M73" s="221">
        <f t="shared" si="71"/>
        <v>0</v>
      </c>
      <c r="N73" s="221">
        <f t="shared" si="71"/>
        <v>0</v>
      </c>
      <c r="O73" s="221">
        <f t="shared" si="71"/>
        <v>0</v>
      </c>
      <c r="P73" s="221">
        <f t="shared" si="71"/>
        <v>0</v>
      </c>
      <c r="Q73" s="221">
        <f t="shared" si="71"/>
        <v>0</v>
      </c>
      <c r="R73" s="221">
        <f t="shared" si="71"/>
        <v>0</v>
      </c>
      <c r="S73" s="221">
        <f t="shared" si="71"/>
        <v>0</v>
      </c>
      <c r="T73" s="221">
        <f t="shared" si="71"/>
        <v>0</v>
      </c>
      <c r="U73" s="221">
        <f t="shared" si="71"/>
        <v>0</v>
      </c>
      <c r="V73" s="221">
        <f t="shared" si="71"/>
        <v>0</v>
      </c>
      <c r="W73" s="221">
        <f t="shared" si="71"/>
        <v>0</v>
      </c>
      <c r="X73" s="221">
        <f t="shared" si="71"/>
        <v>0</v>
      </c>
      <c r="Y73" s="221">
        <f t="shared" si="71"/>
        <v>0</v>
      </c>
      <c r="Z73" s="221">
        <f t="shared" si="71"/>
        <v>0</v>
      </c>
      <c r="AA73" s="221">
        <f t="shared" si="71"/>
        <v>0</v>
      </c>
      <c r="AB73" s="221">
        <f t="shared" si="71"/>
        <v>0</v>
      </c>
    </row>
    <row r="74" spans="1:28" s="244" customFormat="1" ht="39" customHeight="1" x14ac:dyDescent="0.25">
      <c r="A74" s="171" t="s">
        <v>248</v>
      </c>
      <c r="B74" s="171" t="s">
        <v>370</v>
      </c>
      <c r="C74" s="171"/>
      <c r="D74" s="171"/>
      <c r="E74" s="171"/>
      <c r="F74" s="171" t="s">
        <v>278</v>
      </c>
      <c r="G74" s="171"/>
      <c r="H74" s="242"/>
      <c r="I74" s="243" t="s">
        <v>371</v>
      </c>
      <c r="J74" s="242" t="s">
        <v>216</v>
      </c>
      <c r="K74" s="236">
        <f t="shared" ref="K74:AB74" si="72">SUMIFS(K$82:K$269,$A$82:$A$269,"ИТОГ Ф",$B$82:$B$269,"Сибирь",$F$82:$F$269,"СТОЙКИЕ")</f>
        <v>0</v>
      </c>
      <c r="L74" s="233">
        <f t="shared" si="72"/>
        <v>0</v>
      </c>
      <c r="M74" s="233">
        <f t="shared" si="72"/>
        <v>0</v>
      </c>
      <c r="N74" s="233">
        <f t="shared" si="72"/>
        <v>0</v>
      </c>
      <c r="O74" s="233">
        <f t="shared" si="72"/>
        <v>0</v>
      </c>
      <c r="P74" s="233">
        <f t="shared" si="72"/>
        <v>0</v>
      </c>
      <c r="Q74" s="233">
        <f t="shared" si="72"/>
        <v>0</v>
      </c>
      <c r="R74" s="233">
        <f t="shared" si="72"/>
        <v>0</v>
      </c>
      <c r="S74" s="233">
        <f t="shared" si="72"/>
        <v>0</v>
      </c>
      <c r="T74" s="233">
        <f t="shared" si="72"/>
        <v>0</v>
      </c>
      <c r="U74" s="233">
        <f t="shared" si="72"/>
        <v>0</v>
      </c>
      <c r="V74" s="233">
        <f t="shared" si="72"/>
        <v>0</v>
      </c>
      <c r="W74" s="233">
        <f t="shared" si="72"/>
        <v>0</v>
      </c>
      <c r="X74" s="233">
        <f t="shared" si="72"/>
        <v>0</v>
      </c>
      <c r="Y74" s="233">
        <f t="shared" si="72"/>
        <v>0</v>
      </c>
      <c r="Z74" s="233">
        <f t="shared" si="72"/>
        <v>0</v>
      </c>
      <c r="AA74" s="233">
        <f t="shared" si="72"/>
        <v>0</v>
      </c>
      <c r="AB74" s="233">
        <f t="shared" si="72"/>
        <v>0</v>
      </c>
    </row>
    <row r="75" spans="1:28" s="244" customFormat="1" ht="39" customHeight="1" x14ac:dyDescent="0.25">
      <c r="A75" s="171" t="s">
        <v>248</v>
      </c>
      <c r="B75" s="171" t="s">
        <v>370</v>
      </c>
      <c r="C75" s="171"/>
      <c r="D75" s="171"/>
      <c r="E75" s="171"/>
      <c r="F75" s="171" t="s">
        <v>295</v>
      </c>
      <c r="G75" s="171"/>
      <c r="H75" s="242"/>
      <c r="I75" s="243" t="s">
        <v>372</v>
      </c>
      <c r="J75" s="242" t="s">
        <v>216</v>
      </c>
      <c r="K75" s="236">
        <f t="shared" ref="K75:AB75" si="73">SUMIFS(K$82:K$269,$A$82:$A$269,"ИТОГ Ф",$B$82:$B$269,"Сибирь",$F$82:$F$269,"ЗЕРКАЛА")</f>
        <v>0</v>
      </c>
      <c r="L75" s="233">
        <f t="shared" si="73"/>
        <v>0</v>
      </c>
      <c r="M75" s="233">
        <f t="shared" si="73"/>
        <v>0</v>
      </c>
      <c r="N75" s="233">
        <f t="shared" si="73"/>
        <v>0</v>
      </c>
      <c r="O75" s="233">
        <f t="shared" si="73"/>
        <v>0</v>
      </c>
      <c r="P75" s="233">
        <f t="shared" si="73"/>
        <v>0</v>
      </c>
      <c r="Q75" s="233">
        <f t="shared" si="73"/>
        <v>0</v>
      </c>
      <c r="R75" s="233">
        <f t="shared" si="73"/>
        <v>0</v>
      </c>
      <c r="S75" s="233">
        <f t="shared" si="73"/>
        <v>0</v>
      </c>
      <c r="T75" s="233">
        <f t="shared" si="73"/>
        <v>0</v>
      </c>
      <c r="U75" s="233">
        <f t="shared" si="73"/>
        <v>0</v>
      </c>
      <c r="V75" s="233">
        <f t="shared" si="73"/>
        <v>0</v>
      </c>
      <c r="W75" s="233">
        <f t="shared" si="73"/>
        <v>0</v>
      </c>
      <c r="X75" s="233">
        <f t="shared" si="73"/>
        <v>0</v>
      </c>
      <c r="Y75" s="233">
        <f t="shared" si="73"/>
        <v>0</v>
      </c>
      <c r="Z75" s="233">
        <f t="shared" si="73"/>
        <v>0</v>
      </c>
      <c r="AA75" s="233">
        <f t="shared" si="73"/>
        <v>0</v>
      </c>
      <c r="AB75" s="233">
        <f t="shared" si="73"/>
        <v>0</v>
      </c>
    </row>
    <row r="76" spans="1:28" s="215" customFormat="1" ht="33.75" customHeight="1" x14ac:dyDescent="0.25">
      <c r="A76" s="131" t="s">
        <v>248</v>
      </c>
      <c r="B76" s="131" t="s">
        <v>367</v>
      </c>
      <c r="C76" s="131"/>
      <c r="D76" s="131"/>
      <c r="E76" s="131"/>
      <c r="F76" s="131"/>
      <c r="G76" s="131" t="s">
        <v>216</v>
      </c>
      <c r="H76" s="119" t="s">
        <v>246</v>
      </c>
      <c r="I76" s="241" t="s">
        <v>385</v>
      </c>
      <c r="J76" s="131" t="s">
        <v>216</v>
      </c>
      <c r="K76" s="232">
        <f t="shared" ref="K76:AB76" si="74">SUMIFS(K$82:K$269,$A$82:$A$269,"ИТОГ Ф",$B$82:$B$269,"ДАЛЬНИЙ")</f>
        <v>0</v>
      </c>
      <c r="L76" s="221">
        <f t="shared" si="74"/>
        <v>0</v>
      </c>
      <c r="M76" s="221">
        <f t="shared" si="74"/>
        <v>0</v>
      </c>
      <c r="N76" s="221">
        <f t="shared" si="74"/>
        <v>0</v>
      </c>
      <c r="O76" s="221">
        <f t="shared" si="74"/>
        <v>0</v>
      </c>
      <c r="P76" s="221">
        <f t="shared" si="74"/>
        <v>0</v>
      </c>
      <c r="Q76" s="221">
        <f t="shared" si="74"/>
        <v>0</v>
      </c>
      <c r="R76" s="221">
        <f t="shared" si="74"/>
        <v>0</v>
      </c>
      <c r="S76" s="221">
        <f t="shared" si="74"/>
        <v>0</v>
      </c>
      <c r="T76" s="221">
        <f t="shared" si="74"/>
        <v>0</v>
      </c>
      <c r="U76" s="221">
        <f t="shared" si="74"/>
        <v>0</v>
      </c>
      <c r="V76" s="221">
        <f t="shared" si="74"/>
        <v>0</v>
      </c>
      <c r="W76" s="221">
        <f t="shared" si="74"/>
        <v>0</v>
      </c>
      <c r="X76" s="221">
        <f t="shared" si="74"/>
        <v>0</v>
      </c>
      <c r="Y76" s="221">
        <f t="shared" si="74"/>
        <v>0</v>
      </c>
      <c r="Z76" s="221">
        <f t="shared" si="74"/>
        <v>0</v>
      </c>
      <c r="AA76" s="221">
        <f t="shared" si="74"/>
        <v>0</v>
      </c>
      <c r="AB76" s="221">
        <f t="shared" si="74"/>
        <v>0</v>
      </c>
    </row>
    <row r="77" spans="1:28" s="244" customFormat="1" ht="39" customHeight="1" x14ac:dyDescent="0.25">
      <c r="A77" s="171" t="s">
        <v>248</v>
      </c>
      <c r="B77" s="171" t="s">
        <v>367</v>
      </c>
      <c r="C77" s="171"/>
      <c r="D77" s="171"/>
      <c r="E77" s="171"/>
      <c r="F77" s="171" t="s">
        <v>278</v>
      </c>
      <c r="G77" s="171"/>
      <c r="H77" s="242"/>
      <c r="I77" s="243" t="s">
        <v>368</v>
      </c>
      <c r="J77" s="242" t="s">
        <v>216</v>
      </c>
      <c r="K77" s="236">
        <f t="shared" ref="K77:AB77" si="75">SUMIFS(K$82:K$269,$A$82:$A$269,"ИТОГ Ф",$B$82:$B$269,"ДАЛЬНИЙ",$F$82:$F$269,"СТОЙКИЕ")</f>
        <v>0</v>
      </c>
      <c r="L77" s="233">
        <f t="shared" si="75"/>
        <v>0</v>
      </c>
      <c r="M77" s="233">
        <f t="shared" si="75"/>
        <v>0</v>
      </c>
      <c r="N77" s="233">
        <f t="shared" si="75"/>
        <v>0</v>
      </c>
      <c r="O77" s="233">
        <f t="shared" si="75"/>
        <v>0</v>
      </c>
      <c r="P77" s="233">
        <f t="shared" si="75"/>
        <v>0</v>
      </c>
      <c r="Q77" s="233">
        <f t="shared" si="75"/>
        <v>0</v>
      </c>
      <c r="R77" s="233">
        <f t="shared" si="75"/>
        <v>0</v>
      </c>
      <c r="S77" s="233">
        <f t="shared" si="75"/>
        <v>0</v>
      </c>
      <c r="T77" s="233">
        <f t="shared" si="75"/>
        <v>0</v>
      </c>
      <c r="U77" s="233">
        <f t="shared" si="75"/>
        <v>0</v>
      </c>
      <c r="V77" s="233">
        <f t="shared" si="75"/>
        <v>0</v>
      </c>
      <c r="W77" s="233">
        <f t="shared" si="75"/>
        <v>0</v>
      </c>
      <c r="X77" s="233">
        <f t="shared" si="75"/>
        <v>0</v>
      </c>
      <c r="Y77" s="233">
        <f t="shared" si="75"/>
        <v>0</v>
      </c>
      <c r="Z77" s="233">
        <f t="shared" si="75"/>
        <v>0</v>
      </c>
      <c r="AA77" s="233">
        <f t="shared" si="75"/>
        <v>0</v>
      </c>
      <c r="AB77" s="233">
        <f t="shared" si="75"/>
        <v>0</v>
      </c>
    </row>
    <row r="78" spans="1:28" s="244" customFormat="1" ht="39" customHeight="1" x14ac:dyDescent="0.25">
      <c r="A78" s="171" t="s">
        <v>248</v>
      </c>
      <c r="B78" s="171" t="s">
        <v>367</v>
      </c>
      <c r="C78" s="171"/>
      <c r="D78" s="171"/>
      <c r="E78" s="171"/>
      <c r="F78" s="171" t="s">
        <v>295</v>
      </c>
      <c r="G78" s="171"/>
      <c r="H78" s="242"/>
      <c r="I78" s="243" t="s">
        <v>369</v>
      </c>
      <c r="J78" s="242" t="s">
        <v>216</v>
      </c>
      <c r="K78" s="236">
        <f t="shared" ref="K78:AB78" si="76">SUMIFS(K$82:K$269,$A$82:$A$269,"ИТОГ Ф",$B$82:$B$269,"ДАЛЬНИЙ",$F$82:$F$269,"ЗЕРКАЛА")</f>
        <v>0</v>
      </c>
      <c r="L78" s="233">
        <f t="shared" si="76"/>
        <v>0</v>
      </c>
      <c r="M78" s="233">
        <f t="shared" si="76"/>
        <v>0</v>
      </c>
      <c r="N78" s="233">
        <f t="shared" si="76"/>
        <v>0</v>
      </c>
      <c r="O78" s="233">
        <f t="shared" si="76"/>
        <v>0</v>
      </c>
      <c r="P78" s="233">
        <f t="shared" si="76"/>
        <v>0</v>
      </c>
      <c r="Q78" s="233">
        <f t="shared" si="76"/>
        <v>0</v>
      </c>
      <c r="R78" s="233">
        <f t="shared" si="76"/>
        <v>0</v>
      </c>
      <c r="S78" s="233">
        <f t="shared" si="76"/>
        <v>0</v>
      </c>
      <c r="T78" s="233">
        <f t="shared" si="76"/>
        <v>0</v>
      </c>
      <c r="U78" s="233">
        <f t="shared" si="76"/>
        <v>0</v>
      </c>
      <c r="V78" s="233">
        <f t="shared" si="76"/>
        <v>0</v>
      </c>
      <c r="W78" s="233">
        <f t="shared" si="76"/>
        <v>0</v>
      </c>
      <c r="X78" s="233">
        <f t="shared" si="76"/>
        <v>0</v>
      </c>
      <c r="Y78" s="233">
        <f t="shared" si="76"/>
        <v>0</v>
      </c>
      <c r="Z78" s="233">
        <f t="shared" si="76"/>
        <v>0</v>
      </c>
      <c r="AA78" s="233">
        <f t="shared" si="76"/>
        <v>0</v>
      </c>
      <c r="AB78" s="233">
        <f t="shared" si="76"/>
        <v>0</v>
      </c>
    </row>
    <row r="79" spans="1:28" s="215" customFormat="1" ht="33.75" customHeight="1" x14ac:dyDescent="0.25">
      <c r="A79" s="131" t="s">
        <v>248</v>
      </c>
      <c r="B79" s="131" t="s">
        <v>230</v>
      </c>
      <c r="C79" s="131"/>
      <c r="D79" s="131"/>
      <c r="E79" s="131"/>
      <c r="F79" s="131"/>
      <c r="G79" s="131" t="s">
        <v>216</v>
      </c>
      <c r="H79" s="119" t="s">
        <v>246</v>
      </c>
      <c r="I79" s="241" t="s">
        <v>386</v>
      </c>
      <c r="J79" s="131" t="s">
        <v>216</v>
      </c>
      <c r="K79" s="232">
        <f t="shared" ref="K79:AB79" si="77">SUMIFS(K$82:K$269,$A$82:$A$269,"ИТОГ Ф",$B$82:$B$269,"ТО")</f>
        <v>0</v>
      </c>
      <c r="L79" s="221">
        <f t="shared" si="77"/>
        <v>0</v>
      </c>
      <c r="M79" s="221">
        <f t="shared" si="77"/>
        <v>0</v>
      </c>
      <c r="N79" s="221">
        <f t="shared" si="77"/>
        <v>0</v>
      </c>
      <c r="O79" s="221">
        <f t="shared" si="77"/>
        <v>0</v>
      </c>
      <c r="P79" s="221">
        <f t="shared" si="77"/>
        <v>0</v>
      </c>
      <c r="Q79" s="221">
        <f t="shared" si="77"/>
        <v>0</v>
      </c>
      <c r="R79" s="221">
        <f t="shared" si="77"/>
        <v>0</v>
      </c>
      <c r="S79" s="221">
        <f t="shared" si="77"/>
        <v>0</v>
      </c>
      <c r="T79" s="221">
        <f t="shared" si="77"/>
        <v>0</v>
      </c>
      <c r="U79" s="221">
        <f t="shared" si="77"/>
        <v>0</v>
      </c>
      <c r="V79" s="221">
        <f t="shared" si="77"/>
        <v>0</v>
      </c>
      <c r="W79" s="221">
        <f t="shared" si="77"/>
        <v>0</v>
      </c>
      <c r="X79" s="221">
        <f t="shared" si="77"/>
        <v>0</v>
      </c>
      <c r="Y79" s="221">
        <f t="shared" si="77"/>
        <v>0</v>
      </c>
      <c r="Z79" s="221">
        <f t="shared" si="77"/>
        <v>0</v>
      </c>
      <c r="AA79" s="221">
        <f t="shared" si="77"/>
        <v>0</v>
      </c>
      <c r="AB79" s="221">
        <f t="shared" si="77"/>
        <v>0</v>
      </c>
    </row>
    <row r="80" spans="1:28" s="244" customFormat="1" ht="39" customHeight="1" x14ac:dyDescent="0.25">
      <c r="A80" s="171" t="s">
        <v>248</v>
      </c>
      <c r="B80" s="171" t="s">
        <v>230</v>
      </c>
      <c r="C80" s="171"/>
      <c r="D80" s="171"/>
      <c r="E80" s="171"/>
      <c r="F80" s="171" t="s">
        <v>278</v>
      </c>
      <c r="G80" s="171"/>
      <c r="H80" s="242"/>
      <c r="I80" s="243" t="s">
        <v>279</v>
      </c>
      <c r="J80" s="242" t="s">
        <v>216</v>
      </c>
      <c r="K80" s="236">
        <f t="shared" ref="K80:AB80" si="78">SUMIFS(K$82:K$269,$A$82:$A$269,"ИТОГ Ф",$B$82:$B$269,"ТО",$F$82:$F$269,"СТОЙКИЕ")</f>
        <v>0</v>
      </c>
      <c r="L80" s="233">
        <f t="shared" si="78"/>
        <v>0</v>
      </c>
      <c r="M80" s="233">
        <f t="shared" si="78"/>
        <v>0</v>
      </c>
      <c r="N80" s="233">
        <f t="shared" si="78"/>
        <v>0</v>
      </c>
      <c r="O80" s="233">
        <f t="shared" si="78"/>
        <v>0</v>
      </c>
      <c r="P80" s="233">
        <f t="shared" si="78"/>
        <v>0</v>
      </c>
      <c r="Q80" s="233">
        <f t="shared" si="78"/>
        <v>0</v>
      </c>
      <c r="R80" s="233">
        <f t="shared" si="78"/>
        <v>0</v>
      </c>
      <c r="S80" s="233">
        <f t="shared" si="78"/>
        <v>0</v>
      </c>
      <c r="T80" s="233">
        <f t="shared" si="78"/>
        <v>0</v>
      </c>
      <c r="U80" s="233">
        <f t="shared" si="78"/>
        <v>0</v>
      </c>
      <c r="V80" s="233">
        <f t="shared" si="78"/>
        <v>0</v>
      </c>
      <c r="W80" s="233">
        <f t="shared" si="78"/>
        <v>0</v>
      </c>
      <c r="X80" s="233">
        <f t="shared" si="78"/>
        <v>0</v>
      </c>
      <c r="Y80" s="233">
        <f t="shared" si="78"/>
        <v>0</v>
      </c>
      <c r="Z80" s="233">
        <f t="shared" si="78"/>
        <v>0</v>
      </c>
      <c r="AA80" s="233">
        <f t="shared" si="78"/>
        <v>0</v>
      </c>
      <c r="AB80" s="233">
        <f t="shared" si="78"/>
        <v>0</v>
      </c>
    </row>
    <row r="81" spans="1:28" s="244" customFormat="1" ht="39" customHeight="1" x14ac:dyDescent="0.25">
      <c r="A81" s="171" t="s">
        <v>248</v>
      </c>
      <c r="B81" s="171" t="s">
        <v>230</v>
      </c>
      <c r="C81" s="171"/>
      <c r="D81" s="171"/>
      <c r="E81" s="171"/>
      <c r="F81" s="171" t="s">
        <v>295</v>
      </c>
      <c r="G81" s="171"/>
      <c r="H81" s="242"/>
      <c r="I81" s="243" t="s">
        <v>299</v>
      </c>
      <c r="J81" s="242" t="s">
        <v>216</v>
      </c>
      <c r="K81" s="236">
        <f t="shared" ref="K81:AB81" si="79">SUMIFS(K$82:K$269,$A$82:$A$269,"ИТОГ Ф",$B$82:$B$269,"ТО",$F$82:$F$269,"ЗЕРКАЛА")</f>
        <v>0</v>
      </c>
      <c r="L81" s="233">
        <f t="shared" si="79"/>
        <v>0</v>
      </c>
      <c r="M81" s="233">
        <f t="shared" si="79"/>
        <v>0</v>
      </c>
      <c r="N81" s="233">
        <f t="shared" si="79"/>
        <v>0</v>
      </c>
      <c r="O81" s="233">
        <f t="shared" si="79"/>
        <v>0</v>
      </c>
      <c r="P81" s="233">
        <f t="shared" si="79"/>
        <v>0</v>
      </c>
      <c r="Q81" s="233">
        <f t="shared" si="79"/>
        <v>0</v>
      </c>
      <c r="R81" s="233">
        <f t="shared" si="79"/>
        <v>0</v>
      </c>
      <c r="S81" s="233">
        <f t="shared" si="79"/>
        <v>0</v>
      </c>
      <c r="T81" s="233">
        <f t="shared" si="79"/>
        <v>0</v>
      </c>
      <c r="U81" s="233">
        <f t="shared" si="79"/>
        <v>0</v>
      </c>
      <c r="V81" s="233">
        <f t="shared" si="79"/>
        <v>0</v>
      </c>
      <c r="W81" s="233">
        <f t="shared" si="79"/>
        <v>0</v>
      </c>
      <c r="X81" s="233">
        <f t="shared" si="79"/>
        <v>0</v>
      </c>
      <c r="Y81" s="233">
        <f t="shared" si="79"/>
        <v>0</v>
      </c>
      <c r="Z81" s="233">
        <f t="shared" si="79"/>
        <v>0</v>
      </c>
      <c r="AA81" s="233">
        <f t="shared" si="79"/>
        <v>0</v>
      </c>
      <c r="AB81" s="233">
        <f t="shared" si="79"/>
        <v>0</v>
      </c>
    </row>
    <row r="82" spans="1:28" s="129" customFormat="1" ht="29.25" customHeight="1" x14ac:dyDescent="0.25">
      <c r="A82" s="128" t="s">
        <v>205</v>
      </c>
      <c r="B82" s="128" t="s">
        <v>205</v>
      </c>
      <c r="C82" s="128" t="s">
        <v>205</v>
      </c>
      <c r="D82" s="128" t="s">
        <v>205</v>
      </c>
      <c r="E82" s="128" t="s">
        <v>205</v>
      </c>
      <c r="F82" s="128" t="s">
        <v>205</v>
      </c>
      <c r="G82" s="128" t="s">
        <v>205</v>
      </c>
      <c r="H82" s="127" t="s">
        <v>205</v>
      </c>
      <c r="I82" s="128" t="s">
        <v>398</v>
      </c>
      <c r="J82" s="128" t="s">
        <v>205</v>
      </c>
      <c r="K82" s="128">
        <f t="shared" ref="K82:AB82" si="80">K7-SUMIF($A$8:$A$269,"ИТОГ П",K8:K269)-SUMIF($A$8:$A$269,"ИТОГ П ФАКТОР",K8:K269)</f>
        <v>0</v>
      </c>
      <c r="L82" s="128">
        <f t="shared" si="80"/>
        <v>0</v>
      </c>
      <c r="M82" s="128">
        <f t="shared" si="80"/>
        <v>0</v>
      </c>
      <c r="N82" s="128">
        <f t="shared" si="80"/>
        <v>0</v>
      </c>
      <c r="O82" s="128">
        <f t="shared" si="80"/>
        <v>0</v>
      </c>
      <c r="P82" s="128">
        <f t="shared" si="80"/>
        <v>0</v>
      </c>
      <c r="Q82" s="128">
        <f t="shared" si="80"/>
        <v>0</v>
      </c>
      <c r="R82" s="128">
        <f t="shared" si="80"/>
        <v>0</v>
      </c>
      <c r="S82" s="128">
        <f t="shared" si="80"/>
        <v>0</v>
      </c>
      <c r="T82" s="128">
        <f t="shared" si="80"/>
        <v>0</v>
      </c>
      <c r="U82" s="128">
        <f t="shared" si="80"/>
        <v>0</v>
      </c>
      <c r="V82" s="128">
        <f t="shared" si="80"/>
        <v>0</v>
      </c>
      <c r="W82" s="128">
        <f t="shared" si="80"/>
        <v>0</v>
      </c>
      <c r="X82" s="128">
        <f t="shared" si="80"/>
        <v>0</v>
      </c>
      <c r="Y82" s="128">
        <f t="shared" si="80"/>
        <v>0</v>
      </c>
      <c r="Z82" s="128">
        <f t="shared" si="80"/>
        <v>0</v>
      </c>
      <c r="AA82" s="128">
        <f t="shared" si="80"/>
        <v>0</v>
      </c>
      <c r="AB82" s="128">
        <f t="shared" si="80"/>
        <v>0</v>
      </c>
    </row>
    <row r="83" spans="1:28" ht="88.5" customHeight="1" x14ac:dyDescent="0.25">
      <c r="A83" s="172" t="s">
        <v>217</v>
      </c>
      <c r="B83" s="173" t="s">
        <v>216</v>
      </c>
      <c r="C83" s="173" t="s">
        <v>216</v>
      </c>
      <c r="D83" s="173" t="s">
        <v>361</v>
      </c>
      <c r="E83" s="173" t="s">
        <v>216</v>
      </c>
      <c r="F83" s="173" t="s">
        <v>278</v>
      </c>
      <c r="G83" s="173" t="s">
        <v>216</v>
      </c>
      <c r="H83" s="174">
        <v>1</v>
      </c>
      <c r="I83" s="175" t="s">
        <v>362</v>
      </c>
      <c r="J83" s="245" t="s">
        <v>198</v>
      </c>
      <c r="K83" s="176">
        <f t="shared" ref="K83:AB83" si="81">SUMIF($A$109:$A$120,"ИТОГ ОСНОВНОЙ",K$109:K$120)</f>
        <v>49</v>
      </c>
      <c r="L83" s="177">
        <f t="shared" si="81"/>
        <v>8000</v>
      </c>
      <c r="M83" s="177">
        <f t="shared" si="81"/>
        <v>0</v>
      </c>
      <c r="N83" s="177">
        <f t="shared" si="81"/>
        <v>0</v>
      </c>
      <c r="O83" s="177">
        <f t="shared" si="81"/>
        <v>0</v>
      </c>
      <c r="P83" s="177">
        <f t="shared" si="81"/>
        <v>0</v>
      </c>
      <c r="Q83" s="177">
        <f t="shared" si="81"/>
        <v>0</v>
      </c>
      <c r="R83" s="177">
        <f t="shared" si="81"/>
        <v>0</v>
      </c>
      <c r="S83" s="177">
        <f t="shared" si="81"/>
        <v>0</v>
      </c>
      <c r="T83" s="177">
        <f t="shared" si="81"/>
        <v>0</v>
      </c>
      <c r="U83" s="177">
        <f t="shared" si="81"/>
        <v>0</v>
      </c>
      <c r="V83" s="177">
        <f t="shared" si="81"/>
        <v>0</v>
      </c>
      <c r="W83" s="177">
        <f t="shared" si="81"/>
        <v>0</v>
      </c>
      <c r="X83" s="177">
        <f t="shared" si="81"/>
        <v>0</v>
      </c>
      <c r="Y83" s="177">
        <f t="shared" si="81"/>
        <v>0</v>
      </c>
      <c r="Z83" s="177">
        <f t="shared" si="81"/>
        <v>0</v>
      </c>
      <c r="AA83" s="177">
        <f t="shared" si="81"/>
        <v>0</v>
      </c>
      <c r="AB83" s="177">
        <f t="shared" si="81"/>
        <v>0</v>
      </c>
    </row>
    <row r="84" spans="1:28" s="247" customFormat="1" ht="18.75" customHeight="1" x14ac:dyDescent="0.25">
      <c r="A84" s="131" t="s">
        <v>205</v>
      </c>
      <c r="B84" s="131" t="s">
        <v>205</v>
      </c>
      <c r="C84" s="131" t="s">
        <v>205</v>
      </c>
      <c r="D84" s="131" t="s">
        <v>205</v>
      </c>
      <c r="E84" s="131" t="s">
        <v>205</v>
      </c>
      <c r="F84" s="131" t="s">
        <v>205</v>
      </c>
      <c r="G84" s="131" t="s">
        <v>205</v>
      </c>
      <c r="H84" s="119" t="s">
        <v>205</v>
      </c>
      <c r="I84" s="132" t="s">
        <v>205</v>
      </c>
      <c r="J84" s="132" t="s">
        <v>205</v>
      </c>
      <c r="K84" s="246">
        <f>K83-SUM(K85,K86,K87,K88)</f>
        <v>0</v>
      </c>
      <c r="L84" s="133">
        <f>L83-SUM(L85,L86,L87,L88)</f>
        <v>0</v>
      </c>
      <c r="M84" s="128">
        <f>M83-SUM(M85,M86,M87,M88)</f>
        <v>0</v>
      </c>
      <c r="N84" s="128">
        <f t="shared" ref="N84:T84" si="82">N83-SUM(N85,N86,N87,N88)</f>
        <v>0</v>
      </c>
      <c r="O84" s="128">
        <f t="shared" si="82"/>
        <v>0</v>
      </c>
      <c r="P84" s="128">
        <f>P83-SUM(P85,P86,P87,P88)</f>
        <v>0</v>
      </c>
      <c r="Q84" s="128">
        <f>Q83-SUM(Q85,Q86,Q87,Q88)</f>
        <v>0</v>
      </c>
      <c r="R84" s="128">
        <f>R83-SUM(R85,R86,R87,R88)</f>
        <v>0</v>
      </c>
      <c r="S84" s="128">
        <f>S83-SUM(S85,S86,S87,S88)</f>
        <v>0</v>
      </c>
      <c r="T84" s="128">
        <f t="shared" si="82"/>
        <v>0</v>
      </c>
      <c r="U84" s="128">
        <f t="shared" ref="U84:AB84" si="83">U83-SUM(U85,U86,U87,U88)</f>
        <v>0</v>
      </c>
      <c r="V84" s="128">
        <f t="shared" si="83"/>
        <v>0</v>
      </c>
      <c r="W84" s="128">
        <f t="shared" si="83"/>
        <v>0</v>
      </c>
      <c r="X84" s="128">
        <f t="shared" si="83"/>
        <v>0</v>
      </c>
      <c r="Y84" s="128">
        <f t="shared" si="83"/>
        <v>0</v>
      </c>
      <c r="Z84" s="133">
        <f t="shared" si="83"/>
        <v>0</v>
      </c>
      <c r="AA84" s="133">
        <f t="shared" si="83"/>
        <v>0</v>
      </c>
      <c r="AB84" s="128">
        <f t="shared" si="83"/>
        <v>0</v>
      </c>
    </row>
    <row r="85" spans="1:28" s="253" customFormat="1" ht="38.25" customHeight="1" x14ac:dyDescent="0.25">
      <c r="A85" s="248"/>
      <c r="B85" s="248"/>
      <c r="C85" s="249" t="s">
        <v>284</v>
      </c>
      <c r="D85" s="249" t="s">
        <v>361</v>
      </c>
      <c r="E85" s="248"/>
      <c r="F85" s="249" t="s">
        <v>205</v>
      </c>
      <c r="G85" s="249" t="s">
        <v>216</v>
      </c>
      <c r="H85" s="250" t="s">
        <v>244</v>
      </c>
      <c r="I85" s="248" t="s">
        <v>282</v>
      </c>
      <c r="J85" s="251" t="s">
        <v>361</v>
      </c>
      <c r="K85" s="252">
        <f t="shared" ref="K85:AB85" si="84">SUMIFS(K$109:K$120,$C$109:$C$120,"ЗЕРКАЛО")</f>
        <v>49</v>
      </c>
      <c r="L85" s="248">
        <f t="shared" si="84"/>
        <v>8000</v>
      </c>
      <c r="M85" s="248">
        <f t="shared" si="84"/>
        <v>0</v>
      </c>
      <c r="N85" s="248">
        <f t="shared" si="84"/>
        <v>0</v>
      </c>
      <c r="O85" s="248">
        <f t="shared" si="84"/>
        <v>0</v>
      </c>
      <c r="P85" s="248">
        <f t="shared" si="84"/>
        <v>0</v>
      </c>
      <c r="Q85" s="248">
        <f t="shared" si="84"/>
        <v>0</v>
      </c>
      <c r="R85" s="248">
        <f t="shared" si="84"/>
        <v>0</v>
      </c>
      <c r="S85" s="248">
        <f t="shared" si="84"/>
        <v>0</v>
      </c>
      <c r="T85" s="248">
        <f t="shared" si="84"/>
        <v>0</v>
      </c>
      <c r="U85" s="248">
        <f t="shared" si="84"/>
        <v>0</v>
      </c>
      <c r="V85" s="248">
        <f t="shared" si="84"/>
        <v>0</v>
      </c>
      <c r="W85" s="248">
        <f t="shared" si="84"/>
        <v>0</v>
      </c>
      <c r="X85" s="248">
        <f t="shared" si="84"/>
        <v>0</v>
      </c>
      <c r="Y85" s="248">
        <f t="shared" si="84"/>
        <v>0</v>
      </c>
      <c r="Z85" s="248">
        <f t="shared" si="84"/>
        <v>0</v>
      </c>
      <c r="AA85" s="248">
        <f t="shared" si="84"/>
        <v>0</v>
      </c>
      <c r="AB85" s="248">
        <f t="shared" si="84"/>
        <v>0</v>
      </c>
    </row>
    <row r="86" spans="1:28" s="253" customFormat="1" ht="38.25" customHeight="1" x14ac:dyDescent="0.25">
      <c r="A86" s="248"/>
      <c r="B86" s="248"/>
      <c r="C86" s="249" t="s">
        <v>288</v>
      </c>
      <c r="D86" s="249" t="s">
        <v>361</v>
      </c>
      <c r="E86" s="248"/>
      <c r="F86" s="249" t="s">
        <v>205</v>
      </c>
      <c r="G86" s="249" t="s">
        <v>216</v>
      </c>
      <c r="H86" s="250" t="s">
        <v>244</v>
      </c>
      <c r="I86" s="248" t="s">
        <v>286</v>
      </c>
      <c r="J86" s="251" t="s">
        <v>361</v>
      </c>
      <c r="K86" s="252">
        <f t="shared" ref="K86:AB86" si="85">SUMIFS(K$109:K$120,$C$109:$C$120,"ЮРМАЛА")</f>
        <v>0</v>
      </c>
      <c r="L86" s="248">
        <f t="shared" si="85"/>
        <v>0</v>
      </c>
      <c r="M86" s="248">
        <f t="shared" si="85"/>
        <v>0</v>
      </c>
      <c r="N86" s="248">
        <f t="shared" si="85"/>
        <v>0</v>
      </c>
      <c r="O86" s="248">
        <f t="shared" si="85"/>
        <v>0</v>
      </c>
      <c r="P86" s="248">
        <f t="shared" si="85"/>
        <v>0</v>
      </c>
      <c r="Q86" s="248">
        <f t="shared" si="85"/>
        <v>0</v>
      </c>
      <c r="R86" s="248">
        <f t="shared" si="85"/>
        <v>0</v>
      </c>
      <c r="S86" s="248">
        <f t="shared" si="85"/>
        <v>0</v>
      </c>
      <c r="T86" s="248">
        <f t="shared" si="85"/>
        <v>0</v>
      </c>
      <c r="U86" s="248">
        <f t="shared" si="85"/>
        <v>0</v>
      </c>
      <c r="V86" s="248">
        <f t="shared" si="85"/>
        <v>0</v>
      </c>
      <c r="W86" s="248">
        <f t="shared" si="85"/>
        <v>0</v>
      </c>
      <c r="X86" s="248">
        <f t="shared" si="85"/>
        <v>0</v>
      </c>
      <c r="Y86" s="248">
        <f t="shared" si="85"/>
        <v>0</v>
      </c>
      <c r="Z86" s="248">
        <f t="shared" si="85"/>
        <v>0</v>
      </c>
      <c r="AA86" s="248">
        <f t="shared" si="85"/>
        <v>0</v>
      </c>
      <c r="AB86" s="248">
        <f t="shared" si="85"/>
        <v>0</v>
      </c>
    </row>
    <row r="87" spans="1:28" s="253" customFormat="1" ht="38.25" customHeight="1" x14ac:dyDescent="0.25">
      <c r="A87" s="248"/>
      <c r="B87" s="248"/>
      <c r="C87" s="249" t="s">
        <v>292</v>
      </c>
      <c r="D87" s="249" t="s">
        <v>361</v>
      </c>
      <c r="E87" s="248"/>
      <c r="F87" s="249" t="s">
        <v>205</v>
      </c>
      <c r="G87" s="249" t="s">
        <v>216</v>
      </c>
      <c r="H87" s="250" t="s">
        <v>244</v>
      </c>
      <c r="I87" s="248" t="s">
        <v>290</v>
      </c>
      <c r="J87" s="251" t="s">
        <v>361</v>
      </c>
      <c r="K87" s="252">
        <f t="shared" ref="K87:AB87" si="86">SUMIFS(K$109:K$120,$C$109:$C$120,"ЦЕМЕНТОВОЗ")</f>
        <v>0</v>
      </c>
      <c r="L87" s="248">
        <f t="shared" si="86"/>
        <v>0</v>
      </c>
      <c r="M87" s="248">
        <f t="shared" si="86"/>
        <v>0</v>
      </c>
      <c r="N87" s="248">
        <f t="shared" si="86"/>
        <v>0</v>
      </c>
      <c r="O87" s="248">
        <f t="shared" si="86"/>
        <v>0</v>
      </c>
      <c r="P87" s="248">
        <f t="shared" si="86"/>
        <v>0</v>
      </c>
      <c r="Q87" s="248">
        <f t="shared" si="86"/>
        <v>0</v>
      </c>
      <c r="R87" s="248">
        <f t="shared" si="86"/>
        <v>0</v>
      </c>
      <c r="S87" s="248">
        <f t="shared" si="86"/>
        <v>0</v>
      </c>
      <c r="T87" s="248">
        <f t="shared" si="86"/>
        <v>0</v>
      </c>
      <c r="U87" s="248">
        <f t="shared" si="86"/>
        <v>0</v>
      </c>
      <c r="V87" s="248">
        <f t="shared" si="86"/>
        <v>0</v>
      </c>
      <c r="W87" s="248">
        <f t="shared" si="86"/>
        <v>0</v>
      </c>
      <c r="X87" s="248">
        <f t="shared" si="86"/>
        <v>0</v>
      </c>
      <c r="Y87" s="248">
        <f t="shared" si="86"/>
        <v>0</v>
      </c>
      <c r="Z87" s="248">
        <f t="shared" si="86"/>
        <v>0</v>
      </c>
      <c r="AA87" s="248">
        <f t="shared" si="86"/>
        <v>0</v>
      </c>
      <c r="AB87" s="248">
        <f t="shared" si="86"/>
        <v>0</v>
      </c>
    </row>
    <row r="88" spans="1:28" s="253" customFormat="1" ht="38.25" customHeight="1" x14ac:dyDescent="0.25">
      <c r="A88" s="248"/>
      <c r="B88" s="248"/>
      <c r="C88" s="249" t="s">
        <v>306</v>
      </c>
      <c r="D88" s="249" t="s">
        <v>361</v>
      </c>
      <c r="E88" s="248"/>
      <c r="F88" s="249" t="s">
        <v>205</v>
      </c>
      <c r="G88" s="249" t="s">
        <v>216</v>
      </c>
      <c r="H88" s="250" t="s">
        <v>244</v>
      </c>
      <c r="I88" s="248" t="s">
        <v>303</v>
      </c>
      <c r="J88" s="251" t="s">
        <v>361</v>
      </c>
      <c r="K88" s="252">
        <f t="shared" ref="K88:AB88" si="87">SUMIFS(K$109:K$120,$C$109:$C$120,"ВОСЕМЬ")</f>
        <v>0</v>
      </c>
      <c r="L88" s="248">
        <f t="shared" si="87"/>
        <v>0</v>
      </c>
      <c r="M88" s="248">
        <f t="shared" si="87"/>
        <v>0</v>
      </c>
      <c r="N88" s="248">
        <f t="shared" si="87"/>
        <v>0</v>
      </c>
      <c r="O88" s="248">
        <f t="shared" si="87"/>
        <v>0</v>
      </c>
      <c r="P88" s="248">
        <f t="shared" si="87"/>
        <v>0</v>
      </c>
      <c r="Q88" s="248">
        <f t="shared" si="87"/>
        <v>0</v>
      </c>
      <c r="R88" s="248">
        <f t="shared" si="87"/>
        <v>0</v>
      </c>
      <c r="S88" s="248">
        <f t="shared" si="87"/>
        <v>0</v>
      </c>
      <c r="T88" s="248">
        <f t="shared" si="87"/>
        <v>0</v>
      </c>
      <c r="U88" s="248">
        <f t="shared" si="87"/>
        <v>0</v>
      </c>
      <c r="V88" s="248">
        <f t="shared" si="87"/>
        <v>0</v>
      </c>
      <c r="W88" s="248">
        <f t="shared" si="87"/>
        <v>0</v>
      </c>
      <c r="X88" s="248">
        <f t="shared" si="87"/>
        <v>0</v>
      </c>
      <c r="Y88" s="248">
        <f t="shared" si="87"/>
        <v>0</v>
      </c>
      <c r="Z88" s="248">
        <f t="shared" si="87"/>
        <v>0</v>
      </c>
      <c r="AA88" s="248">
        <f t="shared" si="87"/>
        <v>0</v>
      </c>
      <c r="AB88" s="248">
        <f t="shared" si="87"/>
        <v>0</v>
      </c>
    </row>
    <row r="89" spans="1:28" s="247" customFormat="1" ht="20.25" customHeight="1" x14ac:dyDescent="0.25">
      <c r="A89" s="131" t="s">
        <v>205</v>
      </c>
      <c r="B89" s="131" t="s">
        <v>205</v>
      </c>
      <c r="C89" s="131" t="s">
        <v>205</v>
      </c>
      <c r="D89" s="131" t="s">
        <v>205</v>
      </c>
      <c r="E89" s="131" t="s">
        <v>205</v>
      </c>
      <c r="F89" s="131" t="s">
        <v>205</v>
      </c>
      <c r="G89" s="131" t="s">
        <v>205</v>
      </c>
      <c r="H89" s="119" t="s">
        <v>205</v>
      </c>
      <c r="I89" s="132" t="s">
        <v>205</v>
      </c>
      <c r="J89" s="132" t="s">
        <v>205</v>
      </c>
      <c r="K89" s="246">
        <f>K83-SUM(K90,K91,K92,K93,K94,K95,K96,K97,K98,K99)</f>
        <v>0</v>
      </c>
      <c r="L89" s="133">
        <f>L83-SUM(L90,L91,L92,L93,L94,L95,L96,L97,L98,L99)</f>
        <v>0</v>
      </c>
      <c r="M89" s="128">
        <f>M83-SUM(M90,M91,M92,M93,M94,M95,M96,M97,M98,M99)</f>
        <v>0</v>
      </c>
      <c r="N89" s="128">
        <f t="shared" ref="N89:T89" si="88">N83-SUM(N90,N91,N92,N93,N94,N95,N96,N97,N98,N99)</f>
        <v>0</v>
      </c>
      <c r="O89" s="128">
        <f t="shared" si="88"/>
        <v>0</v>
      </c>
      <c r="P89" s="128">
        <f>P83-SUM(P90,P91,P92,P93,P94,P95,P96,P97,P98,P99)</f>
        <v>0</v>
      </c>
      <c r="Q89" s="128">
        <f>Q83-SUM(Q90,Q91,Q92,Q93,Q94,Q95,Q96,Q97,Q98,Q99)</f>
        <v>0</v>
      </c>
      <c r="R89" s="128">
        <f>R83-SUM(R90,R91,R92,R93,R94,R95,R96,R97,R98,R99)</f>
        <v>0</v>
      </c>
      <c r="S89" s="128">
        <f>S83-SUM(S90,S91,S92,S93,S94,S95,S96,S97,S98,S99)</f>
        <v>0</v>
      </c>
      <c r="T89" s="128">
        <f t="shared" si="88"/>
        <v>0</v>
      </c>
      <c r="U89" s="128">
        <f t="shared" ref="U89:AB89" si="89">U83-SUM(U90,U91,U92,U93,U94,U95,U96,U97,U98,U99)</f>
        <v>0</v>
      </c>
      <c r="V89" s="128">
        <f t="shared" si="89"/>
        <v>0</v>
      </c>
      <c r="W89" s="128">
        <f t="shared" si="89"/>
        <v>0</v>
      </c>
      <c r="X89" s="128">
        <f t="shared" si="89"/>
        <v>0</v>
      </c>
      <c r="Y89" s="128">
        <f t="shared" si="89"/>
        <v>0</v>
      </c>
      <c r="Z89" s="133">
        <f t="shared" si="89"/>
        <v>0</v>
      </c>
      <c r="AA89" s="133">
        <f t="shared" si="89"/>
        <v>0</v>
      </c>
      <c r="AB89" s="128">
        <f t="shared" si="89"/>
        <v>0</v>
      </c>
    </row>
    <row r="90" spans="1:28" s="253" customFormat="1" ht="38.25" customHeight="1" x14ac:dyDescent="0.25">
      <c r="A90" s="248" t="s">
        <v>400</v>
      </c>
      <c r="B90" s="248"/>
      <c r="C90" s="249"/>
      <c r="D90" s="249" t="s">
        <v>361</v>
      </c>
      <c r="E90" s="248"/>
      <c r="F90" s="249" t="s">
        <v>205</v>
      </c>
      <c r="G90" s="239" t="s">
        <v>310</v>
      </c>
      <c r="H90" s="250" t="s">
        <v>244</v>
      </c>
      <c r="I90" s="248" t="s">
        <v>307</v>
      </c>
      <c r="J90" s="251" t="s">
        <v>361</v>
      </c>
      <c r="K90" s="252">
        <f t="shared" ref="K90:AB90" si="90">SUMIFS(K$109:K$120,$G$109:$G$120,"ТУФЛИ")</f>
        <v>29</v>
      </c>
      <c r="L90" s="248">
        <f t="shared" si="90"/>
        <v>6000</v>
      </c>
      <c r="M90" s="248">
        <f t="shared" si="90"/>
        <v>0</v>
      </c>
      <c r="N90" s="248">
        <f t="shared" si="90"/>
        <v>0</v>
      </c>
      <c r="O90" s="248">
        <f t="shared" si="90"/>
        <v>0</v>
      </c>
      <c r="P90" s="248">
        <f t="shared" si="90"/>
        <v>0</v>
      </c>
      <c r="Q90" s="248">
        <f t="shared" si="90"/>
        <v>0</v>
      </c>
      <c r="R90" s="248">
        <f t="shared" si="90"/>
        <v>0</v>
      </c>
      <c r="S90" s="248">
        <f t="shared" si="90"/>
        <v>0</v>
      </c>
      <c r="T90" s="248">
        <f t="shared" si="90"/>
        <v>0</v>
      </c>
      <c r="U90" s="248">
        <f t="shared" si="90"/>
        <v>0</v>
      </c>
      <c r="V90" s="248">
        <f t="shared" si="90"/>
        <v>0</v>
      </c>
      <c r="W90" s="248">
        <f t="shared" si="90"/>
        <v>0</v>
      </c>
      <c r="X90" s="248">
        <f t="shared" si="90"/>
        <v>0</v>
      </c>
      <c r="Y90" s="248">
        <f t="shared" si="90"/>
        <v>0</v>
      </c>
      <c r="Z90" s="254">
        <f t="shared" si="90"/>
        <v>0</v>
      </c>
      <c r="AA90" s="254">
        <f t="shared" si="90"/>
        <v>0</v>
      </c>
      <c r="AB90" s="248">
        <f t="shared" si="90"/>
        <v>0</v>
      </c>
    </row>
    <row r="91" spans="1:28" s="253" customFormat="1" ht="38.25" customHeight="1" x14ac:dyDescent="0.25">
      <c r="A91" s="248" t="s">
        <v>400</v>
      </c>
      <c r="B91" s="248"/>
      <c r="C91" s="248"/>
      <c r="D91" s="249" t="s">
        <v>361</v>
      </c>
      <c r="E91" s="248"/>
      <c r="F91" s="249" t="s">
        <v>205</v>
      </c>
      <c r="G91" s="239" t="s">
        <v>323</v>
      </c>
      <c r="H91" s="250" t="s">
        <v>244</v>
      </c>
      <c r="I91" s="248" t="s">
        <v>311</v>
      </c>
      <c r="J91" s="251" t="s">
        <v>361</v>
      </c>
      <c r="K91" s="252">
        <f t="shared" ref="K91:AB91" si="91">SUMIFS(K$109:K$120,$G$109:$G$120,"РЕТРО ЗЕРКАЛО")</f>
        <v>0</v>
      </c>
      <c r="L91" s="248">
        <f t="shared" si="91"/>
        <v>0</v>
      </c>
      <c r="M91" s="248">
        <f t="shared" si="91"/>
        <v>0</v>
      </c>
      <c r="N91" s="248">
        <f t="shared" si="91"/>
        <v>0</v>
      </c>
      <c r="O91" s="248">
        <f t="shared" si="91"/>
        <v>0</v>
      </c>
      <c r="P91" s="248">
        <f t="shared" si="91"/>
        <v>0</v>
      </c>
      <c r="Q91" s="248">
        <f t="shared" si="91"/>
        <v>0</v>
      </c>
      <c r="R91" s="248">
        <f t="shared" si="91"/>
        <v>0</v>
      </c>
      <c r="S91" s="248">
        <f t="shared" si="91"/>
        <v>0</v>
      </c>
      <c r="T91" s="248">
        <f t="shared" si="91"/>
        <v>0</v>
      </c>
      <c r="U91" s="248">
        <f t="shared" si="91"/>
        <v>0</v>
      </c>
      <c r="V91" s="248">
        <f t="shared" si="91"/>
        <v>0</v>
      </c>
      <c r="W91" s="248">
        <f t="shared" si="91"/>
        <v>0</v>
      </c>
      <c r="X91" s="248">
        <f t="shared" si="91"/>
        <v>0</v>
      </c>
      <c r="Y91" s="248">
        <f t="shared" si="91"/>
        <v>0</v>
      </c>
      <c r="Z91" s="254">
        <f t="shared" si="91"/>
        <v>0</v>
      </c>
      <c r="AA91" s="254">
        <f t="shared" si="91"/>
        <v>0</v>
      </c>
      <c r="AB91" s="248">
        <f t="shared" si="91"/>
        <v>0</v>
      </c>
    </row>
    <row r="92" spans="1:28" s="253" customFormat="1" ht="38.25" customHeight="1" x14ac:dyDescent="0.25">
      <c r="A92" s="248" t="s">
        <v>400</v>
      </c>
      <c r="B92" s="248"/>
      <c r="C92" s="248"/>
      <c r="D92" s="249" t="s">
        <v>361</v>
      </c>
      <c r="E92" s="248"/>
      <c r="F92" s="249" t="s">
        <v>205</v>
      </c>
      <c r="G92" s="239" t="s">
        <v>324</v>
      </c>
      <c r="H92" s="250" t="s">
        <v>244</v>
      </c>
      <c r="I92" s="248" t="s">
        <v>314</v>
      </c>
      <c r="J92" s="251" t="s">
        <v>361</v>
      </c>
      <c r="K92" s="252">
        <f t="shared" ref="K92:AB92" si="92">SUMIFS(K$109:K$120,$G$109:$G$120,"РЕТРО ЦЕМЕНТОВОЗ")</f>
        <v>0</v>
      </c>
      <c r="L92" s="248">
        <f t="shared" si="92"/>
        <v>0</v>
      </c>
      <c r="M92" s="248">
        <f t="shared" si="92"/>
        <v>0</v>
      </c>
      <c r="N92" s="248">
        <f t="shared" si="92"/>
        <v>0</v>
      </c>
      <c r="O92" s="248">
        <f t="shared" si="92"/>
        <v>0</v>
      </c>
      <c r="P92" s="248">
        <f t="shared" si="92"/>
        <v>0</v>
      </c>
      <c r="Q92" s="248">
        <f t="shared" si="92"/>
        <v>0</v>
      </c>
      <c r="R92" s="248">
        <f t="shared" si="92"/>
        <v>0</v>
      </c>
      <c r="S92" s="248">
        <f t="shared" si="92"/>
        <v>0</v>
      </c>
      <c r="T92" s="248">
        <f t="shared" si="92"/>
        <v>0</v>
      </c>
      <c r="U92" s="248">
        <f t="shared" si="92"/>
        <v>0</v>
      </c>
      <c r="V92" s="248">
        <f t="shared" si="92"/>
        <v>0</v>
      </c>
      <c r="W92" s="248">
        <f t="shared" si="92"/>
        <v>0</v>
      </c>
      <c r="X92" s="248">
        <f t="shared" si="92"/>
        <v>0</v>
      </c>
      <c r="Y92" s="248">
        <f t="shared" si="92"/>
        <v>0</v>
      </c>
      <c r="Z92" s="254">
        <f t="shared" si="92"/>
        <v>0</v>
      </c>
      <c r="AA92" s="254">
        <f t="shared" si="92"/>
        <v>0</v>
      </c>
      <c r="AB92" s="248">
        <f t="shared" si="92"/>
        <v>0</v>
      </c>
    </row>
    <row r="93" spans="1:28" s="253" customFormat="1" ht="38.25" customHeight="1" x14ac:dyDescent="0.25">
      <c r="A93" s="248" t="s">
        <v>400</v>
      </c>
      <c r="B93" s="248"/>
      <c r="C93" s="248"/>
      <c r="D93" s="249" t="s">
        <v>361</v>
      </c>
      <c r="E93" s="248"/>
      <c r="F93" s="249" t="s">
        <v>205</v>
      </c>
      <c r="G93" s="239" t="s">
        <v>325</v>
      </c>
      <c r="H93" s="250" t="s">
        <v>244</v>
      </c>
      <c r="I93" s="248" t="s">
        <v>317</v>
      </c>
      <c r="J93" s="251" t="s">
        <v>361</v>
      </c>
      <c r="K93" s="252">
        <f t="shared" ref="K93:AB93" si="93">SUMIFS(K$109:K$120,$G$109:$G$120,"РЕТРО ВОСЕМЬ")</f>
        <v>20</v>
      </c>
      <c r="L93" s="248">
        <f t="shared" si="93"/>
        <v>2000</v>
      </c>
      <c r="M93" s="248">
        <f t="shared" si="93"/>
        <v>0</v>
      </c>
      <c r="N93" s="248">
        <f t="shared" si="93"/>
        <v>0</v>
      </c>
      <c r="O93" s="248">
        <f t="shared" si="93"/>
        <v>0</v>
      </c>
      <c r="P93" s="248">
        <f t="shared" si="93"/>
        <v>0</v>
      </c>
      <c r="Q93" s="248">
        <f t="shared" si="93"/>
        <v>0</v>
      </c>
      <c r="R93" s="248">
        <f t="shared" si="93"/>
        <v>0</v>
      </c>
      <c r="S93" s="248">
        <f t="shared" si="93"/>
        <v>0</v>
      </c>
      <c r="T93" s="248">
        <f t="shared" si="93"/>
        <v>0</v>
      </c>
      <c r="U93" s="248">
        <f t="shared" si="93"/>
        <v>0</v>
      </c>
      <c r="V93" s="248">
        <f t="shared" si="93"/>
        <v>0</v>
      </c>
      <c r="W93" s="248">
        <f t="shared" si="93"/>
        <v>0</v>
      </c>
      <c r="X93" s="248">
        <f t="shared" si="93"/>
        <v>0</v>
      </c>
      <c r="Y93" s="248">
        <f t="shared" si="93"/>
        <v>0</v>
      </c>
      <c r="Z93" s="254">
        <f t="shared" si="93"/>
        <v>0</v>
      </c>
      <c r="AA93" s="254">
        <f t="shared" si="93"/>
        <v>0</v>
      </c>
      <c r="AB93" s="248">
        <f t="shared" si="93"/>
        <v>0</v>
      </c>
    </row>
    <row r="94" spans="1:28" s="253" customFormat="1" ht="38.25" customHeight="1" x14ac:dyDescent="0.25">
      <c r="A94" s="248" t="s">
        <v>400</v>
      </c>
      <c r="B94" s="248"/>
      <c r="C94" s="248"/>
      <c r="D94" s="249" t="s">
        <v>361</v>
      </c>
      <c r="E94" s="248"/>
      <c r="F94" s="249" t="s">
        <v>205</v>
      </c>
      <c r="G94" s="239" t="s">
        <v>326</v>
      </c>
      <c r="H94" s="250" t="s">
        <v>244</v>
      </c>
      <c r="I94" s="248" t="s">
        <v>320</v>
      </c>
      <c r="J94" s="251" t="s">
        <v>361</v>
      </c>
      <c r="K94" s="252">
        <f t="shared" ref="K94:AB94" si="94">SUMIFS(K$109:K$120,$G$109:$G$120,"РЕТРО ЮРМАЛА")</f>
        <v>0</v>
      </c>
      <c r="L94" s="248">
        <f t="shared" si="94"/>
        <v>0</v>
      </c>
      <c r="M94" s="248">
        <f t="shared" si="94"/>
        <v>0</v>
      </c>
      <c r="N94" s="248">
        <f t="shared" si="94"/>
        <v>0</v>
      </c>
      <c r="O94" s="248">
        <f t="shared" si="94"/>
        <v>0</v>
      </c>
      <c r="P94" s="248">
        <f t="shared" si="94"/>
        <v>0</v>
      </c>
      <c r="Q94" s="248">
        <f t="shared" si="94"/>
        <v>0</v>
      </c>
      <c r="R94" s="248">
        <f t="shared" si="94"/>
        <v>0</v>
      </c>
      <c r="S94" s="248">
        <f t="shared" si="94"/>
        <v>0</v>
      </c>
      <c r="T94" s="248">
        <f t="shared" si="94"/>
        <v>0</v>
      </c>
      <c r="U94" s="248">
        <f t="shared" si="94"/>
        <v>0</v>
      </c>
      <c r="V94" s="248">
        <f t="shared" si="94"/>
        <v>0</v>
      </c>
      <c r="W94" s="248">
        <f t="shared" si="94"/>
        <v>0</v>
      </c>
      <c r="X94" s="248">
        <f t="shared" si="94"/>
        <v>0</v>
      </c>
      <c r="Y94" s="248">
        <f t="shared" si="94"/>
        <v>0</v>
      </c>
      <c r="Z94" s="254">
        <f t="shared" si="94"/>
        <v>0</v>
      </c>
      <c r="AA94" s="254">
        <f t="shared" si="94"/>
        <v>0</v>
      </c>
      <c r="AB94" s="248">
        <f t="shared" si="94"/>
        <v>0</v>
      </c>
    </row>
    <row r="95" spans="1:28" s="253" customFormat="1" ht="38.25" customHeight="1" x14ac:dyDescent="0.25">
      <c r="A95" s="248" t="s">
        <v>400</v>
      </c>
      <c r="B95" s="248"/>
      <c r="C95" s="248"/>
      <c r="D95" s="249" t="s">
        <v>361</v>
      </c>
      <c r="E95" s="248"/>
      <c r="F95" s="249" t="s">
        <v>205</v>
      </c>
      <c r="G95" s="239" t="s">
        <v>338</v>
      </c>
      <c r="H95" s="250" t="s">
        <v>244</v>
      </c>
      <c r="I95" s="248" t="s">
        <v>328</v>
      </c>
      <c r="J95" s="251" t="s">
        <v>361</v>
      </c>
      <c r="K95" s="252">
        <f t="shared" ref="K95:AB95" si="95">SUMIFS(K$109:K$120,$G$109:$G$120,"ОБРАЗ КВ РЕТРО ЗЕРКАЛО")</f>
        <v>0</v>
      </c>
      <c r="L95" s="248">
        <f t="shared" si="95"/>
        <v>0</v>
      </c>
      <c r="M95" s="248">
        <f t="shared" si="95"/>
        <v>0</v>
      </c>
      <c r="N95" s="248">
        <f t="shared" si="95"/>
        <v>0</v>
      </c>
      <c r="O95" s="248">
        <f t="shared" si="95"/>
        <v>0</v>
      </c>
      <c r="P95" s="248">
        <f t="shared" si="95"/>
        <v>0</v>
      </c>
      <c r="Q95" s="248">
        <f t="shared" si="95"/>
        <v>0</v>
      </c>
      <c r="R95" s="248">
        <f t="shared" si="95"/>
        <v>0</v>
      </c>
      <c r="S95" s="248">
        <f t="shared" si="95"/>
        <v>0</v>
      </c>
      <c r="T95" s="248">
        <f t="shared" si="95"/>
        <v>0</v>
      </c>
      <c r="U95" s="248">
        <f t="shared" si="95"/>
        <v>0</v>
      </c>
      <c r="V95" s="248">
        <f t="shared" si="95"/>
        <v>0</v>
      </c>
      <c r="W95" s="248">
        <f t="shared" si="95"/>
        <v>0</v>
      </c>
      <c r="X95" s="248">
        <f t="shared" si="95"/>
        <v>0</v>
      </c>
      <c r="Y95" s="248">
        <f t="shared" si="95"/>
        <v>0</v>
      </c>
      <c r="Z95" s="254">
        <f t="shared" si="95"/>
        <v>0</v>
      </c>
      <c r="AA95" s="254">
        <f t="shared" si="95"/>
        <v>0</v>
      </c>
      <c r="AB95" s="248">
        <f t="shared" si="95"/>
        <v>0</v>
      </c>
    </row>
    <row r="96" spans="1:28" s="253" customFormat="1" ht="38.25" customHeight="1" x14ac:dyDescent="0.25">
      <c r="A96" s="248" t="s">
        <v>400</v>
      </c>
      <c r="B96" s="248"/>
      <c r="C96" s="248"/>
      <c r="D96" s="249" t="s">
        <v>361</v>
      </c>
      <c r="E96" s="248"/>
      <c r="F96" s="249" t="s">
        <v>205</v>
      </c>
      <c r="G96" s="239" t="s">
        <v>339</v>
      </c>
      <c r="H96" s="250" t="s">
        <v>244</v>
      </c>
      <c r="I96" s="248" t="s">
        <v>331</v>
      </c>
      <c r="J96" s="251" t="s">
        <v>361</v>
      </c>
      <c r="K96" s="252">
        <f t="shared" ref="K96:AB96" si="96">SUMIFS(K$109:K$120,$G$109:$G$120,"ОБРАЗ г.Новороссийск РЕТРО ЮРМАЛА")</f>
        <v>0</v>
      </c>
      <c r="L96" s="248">
        <f t="shared" si="96"/>
        <v>0</v>
      </c>
      <c r="M96" s="248">
        <f t="shared" si="96"/>
        <v>0</v>
      </c>
      <c r="N96" s="248">
        <f t="shared" si="96"/>
        <v>0</v>
      </c>
      <c r="O96" s="248">
        <f t="shared" si="96"/>
        <v>0</v>
      </c>
      <c r="P96" s="248">
        <f t="shared" si="96"/>
        <v>0</v>
      </c>
      <c r="Q96" s="248">
        <f t="shared" si="96"/>
        <v>0</v>
      </c>
      <c r="R96" s="248">
        <f t="shared" si="96"/>
        <v>0</v>
      </c>
      <c r="S96" s="248">
        <f t="shared" si="96"/>
        <v>0</v>
      </c>
      <c r="T96" s="248">
        <f t="shared" si="96"/>
        <v>0</v>
      </c>
      <c r="U96" s="248">
        <f t="shared" si="96"/>
        <v>0</v>
      </c>
      <c r="V96" s="248">
        <f t="shared" si="96"/>
        <v>0</v>
      </c>
      <c r="W96" s="248">
        <f t="shared" si="96"/>
        <v>0</v>
      </c>
      <c r="X96" s="248">
        <f t="shared" si="96"/>
        <v>0</v>
      </c>
      <c r="Y96" s="248">
        <f t="shared" si="96"/>
        <v>0</v>
      </c>
      <c r="Z96" s="254">
        <f t="shared" si="96"/>
        <v>0</v>
      </c>
      <c r="AA96" s="254">
        <f t="shared" si="96"/>
        <v>0</v>
      </c>
      <c r="AB96" s="248">
        <f t="shared" si="96"/>
        <v>0</v>
      </c>
    </row>
    <row r="97" spans="1:28" s="253" customFormat="1" ht="38.25" customHeight="1" x14ac:dyDescent="0.25">
      <c r="A97" s="248" t="s">
        <v>400</v>
      </c>
      <c r="B97" s="248"/>
      <c r="C97" s="248"/>
      <c r="D97" s="249" t="s">
        <v>361</v>
      </c>
      <c r="E97" s="248"/>
      <c r="F97" s="249" t="s">
        <v>205</v>
      </c>
      <c r="G97" s="239" t="s">
        <v>391</v>
      </c>
      <c r="H97" s="250" t="s">
        <v>244</v>
      </c>
      <c r="I97" s="248" t="s">
        <v>392</v>
      </c>
      <c r="J97" s="251" t="s">
        <v>361</v>
      </c>
      <c r="K97" s="252">
        <f t="shared" ref="K97:AB97" si="97">SUMIFS(K$109:K$120,$G$109:$G$120,"ОБРАЗ г.Новосибирск РЕТРО ЦЕМЕНТОВОЗ")</f>
        <v>0</v>
      </c>
      <c r="L97" s="248">
        <f t="shared" si="97"/>
        <v>0</v>
      </c>
      <c r="M97" s="248">
        <f t="shared" si="97"/>
        <v>0</v>
      </c>
      <c r="N97" s="248">
        <f t="shared" si="97"/>
        <v>0</v>
      </c>
      <c r="O97" s="248">
        <f t="shared" si="97"/>
        <v>0</v>
      </c>
      <c r="P97" s="248">
        <f t="shared" si="97"/>
        <v>0</v>
      </c>
      <c r="Q97" s="248">
        <f t="shared" si="97"/>
        <v>0</v>
      </c>
      <c r="R97" s="248">
        <f t="shared" si="97"/>
        <v>0</v>
      </c>
      <c r="S97" s="248">
        <f t="shared" si="97"/>
        <v>0</v>
      </c>
      <c r="T97" s="248">
        <f t="shared" si="97"/>
        <v>0</v>
      </c>
      <c r="U97" s="248">
        <f t="shared" si="97"/>
        <v>0</v>
      </c>
      <c r="V97" s="248">
        <f t="shared" si="97"/>
        <v>0</v>
      </c>
      <c r="W97" s="248">
        <f t="shared" si="97"/>
        <v>0</v>
      </c>
      <c r="X97" s="248">
        <f t="shared" si="97"/>
        <v>0</v>
      </c>
      <c r="Y97" s="248">
        <f t="shared" si="97"/>
        <v>0</v>
      </c>
      <c r="Z97" s="254">
        <f t="shared" si="97"/>
        <v>0</v>
      </c>
      <c r="AA97" s="254">
        <f t="shared" si="97"/>
        <v>0</v>
      </c>
      <c r="AB97" s="248">
        <f t="shared" si="97"/>
        <v>0</v>
      </c>
    </row>
    <row r="98" spans="1:28" s="253" customFormat="1" ht="38.25" customHeight="1" x14ac:dyDescent="0.25">
      <c r="A98" s="248" t="s">
        <v>400</v>
      </c>
      <c r="B98" s="248"/>
      <c r="C98" s="248"/>
      <c r="D98" s="249" t="s">
        <v>361</v>
      </c>
      <c r="E98" s="248"/>
      <c r="F98" s="249" t="s">
        <v>205</v>
      </c>
      <c r="G98" s="239" t="s">
        <v>388</v>
      </c>
      <c r="H98" s="250" t="s">
        <v>244</v>
      </c>
      <c r="I98" s="248" t="s">
        <v>389</v>
      </c>
      <c r="J98" s="251" t="s">
        <v>361</v>
      </c>
      <c r="K98" s="252">
        <f t="shared" ref="K98:AB98" si="98">SUMIFS(K$109:K$120,$G$109:$G$120,"ОБРАЗ г.ТАТРА РЕТРО ЦЕМЕНТОВОЗ")</f>
        <v>0</v>
      </c>
      <c r="L98" s="248">
        <f t="shared" si="98"/>
        <v>0</v>
      </c>
      <c r="M98" s="248">
        <f t="shared" si="98"/>
        <v>0</v>
      </c>
      <c r="N98" s="248">
        <f t="shared" si="98"/>
        <v>0</v>
      </c>
      <c r="O98" s="248">
        <f t="shared" si="98"/>
        <v>0</v>
      </c>
      <c r="P98" s="248">
        <f t="shared" si="98"/>
        <v>0</v>
      </c>
      <c r="Q98" s="248">
        <f t="shared" si="98"/>
        <v>0</v>
      </c>
      <c r="R98" s="248">
        <f t="shared" si="98"/>
        <v>0</v>
      </c>
      <c r="S98" s="248">
        <f t="shared" si="98"/>
        <v>0</v>
      </c>
      <c r="T98" s="248">
        <f t="shared" si="98"/>
        <v>0</v>
      </c>
      <c r="U98" s="248">
        <f t="shared" si="98"/>
        <v>0</v>
      </c>
      <c r="V98" s="248">
        <f t="shared" si="98"/>
        <v>0</v>
      </c>
      <c r="W98" s="248">
        <f t="shared" si="98"/>
        <v>0</v>
      </c>
      <c r="X98" s="248">
        <f t="shared" si="98"/>
        <v>0</v>
      </c>
      <c r="Y98" s="248">
        <f t="shared" si="98"/>
        <v>0</v>
      </c>
      <c r="Z98" s="254">
        <f t="shared" si="98"/>
        <v>0</v>
      </c>
      <c r="AA98" s="254">
        <f t="shared" si="98"/>
        <v>0</v>
      </c>
      <c r="AB98" s="248">
        <f t="shared" si="98"/>
        <v>0</v>
      </c>
    </row>
    <row r="99" spans="1:28" s="253" customFormat="1" ht="38.25" customHeight="1" x14ac:dyDescent="0.25">
      <c r="A99" s="248" t="s">
        <v>400</v>
      </c>
      <c r="B99" s="248"/>
      <c r="C99" s="248"/>
      <c r="D99" s="249" t="s">
        <v>361</v>
      </c>
      <c r="E99" s="248"/>
      <c r="F99" s="249" t="s">
        <v>205</v>
      </c>
      <c r="G99" s="239" t="s">
        <v>397</v>
      </c>
      <c r="H99" s="250" t="s">
        <v>244</v>
      </c>
      <c r="I99" s="248" t="s">
        <v>393</v>
      </c>
      <c r="J99" s="251" t="s">
        <v>361</v>
      </c>
      <c r="K99" s="252">
        <f t="shared" ref="K99:AB99" si="99">SUMIFS(K$109:K$120,$G$109:$G$120,"ОБРАЗ ТУРТУФЛИ")</f>
        <v>0</v>
      </c>
      <c r="L99" s="248">
        <f t="shared" si="99"/>
        <v>0</v>
      </c>
      <c r="M99" s="248">
        <f t="shared" si="99"/>
        <v>0</v>
      </c>
      <c r="N99" s="248">
        <f t="shared" si="99"/>
        <v>0</v>
      </c>
      <c r="O99" s="248">
        <f t="shared" si="99"/>
        <v>0</v>
      </c>
      <c r="P99" s="248">
        <f t="shared" si="99"/>
        <v>0</v>
      </c>
      <c r="Q99" s="248">
        <f t="shared" si="99"/>
        <v>0</v>
      </c>
      <c r="R99" s="248">
        <f t="shared" si="99"/>
        <v>0</v>
      </c>
      <c r="S99" s="248">
        <f t="shared" si="99"/>
        <v>0</v>
      </c>
      <c r="T99" s="248">
        <f t="shared" si="99"/>
        <v>0</v>
      </c>
      <c r="U99" s="248">
        <f t="shared" si="99"/>
        <v>0</v>
      </c>
      <c r="V99" s="248">
        <f t="shared" si="99"/>
        <v>0</v>
      </c>
      <c r="W99" s="248">
        <f t="shared" si="99"/>
        <v>0</v>
      </c>
      <c r="X99" s="248">
        <f t="shared" si="99"/>
        <v>0</v>
      </c>
      <c r="Y99" s="248">
        <f t="shared" si="99"/>
        <v>0</v>
      </c>
      <c r="Z99" s="254">
        <f t="shared" si="99"/>
        <v>0</v>
      </c>
      <c r="AA99" s="254">
        <f t="shared" si="99"/>
        <v>0</v>
      </c>
      <c r="AB99" s="248">
        <f t="shared" si="99"/>
        <v>0</v>
      </c>
    </row>
    <row r="100" spans="1:28" s="247" customFormat="1" ht="20.25" customHeight="1" x14ac:dyDescent="0.25">
      <c r="A100" s="131" t="s">
        <v>205</v>
      </c>
      <c r="B100" s="131" t="s">
        <v>205</v>
      </c>
      <c r="C100" s="131" t="s">
        <v>205</v>
      </c>
      <c r="D100" s="131" t="s">
        <v>205</v>
      </c>
      <c r="E100" s="131" t="s">
        <v>205</v>
      </c>
      <c r="F100" s="131" t="s">
        <v>205</v>
      </c>
      <c r="G100" s="131" t="s">
        <v>205</v>
      </c>
      <c r="H100" s="119" t="s">
        <v>205</v>
      </c>
      <c r="I100" s="132" t="s">
        <v>205</v>
      </c>
      <c r="J100" s="132" t="s">
        <v>205</v>
      </c>
      <c r="K100" s="246">
        <f>K83-SUM(K101:K108)</f>
        <v>0</v>
      </c>
      <c r="L100" s="133">
        <f>L83-SUM(L101:L108)</f>
        <v>0</v>
      </c>
      <c r="M100" s="128">
        <f>M83-SUM(M101:M108)</f>
        <v>0</v>
      </c>
      <c r="N100" s="128">
        <f t="shared" ref="N100:T100" si="100">N83-SUM(N101:N108)</f>
        <v>0</v>
      </c>
      <c r="O100" s="128">
        <f t="shared" si="100"/>
        <v>0</v>
      </c>
      <c r="P100" s="128">
        <f>P83-SUM(P101:P108)</f>
        <v>0</v>
      </c>
      <c r="Q100" s="128">
        <f>Q83-SUM(Q101:Q108)</f>
        <v>0</v>
      </c>
      <c r="R100" s="128">
        <f>R83-SUM(R101:R108)</f>
        <v>0</v>
      </c>
      <c r="S100" s="128">
        <f>S83-SUM(S101:S108)</f>
        <v>0</v>
      </c>
      <c r="T100" s="128">
        <f t="shared" si="100"/>
        <v>0</v>
      </c>
      <c r="U100" s="128">
        <f t="shared" ref="U100:AB100" si="101">U83-SUM(U101:U108)</f>
        <v>0</v>
      </c>
      <c r="V100" s="128">
        <f t="shared" si="101"/>
        <v>0</v>
      </c>
      <c r="W100" s="128">
        <f t="shared" si="101"/>
        <v>0</v>
      </c>
      <c r="X100" s="128">
        <f t="shared" si="101"/>
        <v>0</v>
      </c>
      <c r="Y100" s="128">
        <f t="shared" si="101"/>
        <v>0</v>
      </c>
      <c r="Z100" s="133">
        <f t="shared" si="101"/>
        <v>0</v>
      </c>
      <c r="AA100" s="133">
        <f t="shared" si="101"/>
        <v>0</v>
      </c>
      <c r="AB100" s="128">
        <f t="shared" si="101"/>
        <v>0</v>
      </c>
    </row>
    <row r="101" spans="1:28" s="258" customFormat="1" ht="50.1" customHeight="1" x14ac:dyDescent="0.25">
      <c r="A101" s="124" t="s">
        <v>245</v>
      </c>
      <c r="B101" s="124" t="s">
        <v>348</v>
      </c>
      <c r="C101" s="124" t="s">
        <v>216</v>
      </c>
      <c r="D101" s="124" t="s">
        <v>361</v>
      </c>
      <c r="E101" s="124" t="s">
        <v>216</v>
      </c>
      <c r="F101" s="124" t="s">
        <v>278</v>
      </c>
      <c r="G101" s="124" t="s">
        <v>216</v>
      </c>
      <c r="H101" s="125" t="s">
        <v>244</v>
      </c>
      <c r="I101" s="255" t="s">
        <v>349</v>
      </c>
      <c r="J101" s="255" t="s">
        <v>361</v>
      </c>
      <c r="K101" s="256">
        <f t="shared" ref="K101:AB101" si="102">SUMIFS(K$109:K$120,$B$109:$B$120,"ЦЕНТР")</f>
        <v>49</v>
      </c>
      <c r="L101" s="257">
        <f t="shared" si="102"/>
        <v>8000</v>
      </c>
      <c r="M101" s="257">
        <f t="shared" si="102"/>
        <v>0</v>
      </c>
      <c r="N101" s="257">
        <f t="shared" si="102"/>
        <v>0</v>
      </c>
      <c r="O101" s="257">
        <f t="shared" si="102"/>
        <v>0</v>
      </c>
      <c r="P101" s="257">
        <f t="shared" si="102"/>
        <v>0</v>
      </c>
      <c r="Q101" s="257">
        <f t="shared" si="102"/>
        <v>0</v>
      </c>
      <c r="R101" s="257">
        <f t="shared" si="102"/>
        <v>0</v>
      </c>
      <c r="S101" s="257">
        <f t="shared" si="102"/>
        <v>0</v>
      </c>
      <c r="T101" s="257">
        <f t="shared" si="102"/>
        <v>0</v>
      </c>
      <c r="U101" s="257">
        <f t="shared" si="102"/>
        <v>0</v>
      </c>
      <c r="V101" s="257">
        <f t="shared" si="102"/>
        <v>0</v>
      </c>
      <c r="W101" s="257">
        <f t="shared" si="102"/>
        <v>0</v>
      </c>
      <c r="X101" s="257">
        <f t="shared" si="102"/>
        <v>0</v>
      </c>
      <c r="Y101" s="257">
        <f t="shared" si="102"/>
        <v>0</v>
      </c>
      <c r="Z101" s="257">
        <f t="shared" si="102"/>
        <v>0</v>
      </c>
      <c r="AA101" s="257">
        <f t="shared" si="102"/>
        <v>0</v>
      </c>
      <c r="AB101" s="257">
        <f t="shared" si="102"/>
        <v>0</v>
      </c>
    </row>
    <row r="102" spans="1:28" s="258" customFormat="1" ht="50.1" customHeight="1" x14ac:dyDescent="0.25">
      <c r="A102" s="124" t="s">
        <v>245</v>
      </c>
      <c r="B102" s="124" t="s">
        <v>345</v>
      </c>
      <c r="C102" s="124" t="s">
        <v>216</v>
      </c>
      <c r="D102" s="124" t="s">
        <v>361</v>
      </c>
      <c r="E102" s="124" t="s">
        <v>216</v>
      </c>
      <c r="F102" s="124" t="s">
        <v>278</v>
      </c>
      <c r="G102" s="124" t="s">
        <v>216</v>
      </c>
      <c r="H102" s="125" t="s">
        <v>244</v>
      </c>
      <c r="I102" s="255" t="s">
        <v>380</v>
      </c>
      <c r="J102" s="255" t="s">
        <v>361</v>
      </c>
      <c r="K102" s="256">
        <f t="shared" ref="K102:AB102" si="103">SUMIFS(K$109:K$120,$B$109:$B$120,"СЕВЕР")</f>
        <v>0</v>
      </c>
      <c r="L102" s="257">
        <f t="shared" si="103"/>
        <v>0</v>
      </c>
      <c r="M102" s="257">
        <f t="shared" si="103"/>
        <v>0</v>
      </c>
      <c r="N102" s="257">
        <f t="shared" si="103"/>
        <v>0</v>
      </c>
      <c r="O102" s="257">
        <f t="shared" si="103"/>
        <v>0</v>
      </c>
      <c r="P102" s="257">
        <f t="shared" si="103"/>
        <v>0</v>
      </c>
      <c r="Q102" s="257">
        <f t="shared" si="103"/>
        <v>0</v>
      </c>
      <c r="R102" s="257">
        <f t="shared" si="103"/>
        <v>0</v>
      </c>
      <c r="S102" s="257">
        <f t="shared" si="103"/>
        <v>0</v>
      </c>
      <c r="T102" s="257">
        <f t="shared" si="103"/>
        <v>0</v>
      </c>
      <c r="U102" s="257">
        <f t="shared" si="103"/>
        <v>0</v>
      </c>
      <c r="V102" s="257">
        <f t="shared" si="103"/>
        <v>0</v>
      </c>
      <c r="W102" s="257">
        <f t="shared" si="103"/>
        <v>0</v>
      </c>
      <c r="X102" s="257">
        <f t="shared" si="103"/>
        <v>0</v>
      </c>
      <c r="Y102" s="257">
        <f t="shared" si="103"/>
        <v>0</v>
      </c>
      <c r="Z102" s="257">
        <f t="shared" si="103"/>
        <v>0</v>
      </c>
      <c r="AA102" s="257">
        <f t="shared" si="103"/>
        <v>0</v>
      </c>
      <c r="AB102" s="257">
        <f t="shared" si="103"/>
        <v>0</v>
      </c>
    </row>
    <row r="103" spans="1:28" s="258" customFormat="1" ht="50.1" customHeight="1" x14ac:dyDescent="0.25">
      <c r="A103" s="124" t="s">
        <v>245</v>
      </c>
      <c r="B103" s="124" t="s">
        <v>352</v>
      </c>
      <c r="C103" s="124" t="s">
        <v>216</v>
      </c>
      <c r="D103" s="124" t="s">
        <v>361</v>
      </c>
      <c r="E103" s="124" t="s">
        <v>216</v>
      </c>
      <c r="F103" s="124" t="s">
        <v>278</v>
      </c>
      <c r="G103" s="124" t="s">
        <v>216</v>
      </c>
      <c r="H103" s="125" t="s">
        <v>244</v>
      </c>
      <c r="I103" s="255" t="s">
        <v>381</v>
      </c>
      <c r="J103" s="255" t="s">
        <v>361</v>
      </c>
      <c r="K103" s="256">
        <f t="shared" ref="K103:AB103" si="104">SUMIFS(K$109:K$120,$B$109:$B$120,"ПРиволжье")</f>
        <v>0</v>
      </c>
      <c r="L103" s="257">
        <f t="shared" si="104"/>
        <v>0</v>
      </c>
      <c r="M103" s="257">
        <f t="shared" si="104"/>
        <v>0</v>
      </c>
      <c r="N103" s="257">
        <f t="shared" si="104"/>
        <v>0</v>
      </c>
      <c r="O103" s="257">
        <f t="shared" si="104"/>
        <v>0</v>
      </c>
      <c r="P103" s="257">
        <f t="shared" si="104"/>
        <v>0</v>
      </c>
      <c r="Q103" s="257">
        <f t="shared" si="104"/>
        <v>0</v>
      </c>
      <c r="R103" s="257">
        <f t="shared" si="104"/>
        <v>0</v>
      </c>
      <c r="S103" s="257">
        <f t="shared" si="104"/>
        <v>0</v>
      </c>
      <c r="T103" s="257">
        <f t="shared" si="104"/>
        <v>0</v>
      </c>
      <c r="U103" s="257">
        <f t="shared" si="104"/>
        <v>0</v>
      </c>
      <c r="V103" s="257">
        <f t="shared" si="104"/>
        <v>0</v>
      </c>
      <c r="W103" s="257">
        <f t="shared" si="104"/>
        <v>0</v>
      </c>
      <c r="X103" s="257">
        <f t="shared" si="104"/>
        <v>0</v>
      </c>
      <c r="Y103" s="257">
        <f t="shared" si="104"/>
        <v>0</v>
      </c>
      <c r="Z103" s="257">
        <f t="shared" si="104"/>
        <v>0</v>
      </c>
      <c r="AA103" s="257">
        <f t="shared" si="104"/>
        <v>0</v>
      </c>
      <c r="AB103" s="257">
        <f t="shared" si="104"/>
        <v>0</v>
      </c>
    </row>
    <row r="104" spans="1:28" s="258" customFormat="1" ht="50.1" customHeight="1" x14ac:dyDescent="0.25">
      <c r="A104" s="124" t="s">
        <v>245</v>
      </c>
      <c r="B104" s="124" t="s">
        <v>355</v>
      </c>
      <c r="C104" s="124" t="s">
        <v>216</v>
      </c>
      <c r="D104" s="124" t="s">
        <v>361</v>
      </c>
      <c r="E104" s="124" t="s">
        <v>216</v>
      </c>
      <c r="F104" s="124" t="s">
        <v>278</v>
      </c>
      <c r="G104" s="124" t="s">
        <v>216</v>
      </c>
      <c r="H104" s="125" t="s">
        <v>244</v>
      </c>
      <c r="I104" s="255" t="s">
        <v>382</v>
      </c>
      <c r="J104" s="255" t="s">
        <v>361</v>
      </c>
      <c r="K104" s="256">
        <f t="shared" ref="K104:AB104" si="105">SUMIFS(K$109:K$120,$B$109:$B$120,"ЮГ")</f>
        <v>0</v>
      </c>
      <c r="L104" s="257">
        <f t="shared" si="105"/>
        <v>0</v>
      </c>
      <c r="M104" s="257">
        <f t="shared" si="105"/>
        <v>0</v>
      </c>
      <c r="N104" s="257">
        <f t="shared" si="105"/>
        <v>0</v>
      </c>
      <c r="O104" s="257">
        <f t="shared" si="105"/>
        <v>0</v>
      </c>
      <c r="P104" s="257">
        <f t="shared" si="105"/>
        <v>0</v>
      </c>
      <c r="Q104" s="257">
        <f t="shared" si="105"/>
        <v>0</v>
      </c>
      <c r="R104" s="257">
        <f t="shared" si="105"/>
        <v>0</v>
      </c>
      <c r="S104" s="257">
        <f t="shared" si="105"/>
        <v>0</v>
      </c>
      <c r="T104" s="257">
        <f t="shared" si="105"/>
        <v>0</v>
      </c>
      <c r="U104" s="257">
        <f t="shared" si="105"/>
        <v>0</v>
      </c>
      <c r="V104" s="257">
        <f t="shared" si="105"/>
        <v>0</v>
      </c>
      <c r="W104" s="257">
        <f t="shared" si="105"/>
        <v>0</v>
      </c>
      <c r="X104" s="257">
        <f t="shared" si="105"/>
        <v>0</v>
      </c>
      <c r="Y104" s="257">
        <f t="shared" si="105"/>
        <v>0</v>
      </c>
      <c r="Z104" s="257">
        <f t="shared" si="105"/>
        <v>0</v>
      </c>
      <c r="AA104" s="257">
        <f t="shared" si="105"/>
        <v>0</v>
      </c>
      <c r="AB104" s="257">
        <f t="shared" si="105"/>
        <v>0</v>
      </c>
    </row>
    <row r="105" spans="1:28" s="258" customFormat="1" ht="50.1" customHeight="1" x14ac:dyDescent="0.25">
      <c r="A105" s="124" t="s">
        <v>245</v>
      </c>
      <c r="B105" s="124" t="s">
        <v>358</v>
      </c>
      <c r="C105" s="124" t="s">
        <v>216</v>
      </c>
      <c r="D105" s="124" t="s">
        <v>361</v>
      </c>
      <c r="E105" s="124" t="s">
        <v>216</v>
      </c>
      <c r="F105" s="124" t="s">
        <v>278</v>
      </c>
      <c r="G105" s="124" t="s">
        <v>216</v>
      </c>
      <c r="H105" s="125" t="s">
        <v>244</v>
      </c>
      <c r="I105" s="255" t="s">
        <v>383</v>
      </c>
      <c r="J105" s="255" t="s">
        <v>361</v>
      </c>
      <c r="K105" s="256">
        <f t="shared" ref="K105:AB105" si="106">SUMIFS(K$109:K$120,$B$109:$B$120,"Урал")</f>
        <v>0</v>
      </c>
      <c r="L105" s="257">
        <f t="shared" si="106"/>
        <v>0</v>
      </c>
      <c r="M105" s="257">
        <f t="shared" si="106"/>
        <v>0</v>
      </c>
      <c r="N105" s="257">
        <f t="shared" si="106"/>
        <v>0</v>
      </c>
      <c r="O105" s="257">
        <f t="shared" si="106"/>
        <v>0</v>
      </c>
      <c r="P105" s="257">
        <f t="shared" si="106"/>
        <v>0</v>
      </c>
      <c r="Q105" s="257">
        <f t="shared" si="106"/>
        <v>0</v>
      </c>
      <c r="R105" s="257">
        <f t="shared" si="106"/>
        <v>0</v>
      </c>
      <c r="S105" s="257">
        <f t="shared" si="106"/>
        <v>0</v>
      </c>
      <c r="T105" s="257">
        <f t="shared" si="106"/>
        <v>0</v>
      </c>
      <c r="U105" s="257">
        <f t="shared" si="106"/>
        <v>0</v>
      </c>
      <c r="V105" s="257">
        <f t="shared" si="106"/>
        <v>0</v>
      </c>
      <c r="W105" s="257">
        <f t="shared" si="106"/>
        <v>0</v>
      </c>
      <c r="X105" s="257">
        <f t="shared" si="106"/>
        <v>0</v>
      </c>
      <c r="Y105" s="257">
        <f t="shared" si="106"/>
        <v>0</v>
      </c>
      <c r="Z105" s="257">
        <f t="shared" si="106"/>
        <v>0</v>
      </c>
      <c r="AA105" s="257">
        <f t="shared" si="106"/>
        <v>0</v>
      </c>
      <c r="AB105" s="257">
        <f t="shared" si="106"/>
        <v>0</v>
      </c>
    </row>
    <row r="106" spans="1:28" s="258" customFormat="1" ht="50.1" customHeight="1" x14ac:dyDescent="0.25">
      <c r="A106" s="124" t="s">
        <v>245</v>
      </c>
      <c r="B106" s="124" t="s">
        <v>370</v>
      </c>
      <c r="C106" s="124" t="s">
        <v>216</v>
      </c>
      <c r="D106" s="124" t="s">
        <v>361</v>
      </c>
      <c r="E106" s="124" t="s">
        <v>216</v>
      </c>
      <c r="F106" s="124" t="s">
        <v>278</v>
      </c>
      <c r="G106" s="124" t="s">
        <v>216</v>
      </c>
      <c r="H106" s="125" t="s">
        <v>244</v>
      </c>
      <c r="I106" s="255" t="s">
        <v>384</v>
      </c>
      <c r="J106" s="255" t="s">
        <v>361</v>
      </c>
      <c r="K106" s="256">
        <f t="shared" ref="K106:AB106" si="107">SUMIFS(K$109:K$120,$B$109:$B$120,"Сибирь")</f>
        <v>0</v>
      </c>
      <c r="L106" s="257">
        <f t="shared" si="107"/>
        <v>0</v>
      </c>
      <c r="M106" s="257">
        <f t="shared" si="107"/>
        <v>0</v>
      </c>
      <c r="N106" s="257">
        <f t="shared" si="107"/>
        <v>0</v>
      </c>
      <c r="O106" s="257">
        <f t="shared" si="107"/>
        <v>0</v>
      </c>
      <c r="P106" s="257">
        <f t="shared" si="107"/>
        <v>0</v>
      </c>
      <c r="Q106" s="257">
        <f t="shared" si="107"/>
        <v>0</v>
      </c>
      <c r="R106" s="257">
        <f t="shared" si="107"/>
        <v>0</v>
      </c>
      <c r="S106" s="257">
        <f t="shared" si="107"/>
        <v>0</v>
      </c>
      <c r="T106" s="257">
        <f t="shared" si="107"/>
        <v>0</v>
      </c>
      <c r="U106" s="257">
        <f t="shared" si="107"/>
        <v>0</v>
      </c>
      <c r="V106" s="257">
        <f t="shared" si="107"/>
        <v>0</v>
      </c>
      <c r="W106" s="257">
        <f t="shared" si="107"/>
        <v>0</v>
      </c>
      <c r="X106" s="257">
        <f t="shared" si="107"/>
        <v>0</v>
      </c>
      <c r="Y106" s="257">
        <f t="shared" si="107"/>
        <v>0</v>
      </c>
      <c r="Z106" s="257">
        <f t="shared" si="107"/>
        <v>0</v>
      </c>
      <c r="AA106" s="257">
        <f t="shared" si="107"/>
        <v>0</v>
      </c>
      <c r="AB106" s="257">
        <f t="shared" si="107"/>
        <v>0</v>
      </c>
    </row>
    <row r="107" spans="1:28" s="258" customFormat="1" ht="50.1" customHeight="1" x14ac:dyDescent="0.25">
      <c r="A107" s="124" t="s">
        <v>245</v>
      </c>
      <c r="B107" s="124" t="s">
        <v>367</v>
      </c>
      <c r="C107" s="124" t="s">
        <v>216</v>
      </c>
      <c r="D107" s="124" t="s">
        <v>361</v>
      </c>
      <c r="E107" s="124" t="s">
        <v>216</v>
      </c>
      <c r="F107" s="124" t="s">
        <v>278</v>
      </c>
      <c r="G107" s="124" t="s">
        <v>216</v>
      </c>
      <c r="H107" s="125" t="s">
        <v>244</v>
      </c>
      <c r="I107" s="255" t="s">
        <v>385</v>
      </c>
      <c r="J107" s="255" t="s">
        <v>361</v>
      </c>
      <c r="K107" s="256">
        <f t="shared" ref="K107:AB107" si="108">SUMIFS(K$109:K$120,$B$109:$B$120,"ДАЛЬНИЙ")</f>
        <v>0</v>
      </c>
      <c r="L107" s="257">
        <f t="shared" si="108"/>
        <v>0</v>
      </c>
      <c r="M107" s="257">
        <f t="shared" si="108"/>
        <v>0</v>
      </c>
      <c r="N107" s="257">
        <f t="shared" si="108"/>
        <v>0</v>
      </c>
      <c r="O107" s="257">
        <f t="shared" si="108"/>
        <v>0</v>
      </c>
      <c r="P107" s="257">
        <f t="shared" si="108"/>
        <v>0</v>
      </c>
      <c r="Q107" s="257">
        <f t="shared" si="108"/>
        <v>0</v>
      </c>
      <c r="R107" s="257">
        <f t="shared" si="108"/>
        <v>0</v>
      </c>
      <c r="S107" s="257">
        <f t="shared" si="108"/>
        <v>0</v>
      </c>
      <c r="T107" s="257">
        <f t="shared" si="108"/>
        <v>0</v>
      </c>
      <c r="U107" s="257">
        <f t="shared" si="108"/>
        <v>0</v>
      </c>
      <c r="V107" s="257">
        <f t="shared" si="108"/>
        <v>0</v>
      </c>
      <c r="W107" s="257">
        <f t="shared" si="108"/>
        <v>0</v>
      </c>
      <c r="X107" s="257">
        <f t="shared" si="108"/>
        <v>0</v>
      </c>
      <c r="Y107" s="257">
        <f t="shared" si="108"/>
        <v>0</v>
      </c>
      <c r="Z107" s="257">
        <f t="shared" si="108"/>
        <v>0</v>
      </c>
      <c r="AA107" s="257">
        <f t="shared" si="108"/>
        <v>0</v>
      </c>
      <c r="AB107" s="257">
        <f t="shared" si="108"/>
        <v>0</v>
      </c>
    </row>
    <row r="108" spans="1:28" s="258" customFormat="1" ht="50.1" customHeight="1" x14ac:dyDescent="0.25">
      <c r="A108" s="124" t="s">
        <v>245</v>
      </c>
      <c r="B108" s="124" t="s">
        <v>230</v>
      </c>
      <c r="C108" s="124" t="s">
        <v>216</v>
      </c>
      <c r="D108" s="124" t="s">
        <v>361</v>
      </c>
      <c r="E108" s="124" t="s">
        <v>216</v>
      </c>
      <c r="F108" s="124" t="s">
        <v>278</v>
      </c>
      <c r="G108" s="124" t="s">
        <v>216</v>
      </c>
      <c r="H108" s="125" t="s">
        <v>244</v>
      </c>
      <c r="I108" s="255" t="s">
        <v>386</v>
      </c>
      <c r="J108" s="255" t="s">
        <v>361</v>
      </c>
      <c r="K108" s="256">
        <f t="shared" ref="K108:AB108" si="109">SUMIFS(K$109:K$120,$B$109:$B$120,"ТО")</f>
        <v>0</v>
      </c>
      <c r="L108" s="257">
        <f t="shared" si="109"/>
        <v>0</v>
      </c>
      <c r="M108" s="257">
        <f t="shared" si="109"/>
        <v>0</v>
      </c>
      <c r="N108" s="257">
        <f t="shared" si="109"/>
        <v>0</v>
      </c>
      <c r="O108" s="257">
        <f t="shared" si="109"/>
        <v>0</v>
      </c>
      <c r="P108" s="257">
        <f t="shared" si="109"/>
        <v>0</v>
      </c>
      <c r="Q108" s="257">
        <f t="shared" si="109"/>
        <v>0</v>
      </c>
      <c r="R108" s="257">
        <f t="shared" si="109"/>
        <v>0</v>
      </c>
      <c r="S108" s="257">
        <f t="shared" si="109"/>
        <v>0</v>
      </c>
      <c r="T108" s="257">
        <f t="shared" si="109"/>
        <v>0</v>
      </c>
      <c r="U108" s="257">
        <f t="shared" si="109"/>
        <v>0</v>
      </c>
      <c r="V108" s="257">
        <f t="shared" si="109"/>
        <v>0</v>
      </c>
      <c r="W108" s="257">
        <f t="shared" si="109"/>
        <v>0</v>
      </c>
      <c r="X108" s="257">
        <f t="shared" si="109"/>
        <v>0</v>
      </c>
      <c r="Y108" s="257">
        <f t="shared" si="109"/>
        <v>0</v>
      </c>
      <c r="Z108" s="257">
        <f t="shared" si="109"/>
        <v>0</v>
      </c>
      <c r="AA108" s="257">
        <f t="shared" si="109"/>
        <v>0</v>
      </c>
      <c r="AB108" s="257">
        <f t="shared" si="109"/>
        <v>0</v>
      </c>
    </row>
    <row r="109" spans="1:28" s="247" customFormat="1" ht="20.25" customHeight="1" x14ac:dyDescent="0.25">
      <c r="A109" s="131" t="s">
        <v>205</v>
      </c>
      <c r="B109" s="131" t="s">
        <v>205</v>
      </c>
      <c r="C109" s="131" t="s">
        <v>205</v>
      </c>
      <c r="D109" s="131" t="s">
        <v>205</v>
      </c>
      <c r="E109" s="131" t="s">
        <v>205</v>
      </c>
      <c r="F109" s="131" t="s">
        <v>205</v>
      </c>
      <c r="G109" s="131" t="s">
        <v>205</v>
      </c>
      <c r="H109" s="119" t="s">
        <v>205</v>
      </c>
      <c r="I109" s="132" t="s">
        <v>205</v>
      </c>
      <c r="J109" s="132" t="s">
        <v>205</v>
      </c>
      <c r="K109" s="246" t="s">
        <v>205</v>
      </c>
      <c r="L109" s="133" t="s">
        <v>205</v>
      </c>
      <c r="M109" s="128" t="s">
        <v>205</v>
      </c>
      <c r="N109" s="128" t="s">
        <v>205</v>
      </c>
      <c r="O109" s="128" t="s">
        <v>205</v>
      </c>
      <c r="P109" s="128" t="s">
        <v>205</v>
      </c>
      <c r="Q109" s="128" t="s">
        <v>205</v>
      </c>
      <c r="R109" s="128" t="s">
        <v>205</v>
      </c>
      <c r="S109" s="128" t="s">
        <v>205</v>
      </c>
      <c r="T109" s="128" t="s">
        <v>205</v>
      </c>
      <c r="U109" s="128" t="s">
        <v>205</v>
      </c>
      <c r="V109" s="128" t="s">
        <v>205</v>
      </c>
      <c r="W109" s="128" t="s">
        <v>205</v>
      </c>
      <c r="X109" s="128" t="s">
        <v>205</v>
      </c>
      <c r="Y109" s="128" t="s">
        <v>205</v>
      </c>
      <c r="Z109" s="133" t="s">
        <v>205</v>
      </c>
      <c r="AA109" s="133" t="s">
        <v>205</v>
      </c>
      <c r="AB109" s="128" t="s">
        <v>205</v>
      </c>
    </row>
    <row r="110" spans="1:28" ht="42.75" customHeight="1" x14ac:dyDescent="0.25">
      <c r="A110" s="119" t="s">
        <v>344</v>
      </c>
      <c r="B110" s="119" t="s">
        <v>216</v>
      </c>
      <c r="C110" s="119" t="s">
        <v>216</v>
      </c>
      <c r="D110" s="119" t="s">
        <v>361</v>
      </c>
      <c r="E110" s="119" t="s">
        <v>218</v>
      </c>
      <c r="F110" s="119" t="s">
        <v>278</v>
      </c>
      <c r="G110" s="119" t="s">
        <v>216</v>
      </c>
      <c r="H110" s="126" t="s">
        <v>219</v>
      </c>
      <c r="I110" s="178" t="s">
        <v>401</v>
      </c>
      <c r="J110" s="179"/>
      <c r="K110" s="170">
        <f>SUM(K111:K114)</f>
        <v>11</v>
      </c>
      <c r="L110" s="181">
        <f>SUM(L111:L114)</f>
        <v>4000</v>
      </c>
      <c r="M110" s="181">
        <f>SUM(M111:M114)</f>
        <v>0</v>
      </c>
      <c r="N110" s="181">
        <f t="shared" ref="N110:T110" si="110">SUM(N111:N114)</f>
        <v>0</v>
      </c>
      <c r="O110" s="181">
        <f t="shared" si="110"/>
        <v>0</v>
      </c>
      <c r="P110" s="181">
        <f>SUM(P111:P114)</f>
        <v>0</v>
      </c>
      <c r="Q110" s="181">
        <f>SUM(Q111:Q114)</f>
        <v>0</v>
      </c>
      <c r="R110" s="181">
        <f>SUM(R111:R114)</f>
        <v>0</v>
      </c>
      <c r="S110" s="181">
        <f>SUM(S111:S114)</f>
        <v>0</v>
      </c>
      <c r="T110" s="181">
        <f t="shared" si="110"/>
        <v>0</v>
      </c>
      <c r="U110" s="181">
        <f t="shared" ref="U110:AB110" si="111">SUM(U111:U114)</f>
        <v>0</v>
      </c>
      <c r="V110" s="181">
        <f t="shared" si="111"/>
        <v>0</v>
      </c>
      <c r="W110" s="181">
        <f t="shared" si="111"/>
        <v>0</v>
      </c>
      <c r="X110" s="181">
        <f t="shared" si="111"/>
        <v>0</v>
      </c>
      <c r="Y110" s="181">
        <f t="shared" si="111"/>
        <v>0</v>
      </c>
      <c r="Z110" s="181">
        <f t="shared" si="111"/>
        <v>0</v>
      </c>
      <c r="AA110" s="181">
        <f t="shared" si="111"/>
        <v>0</v>
      </c>
      <c r="AB110" s="181">
        <f t="shared" si="111"/>
        <v>0</v>
      </c>
    </row>
    <row r="111" spans="1:28" ht="49.5" customHeight="1" x14ac:dyDescent="0.25">
      <c r="A111" s="119" t="s">
        <v>220</v>
      </c>
      <c r="B111" s="119" t="s">
        <v>348</v>
      </c>
      <c r="C111" s="119" t="s">
        <v>281</v>
      </c>
      <c r="D111" s="119" t="s">
        <v>361</v>
      </c>
      <c r="E111" s="119" t="s">
        <v>218</v>
      </c>
      <c r="F111" s="119" t="s">
        <v>278</v>
      </c>
      <c r="G111" s="119" t="s">
        <v>307</v>
      </c>
      <c r="H111" s="118" t="s">
        <v>221</v>
      </c>
      <c r="I111" s="117" t="s">
        <v>402</v>
      </c>
      <c r="J111" s="179"/>
      <c r="K111" s="123">
        <v>1</v>
      </c>
      <c r="L111" s="120">
        <v>1000</v>
      </c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>
        <f>SUBTOTAL(9,M111:X111)</f>
        <v>0</v>
      </c>
      <c r="Z111" s="120"/>
      <c r="AA111" s="120"/>
      <c r="AB111" s="181">
        <f>SUM(Y111:AA111)</f>
        <v>0</v>
      </c>
    </row>
    <row r="112" spans="1:28" ht="49.5" customHeight="1" x14ac:dyDescent="0.25">
      <c r="A112" s="119" t="s">
        <v>220</v>
      </c>
      <c r="B112" s="119" t="s">
        <v>348</v>
      </c>
      <c r="C112" s="119" t="s">
        <v>281</v>
      </c>
      <c r="D112" s="119" t="s">
        <v>361</v>
      </c>
      <c r="E112" s="119" t="s">
        <v>218</v>
      </c>
      <c r="F112" s="119" t="s">
        <v>278</v>
      </c>
      <c r="G112" s="119" t="s">
        <v>307</v>
      </c>
      <c r="H112" s="118" t="s">
        <v>222</v>
      </c>
      <c r="I112" s="117" t="s">
        <v>403</v>
      </c>
      <c r="J112" s="179"/>
      <c r="K112" s="123">
        <v>2</v>
      </c>
      <c r="L112" s="120">
        <v>1000</v>
      </c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>
        <f>SUBTOTAL(9,M112:X112)</f>
        <v>0</v>
      </c>
      <c r="Z112" s="120"/>
      <c r="AA112" s="120"/>
      <c r="AB112" s="181">
        <f>SUM(Y112:AA112)</f>
        <v>0</v>
      </c>
    </row>
    <row r="113" spans="1:28" ht="49.5" customHeight="1" x14ac:dyDescent="0.25">
      <c r="A113" s="119" t="s">
        <v>220</v>
      </c>
      <c r="B113" s="119" t="s">
        <v>348</v>
      </c>
      <c r="C113" s="119" t="s">
        <v>281</v>
      </c>
      <c r="D113" s="119" t="s">
        <v>361</v>
      </c>
      <c r="E113" s="119" t="s">
        <v>218</v>
      </c>
      <c r="F113" s="119" t="s">
        <v>278</v>
      </c>
      <c r="G113" s="119" t="s">
        <v>307</v>
      </c>
      <c r="H113" s="118" t="s">
        <v>223</v>
      </c>
      <c r="I113" s="117" t="s">
        <v>404</v>
      </c>
      <c r="J113" s="179"/>
      <c r="K113" s="123">
        <v>3</v>
      </c>
      <c r="L113" s="120">
        <v>1000</v>
      </c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>
        <f>SUBTOTAL(9,M113:X113)</f>
        <v>0</v>
      </c>
      <c r="Z113" s="120"/>
      <c r="AA113" s="120"/>
      <c r="AB113" s="181">
        <f>SUM(Y113:AA113)</f>
        <v>0</v>
      </c>
    </row>
    <row r="114" spans="1:28" ht="62.25" customHeight="1" x14ac:dyDescent="0.25">
      <c r="A114" s="119" t="s">
        <v>220</v>
      </c>
      <c r="B114" s="119" t="s">
        <v>348</v>
      </c>
      <c r="C114" s="119" t="s">
        <v>281</v>
      </c>
      <c r="D114" s="119" t="s">
        <v>361</v>
      </c>
      <c r="E114" s="119" t="s">
        <v>218</v>
      </c>
      <c r="F114" s="119" t="s">
        <v>278</v>
      </c>
      <c r="G114" s="119" t="s">
        <v>307</v>
      </c>
      <c r="H114" s="118" t="s">
        <v>224</v>
      </c>
      <c r="I114" s="117" t="s">
        <v>405</v>
      </c>
      <c r="J114" s="179"/>
      <c r="K114" s="123">
        <v>5</v>
      </c>
      <c r="L114" s="120">
        <v>1000</v>
      </c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>
        <f>SUBTOTAL(9,M114:X114)</f>
        <v>0</v>
      </c>
      <c r="Z114" s="120"/>
      <c r="AA114" s="120"/>
      <c r="AB114" s="181">
        <f>SUM(Y114:AA114)</f>
        <v>0</v>
      </c>
    </row>
    <row r="115" spans="1:28" ht="150" customHeight="1" x14ac:dyDescent="0.25">
      <c r="A115" s="119" t="s">
        <v>344</v>
      </c>
      <c r="B115" s="119" t="s">
        <v>216</v>
      </c>
      <c r="C115" s="119" t="s">
        <v>216</v>
      </c>
      <c r="D115" s="119" t="s">
        <v>361</v>
      </c>
      <c r="E115" s="119" t="s">
        <v>218</v>
      </c>
      <c r="F115" s="119" t="s">
        <v>278</v>
      </c>
      <c r="G115" s="119" t="s">
        <v>216</v>
      </c>
      <c r="H115" s="126" t="s">
        <v>264</v>
      </c>
      <c r="I115" s="178" t="s">
        <v>406</v>
      </c>
      <c r="J115" s="179"/>
      <c r="K115" s="127">
        <f t="shared" ref="K115:AB115" si="112">SUM(K116:K119)</f>
        <v>38</v>
      </c>
      <c r="L115" s="180">
        <f t="shared" si="112"/>
        <v>4000</v>
      </c>
      <c r="M115" s="180">
        <f t="shared" si="112"/>
        <v>0</v>
      </c>
      <c r="N115" s="180">
        <f t="shared" si="112"/>
        <v>0</v>
      </c>
      <c r="O115" s="180">
        <f t="shared" si="112"/>
        <v>0</v>
      </c>
      <c r="P115" s="180">
        <f t="shared" si="112"/>
        <v>0</v>
      </c>
      <c r="Q115" s="180">
        <f t="shared" si="112"/>
        <v>0</v>
      </c>
      <c r="R115" s="180">
        <f t="shared" si="112"/>
        <v>0</v>
      </c>
      <c r="S115" s="180">
        <f t="shared" si="112"/>
        <v>0</v>
      </c>
      <c r="T115" s="180">
        <f t="shared" si="112"/>
        <v>0</v>
      </c>
      <c r="U115" s="180">
        <f t="shared" si="112"/>
        <v>0</v>
      </c>
      <c r="V115" s="180">
        <f t="shared" si="112"/>
        <v>0</v>
      </c>
      <c r="W115" s="180">
        <f t="shared" si="112"/>
        <v>0</v>
      </c>
      <c r="X115" s="180">
        <f t="shared" si="112"/>
        <v>0</v>
      </c>
      <c r="Y115" s="180">
        <f t="shared" si="112"/>
        <v>0</v>
      </c>
      <c r="Z115" s="180">
        <f t="shared" si="112"/>
        <v>0</v>
      </c>
      <c r="AA115" s="180">
        <f t="shared" si="112"/>
        <v>0</v>
      </c>
      <c r="AB115" s="180">
        <f t="shared" si="112"/>
        <v>0</v>
      </c>
    </row>
    <row r="116" spans="1:28" ht="56.25" customHeight="1" x14ac:dyDescent="0.25">
      <c r="A116" s="119" t="s">
        <v>220</v>
      </c>
      <c r="B116" s="119" t="s">
        <v>348</v>
      </c>
      <c r="C116" s="119" t="s">
        <v>281</v>
      </c>
      <c r="D116" s="119" t="s">
        <v>361</v>
      </c>
      <c r="E116" s="119" t="s">
        <v>218</v>
      </c>
      <c r="F116" s="119" t="s">
        <v>278</v>
      </c>
      <c r="G116" s="119" t="s">
        <v>307</v>
      </c>
      <c r="H116" s="118" t="s">
        <v>265</v>
      </c>
      <c r="I116" s="117" t="s">
        <v>407</v>
      </c>
      <c r="J116" s="179"/>
      <c r="K116" s="123">
        <v>3</v>
      </c>
      <c r="L116" s="120">
        <v>1000</v>
      </c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>
        <f>SUBTOTAL(9,M116:X116)</f>
        <v>0</v>
      </c>
      <c r="Z116" s="120"/>
      <c r="AA116" s="120"/>
      <c r="AB116" s="181">
        <f>SUM(Y116:AA116)</f>
        <v>0</v>
      </c>
    </row>
    <row r="117" spans="1:28" ht="56.25" customHeight="1" x14ac:dyDescent="0.25">
      <c r="A117" s="119" t="s">
        <v>220</v>
      </c>
      <c r="B117" s="119" t="s">
        <v>348</v>
      </c>
      <c r="C117" s="119" t="s">
        <v>281</v>
      </c>
      <c r="D117" s="119" t="s">
        <v>361</v>
      </c>
      <c r="E117" s="119" t="s">
        <v>218</v>
      </c>
      <c r="F117" s="119" t="s">
        <v>278</v>
      </c>
      <c r="G117" s="119" t="s">
        <v>307</v>
      </c>
      <c r="H117" s="118" t="s">
        <v>266</v>
      </c>
      <c r="I117" s="117" t="s">
        <v>408</v>
      </c>
      <c r="J117" s="179"/>
      <c r="K117" s="123">
        <v>15</v>
      </c>
      <c r="L117" s="120">
        <v>1000</v>
      </c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>
        <f>SUBTOTAL(9,M117:X117)</f>
        <v>0</v>
      </c>
      <c r="Z117" s="120"/>
      <c r="AA117" s="120"/>
      <c r="AB117" s="181">
        <f>SUM(Y117:AA117)</f>
        <v>0</v>
      </c>
    </row>
    <row r="118" spans="1:28" ht="56.25" customHeight="1" x14ac:dyDescent="0.25">
      <c r="A118" s="119" t="s">
        <v>220</v>
      </c>
      <c r="B118" s="119" t="s">
        <v>348</v>
      </c>
      <c r="C118" s="119" t="s">
        <v>281</v>
      </c>
      <c r="D118" s="119" t="s">
        <v>361</v>
      </c>
      <c r="E118" s="119" t="s">
        <v>218</v>
      </c>
      <c r="F118" s="119" t="s">
        <v>278</v>
      </c>
      <c r="G118" s="119" t="s">
        <v>317</v>
      </c>
      <c r="H118" s="118" t="s">
        <v>267</v>
      </c>
      <c r="I118" s="117" t="s">
        <v>409</v>
      </c>
      <c r="J118" s="179"/>
      <c r="K118" s="123">
        <v>8</v>
      </c>
      <c r="L118" s="120">
        <v>1000</v>
      </c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>
        <f>SUBTOTAL(9,M118:X118)</f>
        <v>0</v>
      </c>
      <c r="Z118" s="120"/>
      <c r="AA118" s="120"/>
      <c r="AB118" s="181">
        <f>SUM(Y118:AA118)</f>
        <v>0</v>
      </c>
    </row>
    <row r="119" spans="1:28" ht="56.25" customHeight="1" x14ac:dyDescent="0.25">
      <c r="A119" s="119" t="s">
        <v>220</v>
      </c>
      <c r="B119" s="119" t="s">
        <v>348</v>
      </c>
      <c r="C119" s="119" t="s">
        <v>281</v>
      </c>
      <c r="D119" s="119" t="s">
        <v>361</v>
      </c>
      <c r="E119" s="119" t="s">
        <v>218</v>
      </c>
      <c r="F119" s="119" t="s">
        <v>278</v>
      </c>
      <c r="G119" s="119" t="s">
        <v>317</v>
      </c>
      <c r="H119" s="118" t="s">
        <v>268</v>
      </c>
      <c r="I119" s="117" t="s">
        <v>410</v>
      </c>
      <c r="J119" s="179"/>
      <c r="K119" s="123">
        <v>12</v>
      </c>
      <c r="L119" s="120">
        <v>1000</v>
      </c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>
        <f>SUBTOTAL(9,M119:X119)</f>
        <v>0</v>
      </c>
      <c r="Z119" s="120"/>
      <c r="AA119" s="120"/>
      <c r="AB119" s="181">
        <f>SUM(Y119:AA119)</f>
        <v>0</v>
      </c>
    </row>
    <row r="120" spans="1:28" ht="20.25" customHeight="1" x14ac:dyDescent="0.25">
      <c r="A120" s="131" t="s">
        <v>205</v>
      </c>
      <c r="B120" s="131" t="s">
        <v>205</v>
      </c>
      <c r="C120" s="131" t="s">
        <v>205</v>
      </c>
      <c r="D120" s="131" t="s">
        <v>205</v>
      </c>
      <c r="E120" s="131" t="s">
        <v>205</v>
      </c>
      <c r="F120" s="131" t="s">
        <v>205</v>
      </c>
      <c r="G120" s="131" t="s">
        <v>205</v>
      </c>
      <c r="H120" s="119" t="s">
        <v>205</v>
      </c>
      <c r="I120" s="132" t="s">
        <v>205</v>
      </c>
      <c r="J120" s="132" t="s">
        <v>205</v>
      </c>
      <c r="K120" s="246" t="s">
        <v>205</v>
      </c>
      <c r="L120" s="133" t="s">
        <v>205</v>
      </c>
      <c r="M120" s="128" t="s">
        <v>205</v>
      </c>
      <c r="N120" s="128" t="s">
        <v>205</v>
      </c>
      <c r="O120" s="128" t="s">
        <v>205</v>
      </c>
      <c r="P120" s="128" t="s">
        <v>205</v>
      </c>
      <c r="Q120" s="128" t="s">
        <v>205</v>
      </c>
      <c r="R120" s="128" t="s">
        <v>205</v>
      </c>
      <c r="S120" s="128" t="s">
        <v>205</v>
      </c>
      <c r="T120" s="128" t="s">
        <v>205</v>
      </c>
      <c r="U120" s="128" t="s">
        <v>205</v>
      </c>
      <c r="V120" s="128" t="s">
        <v>205</v>
      </c>
      <c r="W120" s="128" t="s">
        <v>205</v>
      </c>
      <c r="X120" s="128" t="s">
        <v>205</v>
      </c>
      <c r="Y120" s="128" t="s">
        <v>205</v>
      </c>
      <c r="Z120" s="133" t="s">
        <v>205</v>
      </c>
      <c r="AA120" s="133" t="s">
        <v>205</v>
      </c>
      <c r="AB120" s="128" t="s">
        <v>205</v>
      </c>
    </row>
    <row r="121" spans="1:28" ht="31.5" customHeight="1" x14ac:dyDescent="0.25">
      <c r="A121" s="172" t="s">
        <v>217</v>
      </c>
      <c r="B121" s="173" t="s">
        <v>216</v>
      </c>
      <c r="C121" s="173" t="s">
        <v>216</v>
      </c>
      <c r="D121" s="173" t="s">
        <v>363</v>
      </c>
      <c r="E121" s="173" t="s">
        <v>216</v>
      </c>
      <c r="F121" s="173" t="s">
        <v>278</v>
      </c>
      <c r="G121" s="173" t="s">
        <v>216</v>
      </c>
      <c r="H121" s="174">
        <v>2</v>
      </c>
      <c r="I121" s="175" t="s">
        <v>364</v>
      </c>
      <c r="J121" s="245" t="s">
        <v>198</v>
      </c>
      <c r="K121" s="176">
        <f t="shared" ref="K121:AB121" si="113">SUMIF($A$147:$A$158,"ИТОГ ОСНОВНОЙ",K$147:K$158)</f>
        <v>9</v>
      </c>
      <c r="L121" s="177">
        <f t="shared" si="113"/>
        <v>36000</v>
      </c>
      <c r="M121" s="177">
        <f t="shared" si="113"/>
        <v>500</v>
      </c>
      <c r="N121" s="177">
        <f t="shared" si="113"/>
        <v>700</v>
      </c>
      <c r="O121" s="177">
        <f t="shared" si="113"/>
        <v>0</v>
      </c>
      <c r="P121" s="177">
        <f t="shared" si="113"/>
        <v>0</v>
      </c>
      <c r="Q121" s="177">
        <f t="shared" si="113"/>
        <v>0</v>
      </c>
      <c r="R121" s="177">
        <f t="shared" si="113"/>
        <v>0</v>
      </c>
      <c r="S121" s="177">
        <f t="shared" si="113"/>
        <v>0</v>
      </c>
      <c r="T121" s="177">
        <f t="shared" si="113"/>
        <v>0</v>
      </c>
      <c r="U121" s="177">
        <f t="shared" si="113"/>
        <v>0</v>
      </c>
      <c r="V121" s="177">
        <f t="shared" si="113"/>
        <v>0</v>
      </c>
      <c r="W121" s="177">
        <f t="shared" si="113"/>
        <v>0</v>
      </c>
      <c r="X121" s="177">
        <f t="shared" si="113"/>
        <v>0</v>
      </c>
      <c r="Y121" s="177">
        <f t="shared" si="113"/>
        <v>1200</v>
      </c>
      <c r="Z121" s="177">
        <f t="shared" si="113"/>
        <v>900</v>
      </c>
      <c r="AA121" s="177">
        <f t="shared" si="113"/>
        <v>100</v>
      </c>
      <c r="AB121" s="177">
        <f t="shared" si="113"/>
        <v>2200</v>
      </c>
    </row>
    <row r="122" spans="1:28" s="247" customFormat="1" ht="20.25" customHeight="1" x14ac:dyDescent="0.25">
      <c r="A122" s="131" t="s">
        <v>205</v>
      </c>
      <c r="B122" s="131" t="s">
        <v>205</v>
      </c>
      <c r="C122" s="131" t="s">
        <v>205</v>
      </c>
      <c r="D122" s="131" t="s">
        <v>205</v>
      </c>
      <c r="E122" s="131" t="s">
        <v>205</v>
      </c>
      <c r="F122" s="131" t="s">
        <v>205</v>
      </c>
      <c r="G122" s="131" t="s">
        <v>205</v>
      </c>
      <c r="H122" s="119" t="s">
        <v>205</v>
      </c>
      <c r="I122" s="132" t="s">
        <v>205</v>
      </c>
      <c r="J122" s="132" t="s">
        <v>205</v>
      </c>
      <c r="K122" s="246">
        <f>K121-SUM(K123,K124,K125,K126)</f>
        <v>0</v>
      </c>
      <c r="L122" s="133">
        <f>L121-SUM(L123,L124,L125,L126)</f>
        <v>0</v>
      </c>
      <c r="M122" s="128">
        <f>M121-SUM(M123,M124,M125,M126)</f>
        <v>0</v>
      </c>
      <c r="N122" s="128">
        <f t="shared" ref="N122:T122" si="114">N121-SUM(N123,N124,N125,N126)</f>
        <v>0</v>
      </c>
      <c r="O122" s="128">
        <f t="shared" si="114"/>
        <v>0</v>
      </c>
      <c r="P122" s="128">
        <f>P121-SUM(P123,P124,P125,P126)</f>
        <v>0</v>
      </c>
      <c r="Q122" s="128">
        <f>Q121-SUM(Q123,Q124,Q125,Q126)</f>
        <v>0</v>
      </c>
      <c r="R122" s="128">
        <f>R121-SUM(R123,R124,R125,R126)</f>
        <v>0</v>
      </c>
      <c r="S122" s="128">
        <f>S121-SUM(S123,S124,S125,S126)</f>
        <v>0</v>
      </c>
      <c r="T122" s="128">
        <f t="shared" si="114"/>
        <v>0</v>
      </c>
      <c r="U122" s="128">
        <f t="shared" ref="U122:AB122" si="115">U121-SUM(U123,U124,U125,U126)</f>
        <v>0</v>
      </c>
      <c r="V122" s="128">
        <f t="shared" si="115"/>
        <v>0</v>
      </c>
      <c r="W122" s="128">
        <f t="shared" si="115"/>
        <v>0</v>
      </c>
      <c r="X122" s="128">
        <f t="shared" si="115"/>
        <v>0</v>
      </c>
      <c r="Y122" s="128">
        <f t="shared" si="115"/>
        <v>0</v>
      </c>
      <c r="Z122" s="133">
        <f t="shared" si="115"/>
        <v>0</v>
      </c>
      <c r="AA122" s="133">
        <f t="shared" si="115"/>
        <v>0</v>
      </c>
      <c r="AB122" s="128">
        <f t="shared" si="115"/>
        <v>0</v>
      </c>
    </row>
    <row r="123" spans="1:28" s="253" customFormat="1" ht="38.25" customHeight="1" x14ac:dyDescent="0.25">
      <c r="A123" s="248"/>
      <c r="B123" s="248"/>
      <c r="C123" s="249" t="s">
        <v>284</v>
      </c>
      <c r="D123" s="249" t="s">
        <v>363</v>
      </c>
      <c r="E123" s="248"/>
      <c r="F123" s="249" t="s">
        <v>205</v>
      </c>
      <c r="G123" s="249" t="s">
        <v>216</v>
      </c>
      <c r="H123" s="250" t="s">
        <v>244</v>
      </c>
      <c r="I123" s="248" t="s">
        <v>282</v>
      </c>
      <c r="J123" s="251" t="s">
        <v>363</v>
      </c>
      <c r="K123" s="252">
        <f t="shared" ref="K123:AB123" si="116">SUMIFS(K$147:K$158,$C$147:$C$158,"ЗЕРКАЛО")</f>
        <v>9</v>
      </c>
      <c r="L123" s="254">
        <f t="shared" si="116"/>
        <v>36000</v>
      </c>
      <c r="M123" s="254">
        <f t="shared" si="116"/>
        <v>500</v>
      </c>
      <c r="N123" s="254">
        <f t="shared" si="116"/>
        <v>700</v>
      </c>
      <c r="O123" s="254">
        <f t="shared" si="116"/>
        <v>0</v>
      </c>
      <c r="P123" s="254">
        <f t="shared" si="116"/>
        <v>0</v>
      </c>
      <c r="Q123" s="254">
        <f t="shared" si="116"/>
        <v>0</v>
      </c>
      <c r="R123" s="254">
        <f t="shared" si="116"/>
        <v>0</v>
      </c>
      <c r="S123" s="254">
        <f t="shared" si="116"/>
        <v>0</v>
      </c>
      <c r="T123" s="254">
        <f t="shared" si="116"/>
        <v>0</v>
      </c>
      <c r="U123" s="254">
        <f t="shared" si="116"/>
        <v>0</v>
      </c>
      <c r="V123" s="254">
        <f t="shared" si="116"/>
        <v>0</v>
      </c>
      <c r="W123" s="254">
        <f t="shared" si="116"/>
        <v>0</v>
      </c>
      <c r="X123" s="254">
        <f t="shared" si="116"/>
        <v>0</v>
      </c>
      <c r="Y123" s="254">
        <f t="shared" si="116"/>
        <v>1200</v>
      </c>
      <c r="Z123" s="254">
        <f t="shared" si="116"/>
        <v>900</v>
      </c>
      <c r="AA123" s="254">
        <f t="shared" si="116"/>
        <v>100</v>
      </c>
      <c r="AB123" s="254">
        <f t="shared" si="116"/>
        <v>2200</v>
      </c>
    </row>
    <row r="124" spans="1:28" s="253" customFormat="1" ht="38.25" customHeight="1" x14ac:dyDescent="0.25">
      <c r="A124" s="248"/>
      <c r="B124" s="248"/>
      <c r="C124" s="249" t="s">
        <v>288</v>
      </c>
      <c r="D124" s="249" t="s">
        <v>363</v>
      </c>
      <c r="E124" s="248"/>
      <c r="F124" s="249" t="s">
        <v>205</v>
      </c>
      <c r="G124" s="249" t="s">
        <v>216</v>
      </c>
      <c r="H124" s="250" t="s">
        <v>244</v>
      </c>
      <c r="I124" s="248" t="s">
        <v>286</v>
      </c>
      <c r="J124" s="251" t="s">
        <v>363</v>
      </c>
      <c r="K124" s="252">
        <f t="shared" ref="K124:AB124" si="117">SUMIFS(K$147:K$158,$C$147:$C$158,"ЮРМАЛА")</f>
        <v>0</v>
      </c>
      <c r="L124" s="248">
        <f t="shared" si="117"/>
        <v>0</v>
      </c>
      <c r="M124" s="248">
        <f t="shared" si="117"/>
        <v>0</v>
      </c>
      <c r="N124" s="248">
        <f t="shared" si="117"/>
        <v>0</v>
      </c>
      <c r="O124" s="248">
        <f t="shared" si="117"/>
        <v>0</v>
      </c>
      <c r="P124" s="248">
        <f t="shared" si="117"/>
        <v>0</v>
      </c>
      <c r="Q124" s="248">
        <f t="shared" si="117"/>
        <v>0</v>
      </c>
      <c r="R124" s="248">
        <f t="shared" si="117"/>
        <v>0</v>
      </c>
      <c r="S124" s="248">
        <f t="shared" si="117"/>
        <v>0</v>
      </c>
      <c r="T124" s="248">
        <f t="shared" si="117"/>
        <v>0</v>
      </c>
      <c r="U124" s="248">
        <f t="shared" si="117"/>
        <v>0</v>
      </c>
      <c r="V124" s="248">
        <f t="shared" si="117"/>
        <v>0</v>
      </c>
      <c r="W124" s="248">
        <f t="shared" si="117"/>
        <v>0</v>
      </c>
      <c r="X124" s="248">
        <f t="shared" si="117"/>
        <v>0</v>
      </c>
      <c r="Y124" s="248">
        <f t="shared" si="117"/>
        <v>0</v>
      </c>
      <c r="Z124" s="248">
        <f t="shared" si="117"/>
        <v>0</v>
      </c>
      <c r="AA124" s="248">
        <f t="shared" si="117"/>
        <v>0</v>
      </c>
      <c r="AB124" s="248">
        <f t="shared" si="117"/>
        <v>0</v>
      </c>
    </row>
    <row r="125" spans="1:28" s="253" customFormat="1" ht="38.25" customHeight="1" x14ac:dyDescent="0.25">
      <c r="A125" s="248"/>
      <c r="B125" s="248"/>
      <c r="C125" s="249" t="s">
        <v>292</v>
      </c>
      <c r="D125" s="249" t="s">
        <v>363</v>
      </c>
      <c r="E125" s="248"/>
      <c r="F125" s="249" t="s">
        <v>205</v>
      </c>
      <c r="G125" s="249" t="s">
        <v>216</v>
      </c>
      <c r="H125" s="250" t="s">
        <v>244</v>
      </c>
      <c r="I125" s="248" t="s">
        <v>290</v>
      </c>
      <c r="J125" s="251" t="s">
        <v>363</v>
      </c>
      <c r="K125" s="252">
        <f t="shared" ref="K125:AB125" si="118">SUMIFS(K$147:K$158,$C$147:$C$158,"ЦЕМЕНТОВОЗ")</f>
        <v>0</v>
      </c>
      <c r="L125" s="248">
        <f t="shared" si="118"/>
        <v>0</v>
      </c>
      <c r="M125" s="248">
        <f t="shared" si="118"/>
        <v>0</v>
      </c>
      <c r="N125" s="248">
        <f t="shared" si="118"/>
        <v>0</v>
      </c>
      <c r="O125" s="248">
        <f t="shared" si="118"/>
        <v>0</v>
      </c>
      <c r="P125" s="248">
        <f t="shared" si="118"/>
        <v>0</v>
      </c>
      <c r="Q125" s="248">
        <f t="shared" si="118"/>
        <v>0</v>
      </c>
      <c r="R125" s="248">
        <f t="shared" si="118"/>
        <v>0</v>
      </c>
      <c r="S125" s="248">
        <f t="shared" si="118"/>
        <v>0</v>
      </c>
      <c r="T125" s="248">
        <f t="shared" si="118"/>
        <v>0</v>
      </c>
      <c r="U125" s="248">
        <f t="shared" si="118"/>
        <v>0</v>
      </c>
      <c r="V125" s="248">
        <f t="shared" si="118"/>
        <v>0</v>
      </c>
      <c r="W125" s="248">
        <f t="shared" si="118"/>
        <v>0</v>
      </c>
      <c r="X125" s="248">
        <f t="shared" si="118"/>
        <v>0</v>
      </c>
      <c r="Y125" s="248">
        <f t="shared" si="118"/>
        <v>0</v>
      </c>
      <c r="Z125" s="248">
        <f t="shared" si="118"/>
        <v>0</v>
      </c>
      <c r="AA125" s="248">
        <f t="shared" si="118"/>
        <v>0</v>
      </c>
      <c r="AB125" s="248">
        <f t="shared" si="118"/>
        <v>0</v>
      </c>
    </row>
    <row r="126" spans="1:28" s="253" customFormat="1" ht="38.25" customHeight="1" x14ac:dyDescent="0.25">
      <c r="A126" s="248"/>
      <c r="B126" s="248"/>
      <c r="C126" s="249" t="s">
        <v>306</v>
      </c>
      <c r="D126" s="249" t="s">
        <v>363</v>
      </c>
      <c r="E126" s="248"/>
      <c r="F126" s="249" t="s">
        <v>205</v>
      </c>
      <c r="G126" s="249" t="s">
        <v>216</v>
      </c>
      <c r="H126" s="250" t="s">
        <v>244</v>
      </c>
      <c r="I126" s="248" t="s">
        <v>303</v>
      </c>
      <c r="J126" s="251" t="s">
        <v>363</v>
      </c>
      <c r="K126" s="252">
        <f t="shared" ref="K126:AB126" si="119">SUMIFS(K$147:K$158,$C$147:$C$158,"ВОСЕМЬ")</f>
        <v>0</v>
      </c>
      <c r="L126" s="248">
        <f t="shared" si="119"/>
        <v>0</v>
      </c>
      <c r="M126" s="248">
        <f t="shared" si="119"/>
        <v>0</v>
      </c>
      <c r="N126" s="248">
        <f t="shared" si="119"/>
        <v>0</v>
      </c>
      <c r="O126" s="248">
        <f t="shared" si="119"/>
        <v>0</v>
      </c>
      <c r="P126" s="248">
        <f t="shared" si="119"/>
        <v>0</v>
      </c>
      <c r="Q126" s="248">
        <f t="shared" si="119"/>
        <v>0</v>
      </c>
      <c r="R126" s="248">
        <f t="shared" si="119"/>
        <v>0</v>
      </c>
      <c r="S126" s="248">
        <f t="shared" si="119"/>
        <v>0</v>
      </c>
      <c r="T126" s="248">
        <f t="shared" si="119"/>
        <v>0</v>
      </c>
      <c r="U126" s="248">
        <f t="shared" si="119"/>
        <v>0</v>
      </c>
      <c r="V126" s="248">
        <f t="shared" si="119"/>
        <v>0</v>
      </c>
      <c r="W126" s="248">
        <f t="shared" si="119"/>
        <v>0</v>
      </c>
      <c r="X126" s="248">
        <f t="shared" si="119"/>
        <v>0</v>
      </c>
      <c r="Y126" s="248">
        <f t="shared" si="119"/>
        <v>0</v>
      </c>
      <c r="Z126" s="248">
        <f t="shared" si="119"/>
        <v>0</v>
      </c>
      <c r="AA126" s="248">
        <f t="shared" si="119"/>
        <v>0</v>
      </c>
      <c r="AB126" s="248">
        <f t="shared" si="119"/>
        <v>0</v>
      </c>
    </row>
    <row r="127" spans="1:28" s="247" customFormat="1" ht="20.25" customHeight="1" x14ac:dyDescent="0.25">
      <c r="A127" s="131" t="s">
        <v>205</v>
      </c>
      <c r="B127" s="131" t="s">
        <v>205</v>
      </c>
      <c r="C127" s="131" t="s">
        <v>205</v>
      </c>
      <c r="D127" s="131" t="s">
        <v>205</v>
      </c>
      <c r="E127" s="131" t="s">
        <v>205</v>
      </c>
      <c r="F127" s="131" t="s">
        <v>205</v>
      </c>
      <c r="G127" s="131" t="s">
        <v>205</v>
      </c>
      <c r="H127" s="119" t="s">
        <v>205</v>
      </c>
      <c r="I127" s="132" t="s">
        <v>205</v>
      </c>
      <c r="J127" s="132" t="s">
        <v>205</v>
      </c>
      <c r="K127" s="246">
        <f>K121-SUM(K128,K129,K130,K131,K132,K133,K134,K135,K136,K137)</f>
        <v>0</v>
      </c>
      <c r="L127" s="133">
        <f>L121-SUM(L128,L129,L130,L131,L132,L133,L134,L135,L136,L137)</f>
        <v>0</v>
      </c>
      <c r="M127" s="128">
        <f>M121-SUM(M128,M129,M130,M131,M132,M133,M134,M135,M136,M137)</f>
        <v>0</v>
      </c>
      <c r="N127" s="128">
        <f t="shared" ref="N127:T127" si="120">N121-SUM(N128,N129,N130,N131,N132,N133,N134,N135,N136,N137)</f>
        <v>0</v>
      </c>
      <c r="O127" s="128">
        <f t="shared" si="120"/>
        <v>0</v>
      </c>
      <c r="P127" s="128">
        <f>P121-SUM(P128,P129,P130,P131,P132,P133,P134,P135,P136,P137)</f>
        <v>0</v>
      </c>
      <c r="Q127" s="128">
        <f>Q121-SUM(Q128,Q129,Q130,Q131,Q132,Q133,Q134,Q135,Q136,Q137)</f>
        <v>0</v>
      </c>
      <c r="R127" s="128">
        <f>R121-SUM(R128,R129,R130,R131,R132,R133,R134,R135,R136,R137)</f>
        <v>0</v>
      </c>
      <c r="S127" s="128">
        <f>S121-SUM(S128,S129,S130,S131,S132,S133,S134,S135,S136,S137)</f>
        <v>0</v>
      </c>
      <c r="T127" s="128">
        <f t="shared" si="120"/>
        <v>0</v>
      </c>
      <c r="U127" s="128">
        <f t="shared" ref="U127:AB127" si="121">U121-SUM(U128,U129,U130,U131,U132,U133,U134,U135,U136,U137)</f>
        <v>0</v>
      </c>
      <c r="V127" s="128">
        <f t="shared" si="121"/>
        <v>0</v>
      </c>
      <c r="W127" s="128">
        <f t="shared" si="121"/>
        <v>0</v>
      </c>
      <c r="X127" s="128">
        <f t="shared" si="121"/>
        <v>0</v>
      </c>
      <c r="Y127" s="128">
        <f t="shared" si="121"/>
        <v>0</v>
      </c>
      <c r="Z127" s="133">
        <f t="shared" si="121"/>
        <v>0</v>
      </c>
      <c r="AA127" s="133">
        <f t="shared" si="121"/>
        <v>0</v>
      </c>
      <c r="AB127" s="128">
        <f t="shared" si="121"/>
        <v>0</v>
      </c>
    </row>
    <row r="128" spans="1:28" s="253" customFormat="1" ht="38.25" customHeight="1" x14ac:dyDescent="0.25">
      <c r="A128" s="248" t="s">
        <v>400</v>
      </c>
      <c r="B128" s="248"/>
      <c r="C128" s="249"/>
      <c r="D128" s="249" t="s">
        <v>363</v>
      </c>
      <c r="E128" s="248"/>
      <c r="F128" s="249" t="s">
        <v>205</v>
      </c>
      <c r="G128" s="239" t="s">
        <v>310</v>
      </c>
      <c r="H128" s="250" t="s">
        <v>244</v>
      </c>
      <c r="I128" s="248" t="s">
        <v>307</v>
      </c>
      <c r="J128" s="251" t="s">
        <v>363</v>
      </c>
      <c r="K128" s="252">
        <f t="shared" ref="K128:AB128" si="122">SUMIFS(K$147:K$158,$G$147:$G$158,"ТУФЛИ")</f>
        <v>0</v>
      </c>
      <c r="L128" s="248">
        <f t="shared" si="122"/>
        <v>0</v>
      </c>
      <c r="M128" s="248">
        <f t="shared" si="122"/>
        <v>0</v>
      </c>
      <c r="N128" s="248">
        <f t="shared" si="122"/>
        <v>0</v>
      </c>
      <c r="O128" s="248">
        <f t="shared" si="122"/>
        <v>0</v>
      </c>
      <c r="P128" s="248">
        <f t="shared" si="122"/>
        <v>0</v>
      </c>
      <c r="Q128" s="248">
        <f t="shared" si="122"/>
        <v>0</v>
      </c>
      <c r="R128" s="248">
        <f t="shared" si="122"/>
        <v>0</v>
      </c>
      <c r="S128" s="248">
        <f t="shared" si="122"/>
        <v>0</v>
      </c>
      <c r="T128" s="248">
        <f t="shared" si="122"/>
        <v>0</v>
      </c>
      <c r="U128" s="248">
        <f t="shared" si="122"/>
        <v>0</v>
      </c>
      <c r="V128" s="248">
        <f t="shared" si="122"/>
        <v>0</v>
      </c>
      <c r="W128" s="248">
        <f t="shared" si="122"/>
        <v>0</v>
      </c>
      <c r="X128" s="248">
        <f t="shared" si="122"/>
        <v>0</v>
      </c>
      <c r="Y128" s="248">
        <f t="shared" si="122"/>
        <v>0</v>
      </c>
      <c r="Z128" s="248">
        <f t="shared" si="122"/>
        <v>0</v>
      </c>
      <c r="AA128" s="248">
        <f t="shared" si="122"/>
        <v>0</v>
      </c>
      <c r="AB128" s="248">
        <f t="shared" si="122"/>
        <v>0</v>
      </c>
    </row>
    <row r="129" spans="1:28" s="253" customFormat="1" ht="38.25" customHeight="1" x14ac:dyDescent="0.25">
      <c r="A129" s="248" t="s">
        <v>400</v>
      </c>
      <c r="B129" s="248"/>
      <c r="C129" s="248"/>
      <c r="D129" s="249" t="s">
        <v>363</v>
      </c>
      <c r="E129" s="248"/>
      <c r="F129" s="249" t="s">
        <v>205</v>
      </c>
      <c r="G129" s="239" t="s">
        <v>323</v>
      </c>
      <c r="H129" s="250" t="s">
        <v>244</v>
      </c>
      <c r="I129" s="248" t="s">
        <v>311</v>
      </c>
      <c r="J129" s="251" t="s">
        <v>363</v>
      </c>
      <c r="K129" s="252">
        <f t="shared" ref="K129:AB129" si="123">SUMIFS(K$147:K$158,$G$147:$G$158,"РЕТРО ЗЕРКАЛО")</f>
        <v>0</v>
      </c>
      <c r="L129" s="254">
        <f t="shared" si="123"/>
        <v>0</v>
      </c>
      <c r="M129" s="254">
        <f t="shared" si="123"/>
        <v>0</v>
      </c>
      <c r="N129" s="254">
        <f t="shared" si="123"/>
        <v>0</v>
      </c>
      <c r="O129" s="254">
        <f t="shared" si="123"/>
        <v>0</v>
      </c>
      <c r="P129" s="254">
        <f t="shared" si="123"/>
        <v>0</v>
      </c>
      <c r="Q129" s="254">
        <f t="shared" si="123"/>
        <v>0</v>
      </c>
      <c r="R129" s="254">
        <f t="shared" si="123"/>
        <v>0</v>
      </c>
      <c r="S129" s="254">
        <f t="shared" si="123"/>
        <v>0</v>
      </c>
      <c r="T129" s="254">
        <f t="shared" si="123"/>
        <v>0</v>
      </c>
      <c r="U129" s="254">
        <f t="shared" si="123"/>
        <v>0</v>
      </c>
      <c r="V129" s="254">
        <f t="shared" si="123"/>
        <v>0</v>
      </c>
      <c r="W129" s="254">
        <f t="shared" si="123"/>
        <v>0</v>
      </c>
      <c r="X129" s="254">
        <f t="shared" si="123"/>
        <v>0</v>
      </c>
      <c r="Y129" s="254">
        <f t="shared" si="123"/>
        <v>0</v>
      </c>
      <c r="Z129" s="254">
        <f t="shared" si="123"/>
        <v>0</v>
      </c>
      <c r="AA129" s="254">
        <f t="shared" si="123"/>
        <v>0</v>
      </c>
      <c r="AB129" s="254">
        <f t="shared" si="123"/>
        <v>0</v>
      </c>
    </row>
    <row r="130" spans="1:28" s="253" customFormat="1" ht="38.25" customHeight="1" x14ac:dyDescent="0.25">
      <c r="A130" s="248" t="s">
        <v>400</v>
      </c>
      <c r="B130" s="248"/>
      <c r="C130" s="248"/>
      <c r="D130" s="249" t="s">
        <v>363</v>
      </c>
      <c r="E130" s="248"/>
      <c r="F130" s="249" t="s">
        <v>205</v>
      </c>
      <c r="G130" s="239" t="s">
        <v>324</v>
      </c>
      <c r="H130" s="250" t="s">
        <v>244</v>
      </c>
      <c r="I130" s="248" t="s">
        <v>314</v>
      </c>
      <c r="J130" s="251" t="s">
        <v>363</v>
      </c>
      <c r="K130" s="252">
        <f t="shared" ref="K130:AB130" si="124">SUMIFS(K$147:K$158,$G$147:$G$158,"РЕТРО ЦЕМЕНТОВОЗ")</f>
        <v>0</v>
      </c>
      <c r="L130" s="248">
        <f t="shared" si="124"/>
        <v>0</v>
      </c>
      <c r="M130" s="248">
        <f t="shared" si="124"/>
        <v>0</v>
      </c>
      <c r="N130" s="248">
        <f t="shared" si="124"/>
        <v>0</v>
      </c>
      <c r="O130" s="248">
        <f t="shared" si="124"/>
        <v>0</v>
      </c>
      <c r="P130" s="248">
        <f t="shared" si="124"/>
        <v>0</v>
      </c>
      <c r="Q130" s="248">
        <f t="shared" si="124"/>
        <v>0</v>
      </c>
      <c r="R130" s="248">
        <f t="shared" si="124"/>
        <v>0</v>
      </c>
      <c r="S130" s="248">
        <f t="shared" si="124"/>
        <v>0</v>
      </c>
      <c r="T130" s="248">
        <f t="shared" si="124"/>
        <v>0</v>
      </c>
      <c r="U130" s="248">
        <f t="shared" si="124"/>
        <v>0</v>
      </c>
      <c r="V130" s="248">
        <f t="shared" si="124"/>
        <v>0</v>
      </c>
      <c r="W130" s="248">
        <f t="shared" si="124"/>
        <v>0</v>
      </c>
      <c r="X130" s="248">
        <f t="shared" si="124"/>
        <v>0</v>
      </c>
      <c r="Y130" s="248">
        <f t="shared" si="124"/>
        <v>0</v>
      </c>
      <c r="Z130" s="248">
        <f t="shared" si="124"/>
        <v>0</v>
      </c>
      <c r="AA130" s="248">
        <f t="shared" si="124"/>
        <v>0</v>
      </c>
      <c r="AB130" s="248">
        <f t="shared" si="124"/>
        <v>0</v>
      </c>
    </row>
    <row r="131" spans="1:28" s="253" customFormat="1" ht="38.25" customHeight="1" x14ac:dyDescent="0.25">
      <c r="A131" s="248" t="s">
        <v>400</v>
      </c>
      <c r="B131" s="248"/>
      <c r="C131" s="248"/>
      <c r="D131" s="249" t="s">
        <v>363</v>
      </c>
      <c r="E131" s="248"/>
      <c r="F131" s="249" t="s">
        <v>205</v>
      </c>
      <c r="G131" s="239" t="s">
        <v>325</v>
      </c>
      <c r="H131" s="250" t="s">
        <v>244</v>
      </c>
      <c r="I131" s="248" t="s">
        <v>317</v>
      </c>
      <c r="J131" s="251" t="s">
        <v>363</v>
      </c>
      <c r="K131" s="252">
        <f t="shared" ref="K131:AB131" si="125">SUMIFS(K$147:K$158,$G$147:$G$158,"РЕТРО ВОСЕМЬ")</f>
        <v>0</v>
      </c>
      <c r="L131" s="248">
        <f t="shared" si="125"/>
        <v>0</v>
      </c>
      <c r="M131" s="248">
        <f t="shared" si="125"/>
        <v>0</v>
      </c>
      <c r="N131" s="248">
        <f t="shared" si="125"/>
        <v>0</v>
      </c>
      <c r="O131" s="248">
        <f t="shared" si="125"/>
        <v>0</v>
      </c>
      <c r="P131" s="248">
        <f t="shared" si="125"/>
        <v>0</v>
      </c>
      <c r="Q131" s="248">
        <f t="shared" si="125"/>
        <v>0</v>
      </c>
      <c r="R131" s="248">
        <f t="shared" si="125"/>
        <v>0</v>
      </c>
      <c r="S131" s="248">
        <f t="shared" si="125"/>
        <v>0</v>
      </c>
      <c r="T131" s="248">
        <f t="shared" si="125"/>
        <v>0</v>
      </c>
      <c r="U131" s="248">
        <f t="shared" si="125"/>
        <v>0</v>
      </c>
      <c r="V131" s="248">
        <f t="shared" si="125"/>
        <v>0</v>
      </c>
      <c r="W131" s="248">
        <f t="shared" si="125"/>
        <v>0</v>
      </c>
      <c r="X131" s="248">
        <f t="shared" si="125"/>
        <v>0</v>
      </c>
      <c r="Y131" s="248">
        <f t="shared" si="125"/>
        <v>0</v>
      </c>
      <c r="Z131" s="248">
        <f t="shared" si="125"/>
        <v>0</v>
      </c>
      <c r="AA131" s="248">
        <f t="shared" si="125"/>
        <v>0</v>
      </c>
      <c r="AB131" s="248">
        <f t="shared" si="125"/>
        <v>0</v>
      </c>
    </row>
    <row r="132" spans="1:28" s="253" customFormat="1" ht="38.25" customHeight="1" x14ac:dyDescent="0.25">
      <c r="A132" s="248" t="s">
        <v>400</v>
      </c>
      <c r="B132" s="248"/>
      <c r="C132" s="248"/>
      <c r="D132" s="249" t="s">
        <v>363</v>
      </c>
      <c r="E132" s="248"/>
      <c r="F132" s="249" t="s">
        <v>205</v>
      </c>
      <c r="G132" s="239" t="s">
        <v>326</v>
      </c>
      <c r="H132" s="250" t="s">
        <v>244</v>
      </c>
      <c r="I132" s="248" t="s">
        <v>320</v>
      </c>
      <c r="J132" s="251" t="s">
        <v>363</v>
      </c>
      <c r="K132" s="252">
        <f t="shared" ref="K132:AB132" si="126">SUMIFS(K$147:K$158,$G$147:$G$158,"РЕТРО ЮРМАЛА")</f>
        <v>0</v>
      </c>
      <c r="L132" s="248">
        <f t="shared" si="126"/>
        <v>0</v>
      </c>
      <c r="M132" s="248">
        <f t="shared" si="126"/>
        <v>0</v>
      </c>
      <c r="N132" s="248">
        <f t="shared" si="126"/>
        <v>0</v>
      </c>
      <c r="O132" s="248">
        <f t="shared" si="126"/>
        <v>0</v>
      </c>
      <c r="P132" s="248">
        <f t="shared" si="126"/>
        <v>0</v>
      </c>
      <c r="Q132" s="248">
        <f t="shared" si="126"/>
        <v>0</v>
      </c>
      <c r="R132" s="248">
        <f t="shared" si="126"/>
        <v>0</v>
      </c>
      <c r="S132" s="248">
        <f t="shared" si="126"/>
        <v>0</v>
      </c>
      <c r="T132" s="248">
        <f t="shared" si="126"/>
        <v>0</v>
      </c>
      <c r="U132" s="248">
        <f t="shared" si="126"/>
        <v>0</v>
      </c>
      <c r="V132" s="248">
        <f t="shared" si="126"/>
        <v>0</v>
      </c>
      <c r="W132" s="248">
        <f t="shared" si="126"/>
        <v>0</v>
      </c>
      <c r="X132" s="248">
        <f t="shared" si="126"/>
        <v>0</v>
      </c>
      <c r="Y132" s="248">
        <f t="shared" si="126"/>
        <v>0</v>
      </c>
      <c r="Z132" s="248">
        <f t="shared" si="126"/>
        <v>0</v>
      </c>
      <c r="AA132" s="248">
        <f t="shared" si="126"/>
        <v>0</v>
      </c>
      <c r="AB132" s="248">
        <f t="shared" si="126"/>
        <v>0</v>
      </c>
    </row>
    <row r="133" spans="1:28" s="253" customFormat="1" ht="38.25" customHeight="1" x14ac:dyDescent="0.25">
      <c r="A133" s="248" t="s">
        <v>400</v>
      </c>
      <c r="B133" s="248"/>
      <c r="C133" s="248"/>
      <c r="D133" s="249" t="s">
        <v>363</v>
      </c>
      <c r="E133" s="248"/>
      <c r="F133" s="249" t="s">
        <v>205</v>
      </c>
      <c r="G133" s="239" t="s">
        <v>338</v>
      </c>
      <c r="H133" s="250" t="s">
        <v>244</v>
      </c>
      <c r="I133" s="248" t="s">
        <v>328</v>
      </c>
      <c r="J133" s="251" t="s">
        <v>363</v>
      </c>
      <c r="K133" s="252">
        <f t="shared" ref="K133:AB133" si="127">SUMIFS(K$147:K$158,$G$147:$G$158,"ОБРАЗ КВ РЕТРО ЗЕРКАЛО")</f>
        <v>9</v>
      </c>
      <c r="L133" s="248">
        <f t="shared" si="127"/>
        <v>36000</v>
      </c>
      <c r="M133" s="248">
        <f t="shared" si="127"/>
        <v>500</v>
      </c>
      <c r="N133" s="248">
        <f t="shared" si="127"/>
        <v>700</v>
      </c>
      <c r="O133" s="248">
        <f t="shared" si="127"/>
        <v>0</v>
      </c>
      <c r="P133" s="248">
        <f t="shared" si="127"/>
        <v>0</v>
      </c>
      <c r="Q133" s="248">
        <f t="shared" si="127"/>
        <v>0</v>
      </c>
      <c r="R133" s="248">
        <f t="shared" si="127"/>
        <v>0</v>
      </c>
      <c r="S133" s="248">
        <f t="shared" si="127"/>
        <v>0</v>
      </c>
      <c r="T133" s="248">
        <f t="shared" si="127"/>
        <v>0</v>
      </c>
      <c r="U133" s="248">
        <f t="shared" si="127"/>
        <v>0</v>
      </c>
      <c r="V133" s="248">
        <f t="shared" si="127"/>
        <v>0</v>
      </c>
      <c r="W133" s="248">
        <f t="shared" si="127"/>
        <v>0</v>
      </c>
      <c r="X133" s="248">
        <f t="shared" si="127"/>
        <v>0</v>
      </c>
      <c r="Y133" s="248">
        <f t="shared" si="127"/>
        <v>1200</v>
      </c>
      <c r="Z133" s="248">
        <f t="shared" si="127"/>
        <v>900</v>
      </c>
      <c r="AA133" s="248">
        <f t="shared" si="127"/>
        <v>100</v>
      </c>
      <c r="AB133" s="248">
        <f t="shared" si="127"/>
        <v>2200</v>
      </c>
    </row>
    <row r="134" spans="1:28" s="253" customFormat="1" ht="38.25" customHeight="1" x14ac:dyDescent="0.25">
      <c r="A134" s="248" t="s">
        <v>400</v>
      </c>
      <c r="B134" s="248"/>
      <c r="C134" s="248"/>
      <c r="D134" s="249" t="s">
        <v>363</v>
      </c>
      <c r="E134" s="248"/>
      <c r="F134" s="249" t="s">
        <v>205</v>
      </c>
      <c r="G134" s="239" t="s">
        <v>339</v>
      </c>
      <c r="H134" s="250" t="s">
        <v>244</v>
      </c>
      <c r="I134" s="248" t="s">
        <v>331</v>
      </c>
      <c r="J134" s="251" t="s">
        <v>363</v>
      </c>
      <c r="K134" s="252">
        <f t="shared" ref="K134:AB134" si="128">SUMIFS(K$147:K$158,$G$147:$G$158,"ОБРАЗ г.Новороссийск РЕТРО ЮРМАЛА")</f>
        <v>0</v>
      </c>
      <c r="L134" s="248">
        <f t="shared" si="128"/>
        <v>0</v>
      </c>
      <c r="M134" s="248">
        <f t="shared" si="128"/>
        <v>0</v>
      </c>
      <c r="N134" s="248">
        <f t="shared" si="128"/>
        <v>0</v>
      </c>
      <c r="O134" s="248">
        <f t="shared" si="128"/>
        <v>0</v>
      </c>
      <c r="P134" s="248">
        <f t="shared" si="128"/>
        <v>0</v>
      </c>
      <c r="Q134" s="248">
        <f t="shared" si="128"/>
        <v>0</v>
      </c>
      <c r="R134" s="248">
        <f t="shared" si="128"/>
        <v>0</v>
      </c>
      <c r="S134" s="248">
        <f t="shared" si="128"/>
        <v>0</v>
      </c>
      <c r="T134" s="248">
        <f t="shared" si="128"/>
        <v>0</v>
      </c>
      <c r="U134" s="248">
        <f t="shared" si="128"/>
        <v>0</v>
      </c>
      <c r="V134" s="248">
        <f t="shared" si="128"/>
        <v>0</v>
      </c>
      <c r="W134" s="248">
        <f t="shared" si="128"/>
        <v>0</v>
      </c>
      <c r="X134" s="248">
        <f t="shared" si="128"/>
        <v>0</v>
      </c>
      <c r="Y134" s="248">
        <f t="shared" si="128"/>
        <v>0</v>
      </c>
      <c r="Z134" s="248">
        <f t="shared" si="128"/>
        <v>0</v>
      </c>
      <c r="AA134" s="248">
        <f t="shared" si="128"/>
        <v>0</v>
      </c>
      <c r="AB134" s="248">
        <f t="shared" si="128"/>
        <v>0</v>
      </c>
    </row>
    <row r="135" spans="1:28" s="253" customFormat="1" ht="38.25" customHeight="1" x14ac:dyDescent="0.25">
      <c r="A135" s="248" t="s">
        <v>400</v>
      </c>
      <c r="B135" s="248"/>
      <c r="C135" s="248"/>
      <c r="D135" s="249" t="s">
        <v>363</v>
      </c>
      <c r="E135" s="248"/>
      <c r="F135" s="249" t="s">
        <v>205</v>
      </c>
      <c r="G135" s="239" t="s">
        <v>391</v>
      </c>
      <c r="H135" s="250" t="s">
        <v>244</v>
      </c>
      <c r="I135" s="248" t="s">
        <v>392</v>
      </c>
      <c r="J135" s="251" t="s">
        <v>363</v>
      </c>
      <c r="K135" s="252">
        <f t="shared" ref="K135:AB135" si="129">SUMIFS(K$147:K$158,$G$147:$G$158,"ОБРАЗ г.Новосибирск РЕТРО ЦЕМЕНТОВОЗ")</f>
        <v>0</v>
      </c>
      <c r="L135" s="248">
        <f t="shared" si="129"/>
        <v>0</v>
      </c>
      <c r="M135" s="248">
        <f t="shared" si="129"/>
        <v>0</v>
      </c>
      <c r="N135" s="248">
        <f t="shared" si="129"/>
        <v>0</v>
      </c>
      <c r="O135" s="248">
        <f t="shared" si="129"/>
        <v>0</v>
      </c>
      <c r="P135" s="248">
        <f t="shared" si="129"/>
        <v>0</v>
      </c>
      <c r="Q135" s="248">
        <f t="shared" si="129"/>
        <v>0</v>
      </c>
      <c r="R135" s="248">
        <f t="shared" si="129"/>
        <v>0</v>
      </c>
      <c r="S135" s="248">
        <f t="shared" si="129"/>
        <v>0</v>
      </c>
      <c r="T135" s="248">
        <f t="shared" si="129"/>
        <v>0</v>
      </c>
      <c r="U135" s="248">
        <f t="shared" si="129"/>
        <v>0</v>
      </c>
      <c r="V135" s="248">
        <f t="shared" si="129"/>
        <v>0</v>
      </c>
      <c r="W135" s="248">
        <f t="shared" si="129"/>
        <v>0</v>
      </c>
      <c r="X135" s="248">
        <f t="shared" si="129"/>
        <v>0</v>
      </c>
      <c r="Y135" s="248">
        <f t="shared" si="129"/>
        <v>0</v>
      </c>
      <c r="Z135" s="248">
        <f t="shared" si="129"/>
        <v>0</v>
      </c>
      <c r="AA135" s="248">
        <f t="shared" si="129"/>
        <v>0</v>
      </c>
      <c r="AB135" s="248">
        <f t="shared" si="129"/>
        <v>0</v>
      </c>
    </row>
    <row r="136" spans="1:28" s="253" customFormat="1" ht="38.25" customHeight="1" x14ac:dyDescent="0.25">
      <c r="A136" s="248" t="s">
        <v>400</v>
      </c>
      <c r="B136" s="248"/>
      <c r="C136" s="248"/>
      <c r="D136" s="249" t="s">
        <v>363</v>
      </c>
      <c r="E136" s="248"/>
      <c r="F136" s="249" t="s">
        <v>205</v>
      </c>
      <c r="G136" s="239" t="s">
        <v>388</v>
      </c>
      <c r="H136" s="250" t="s">
        <v>244</v>
      </c>
      <c r="I136" s="248" t="s">
        <v>389</v>
      </c>
      <c r="J136" s="251" t="s">
        <v>363</v>
      </c>
      <c r="K136" s="252">
        <f t="shared" ref="K136:AB136" si="130">SUMIFS(K$147:K$158,$G$147:$G$158,"ОБРАЗ г.ТАТРА РЕТРО ЦЕМЕНТОВОЗ")</f>
        <v>0</v>
      </c>
      <c r="L136" s="248">
        <f t="shared" si="130"/>
        <v>0</v>
      </c>
      <c r="M136" s="248">
        <f t="shared" si="130"/>
        <v>0</v>
      </c>
      <c r="N136" s="248">
        <f t="shared" si="130"/>
        <v>0</v>
      </c>
      <c r="O136" s="248">
        <f t="shared" si="130"/>
        <v>0</v>
      </c>
      <c r="P136" s="248">
        <f t="shared" si="130"/>
        <v>0</v>
      </c>
      <c r="Q136" s="248">
        <f t="shared" si="130"/>
        <v>0</v>
      </c>
      <c r="R136" s="248">
        <f t="shared" si="130"/>
        <v>0</v>
      </c>
      <c r="S136" s="248">
        <f t="shared" si="130"/>
        <v>0</v>
      </c>
      <c r="T136" s="248">
        <f t="shared" si="130"/>
        <v>0</v>
      </c>
      <c r="U136" s="248">
        <f t="shared" si="130"/>
        <v>0</v>
      </c>
      <c r="V136" s="248">
        <f t="shared" si="130"/>
        <v>0</v>
      </c>
      <c r="W136" s="248">
        <f t="shared" si="130"/>
        <v>0</v>
      </c>
      <c r="X136" s="248">
        <f t="shared" si="130"/>
        <v>0</v>
      </c>
      <c r="Y136" s="248">
        <f t="shared" si="130"/>
        <v>0</v>
      </c>
      <c r="Z136" s="248">
        <f t="shared" si="130"/>
        <v>0</v>
      </c>
      <c r="AA136" s="248">
        <f t="shared" si="130"/>
        <v>0</v>
      </c>
      <c r="AB136" s="248">
        <f t="shared" si="130"/>
        <v>0</v>
      </c>
    </row>
    <row r="137" spans="1:28" s="253" customFormat="1" ht="38.25" customHeight="1" x14ac:dyDescent="0.25">
      <c r="A137" s="248" t="s">
        <v>400</v>
      </c>
      <c r="B137" s="248"/>
      <c r="C137" s="248"/>
      <c r="D137" s="249" t="s">
        <v>363</v>
      </c>
      <c r="E137" s="248"/>
      <c r="F137" s="249" t="s">
        <v>205</v>
      </c>
      <c r="G137" s="239" t="s">
        <v>397</v>
      </c>
      <c r="H137" s="250" t="s">
        <v>244</v>
      </c>
      <c r="I137" s="248" t="s">
        <v>393</v>
      </c>
      <c r="J137" s="251" t="s">
        <v>363</v>
      </c>
      <c r="K137" s="252">
        <f t="shared" ref="K137:AB137" si="131">SUMIFS(K$147:K$158,$G$147:$G$158,"ОБРАЗ ТУРТУФЛИ")</f>
        <v>0</v>
      </c>
      <c r="L137" s="248">
        <f t="shared" si="131"/>
        <v>0</v>
      </c>
      <c r="M137" s="248">
        <f t="shared" si="131"/>
        <v>0</v>
      </c>
      <c r="N137" s="248">
        <f t="shared" si="131"/>
        <v>0</v>
      </c>
      <c r="O137" s="248">
        <f t="shared" si="131"/>
        <v>0</v>
      </c>
      <c r="P137" s="248">
        <f t="shared" si="131"/>
        <v>0</v>
      </c>
      <c r="Q137" s="248">
        <f t="shared" si="131"/>
        <v>0</v>
      </c>
      <c r="R137" s="248">
        <f t="shared" si="131"/>
        <v>0</v>
      </c>
      <c r="S137" s="248">
        <f t="shared" si="131"/>
        <v>0</v>
      </c>
      <c r="T137" s="248">
        <f t="shared" si="131"/>
        <v>0</v>
      </c>
      <c r="U137" s="248">
        <f t="shared" si="131"/>
        <v>0</v>
      </c>
      <c r="V137" s="248">
        <f t="shared" si="131"/>
        <v>0</v>
      </c>
      <c r="W137" s="248">
        <f t="shared" si="131"/>
        <v>0</v>
      </c>
      <c r="X137" s="248">
        <f t="shared" si="131"/>
        <v>0</v>
      </c>
      <c r="Y137" s="248">
        <f t="shared" si="131"/>
        <v>0</v>
      </c>
      <c r="Z137" s="248">
        <f t="shared" si="131"/>
        <v>0</v>
      </c>
      <c r="AA137" s="248">
        <f t="shared" si="131"/>
        <v>0</v>
      </c>
      <c r="AB137" s="248">
        <f t="shared" si="131"/>
        <v>0</v>
      </c>
    </row>
    <row r="138" spans="1:28" s="247" customFormat="1" ht="20.25" customHeight="1" x14ac:dyDescent="0.25">
      <c r="A138" s="131" t="s">
        <v>205</v>
      </c>
      <c r="B138" s="131" t="s">
        <v>205</v>
      </c>
      <c r="C138" s="131" t="s">
        <v>205</v>
      </c>
      <c r="D138" s="131" t="s">
        <v>205</v>
      </c>
      <c r="E138" s="131" t="s">
        <v>205</v>
      </c>
      <c r="F138" s="131" t="s">
        <v>205</v>
      </c>
      <c r="G138" s="131" t="s">
        <v>205</v>
      </c>
      <c r="H138" s="119" t="s">
        <v>205</v>
      </c>
      <c r="I138" s="132" t="s">
        <v>205</v>
      </c>
      <c r="J138" s="132" t="s">
        <v>205</v>
      </c>
      <c r="K138" s="246">
        <f>K121-SUM(K139:K146)</f>
        <v>0</v>
      </c>
      <c r="L138" s="133">
        <f>L121-SUM(L139:L146)</f>
        <v>0</v>
      </c>
      <c r="M138" s="128">
        <f>M121-SUM(M139:M146)</f>
        <v>0</v>
      </c>
      <c r="N138" s="128">
        <f t="shared" ref="N138:T138" si="132">N121-SUM(N139:N146)</f>
        <v>0</v>
      </c>
      <c r="O138" s="128">
        <f t="shared" si="132"/>
        <v>0</v>
      </c>
      <c r="P138" s="128">
        <f>P121-SUM(P139:P146)</f>
        <v>0</v>
      </c>
      <c r="Q138" s="128">
        <f>Q121-SUM(Q139:Q146)</f>
        <v>0</v>
      </c>
      <c r="R138" s="128">
        <f>R121-SUM(R139:R146)</f>
        <v>0</v>
      </c>
      <c r="S138" s="128">
        <f>S121-SUM(S139:S146)</f>
        <v>0</v>
      </c>
      <c r="T138" s="128">
        <f t="shared" si="132"/>
        <v>0</v>
      </c>
      <c r="U138" s="128">
        <f t="shared" ref="U138:AB138" si="133">U121-SUM(U139:U146)</f>
        <v>0</v>
      </c>
      <c r="V138" s="128">
        <f t="shared" si="133"/>
        <v>0</v>
      </c>
      <c r="W138" s="128">
        <f t="shared" si="133"/>
        <v>0</v>
      </c>
      <c r="X138" s="128">
        <f t="shared" si="133"/>
        <v>0</v>
      </c>
      <c r="Y138" s="128">
        <f t="shared" si="133"/>
        <v>0</v>
      </c>
      <c r="Z138" s="133">
        <f t="shared" si="133"/>
        <v>0</v>
      </c>
      <c r="AA138" s="133">
        <f t="shared" si="133"/>
        <v>0</v>
      </c>
      <c r="AB138" s="128">
        <f t="shared" si="133"/>
        <v>0</v>
      </c>
    </row>
    <row r="139" spans="1:28" s="258" customFormat="1" ht="50.1" customHeight="1" x14ac:dyDescent="0.25">
      <c r="A139" s="124" t="s">
        <v>245</v>
      </c>
      <c r="B139" s="124" t="s">
        <v>348</v>
      </c>
      <c r="C139" s="124" t="s">
        <v>216</v>
      </c>
      <c r="D139" s="124" t="s">
        <v>363</v>
      </c>
      <c r="E139" s="124" t="s">
        <v>216</v>
      </c>
      <c r="F139" s="124" t="s">
        <v>278</v>
      </c>
      <c r="G139" s="124" t="s">
        <v>216</v>
      </c>
      <c r="H139" s="125" t="s">
        <v>244</v>
      </c>
      <c r="I139" s="255" t="s">
        <v>349</v>
      </c>
      <c r="J139" s="255" t="s">
        <v>363</v>
      </c>
      <c r="K139" s="256">
        <f t="shared" ref="K139:AB139" si="134">SUMIFS(K$147:K$158,$B$147:$B$158,"ЦЕНТР")</f>
        <v>0</v>
      </c>
      <c r="L139" s="257">
        <f t="shared" si="134"/>
        <v>0</v>
      </c>
      <c r="M139" s="257">
        <f t="shared" si="134"/>
        <v>0</v>
      </c>
      <c r="N139" s="257">
        <f t="shared" si="134"/>
        <v>0</v>
      </c>
      <c r="O139" s="257">
        <f t="shared" si="134"/>
        <v>0</v>
      </c>
      <c r="P139" s="257">
        <f t="shared" si="134"/>
        <v>0</v>
      </c>
      <c r="Q139" s="257">
        <f t="shared" si="134"/>
        <v>0</v>
      </c>
      <c r="R139" s="257">
        <f t="shared" si="134"/>
        <v>0</v>
      </c>
      <c r="S139" s="257">
        <f t="shared" si="134"/>
        <v>0</v>
      </c>
      <c r="T139" s="257">
        <f t="shared" si="134"/>
        <v>0</v>
      </c>
      <c r="U139" s="257">
        <f t="shared" si="134"/>
        <v>0</v>
      </c>
      <c r="V139" s="257">
        <f t="shared" si="134"/>
        <v>0</v>
      </c>
      <c r="W139" s="257">
        <f t="shared" si="134"/>
        <v>0</v>
      </c>
      <c r="X139" s="257">
        <f t="shared" si="134"/>
        <v>0</v>
      </c>
      <c r="Y139" s="257">
        <f t="shared" si="134"/>
        <v>0</v>
      </c>
      <c r="Z139" s="257">
        <f t="shared" si="134"/>
        <v>0</v>
      </c>
      <c r="AA139" s="257">
        <f t="shared" si="134"/>
        <v>0</v>
      </c>
      <c r="AB139" s="257">
        <f t="shared" si="134"/>
        <v>0</v>
      </c>
    </row>
    <row r="140" spans="1:28" s="258" customFormat="1" ht="50.1" customHeight="1" x14ac:dyDescent="0.25">
      <c r="A140" s="124" t="s">
        <v>245</v>
      </c>
      <c r="B140" s="124" t="s">
        <v>345</v>
      </c>
      <c r="C140" s="124" t="s">
        <v>216</v>
      </c>
      <c r="D140" s="124" t="s">
        <v>363</v>
      </c>
      <c r="E140" s="124" t="s">
        <v>216</v>
      </c>
      <c r="F140" s="124" t="s">
        <v>278</v>
      </c>
      <c r="G140" s="124" t="s">
        <v>216</v>
      </c>
      <c r="H140" s="125" t="s">
        <v>244</v>
      </c>
      <c r="I140" s="255" t="s">
        <v>380</v>
      </c>
      <c r="J140" s="255" t="s">
        <v>363</v>
      </c>
      <c r="K140" s="256">
        <f t="shared" ref="K140:AB140" si="135">SUMIFS(K$147:K$158,$B$147:$B$158,"СЕВЕР")</f>
        <v>9</v>
      </c>
      <c r="L140" s="257">
        <f t="shared" si="135"/>
        <v>36000</v>
      </c>
      <c r="M140" s="257">
        <f t="shared" si="135"/>
        <v>500</v>
      </c>
      <c r="N140" s="257">
        <f t="shared" si="135"/>
        <v>700</v>
      </c>
      <c r="O140" s="257">
        <f t="shared" si="135"/>
        <v>0</v>
      </c>
      <c r="P140" s="257">
        <f t="shared" si="135"/>
        <v>0</v>
      </c>
      <c r="Q140" s="257">
        <f t="shared" si="135"/>
        <v>0</v>
      </c>
      <c r="R140" s="257">
        <f t="shared" si="135"/>
        <v>0</v>
      </c>
      <c r="S140" s="257">
        <f t="shared" si="135"/>
        <v>0</v>
      </c>
      <c r="T140" s="257">
        <f t="shared" si="135"/>
        <v>0</v>
      </c>
      <c r="U140" s="257">
        <f t="shared" si="135"/>
        <v>0</v>
      </c>
      <c r="V140" s="257">
        <f t="shared" si="135"/>
        <v>0</v>
      </c>
      <c r="W140" s="257">
        <f t="shared" si="135"/>
        <v>0</v>
      </c>
      <c r="X140" s="257">
        <f t="shared" si="135"/>
        <v>0</v>
      </c>
      <c r="Y140" s="257">
        <f t="shared" si="135"/>
        <v>1200</v>
      </c>
      <c r="Z140" s="257">
        <f t="shared" si="135"/>
        <v>900</v>
      </c>
      <c r="AA140" s="257">
        <f t="shared" si="135"/>
        <v>100</v>
      </c>
      <c r="AB140" s="257">
        <f t="shared" si="135"/>
        <v>2200</v>
      </c>
    </row>
    <row r="141" spans="1:28" s="258" customFormat="1" ht="50.1" customHeight="1" x14ac:dyDescent="0.25">
      <c r="A141" s="124" t="s">
        <v>245</v>
      </c>
      <c r="B141" s="124" t="s">
        <v>352</v>
      </c>
      <c r="C141" s="124" t="s">
        <v>216</v>
      </c>
      <c r="D141" s="124" t="s">
        <v>363</v>
      </c>
      <c r="E141" s="124" t="s">
        <v>216</v>
      </c>
      <c r="F141" s="124" t="s">
        <v>278</v>
      </c>
      <c r="G141" s="124" t="s">
        <v>216</v>
      </c>
      <c r="H141" s="125" t="s">
        <v>244</v>
      </c>
      <c r="I141" s="255" t="s">
        <v>381</v>
      </c>
      <c r="J141" s="255" t="s">
        <v>363</v>
      </c>
      <c r="K141" s="256">
        <f t="shared" ref="K141:AB141" si="136">SUMIFS(K$147:K$158,$B$147:$B$158,"ПРиволжье")</f>
        <v>0</v>
      </c>
      <c r="L141" s="257">
        <f t="shared" si="136"/>
        <v>0</v>
      </c>
      <c r="M141" s="257">
        <f t="shared" si="136"/>
        <v>0</v>
      </c>
      <c r="N141" s="257">
        <f t="shared" si="136"/>
        <v>0</v>
      </c>
      <c r="O141" s="257">
        <f t="shared" si="136"/>
        <v>0</v>
      </c>
      <c r="P141" s="257">
        <f t="shared" si="136"/>
        <v>0</v>
      </c>
      <c r="Q141" s="257">
        <f t="shared" si="136"/>
        <v>0</v>
      </c>
      <c r="R141" s="257">
        <f t="shared" si="136"/>
        <v>0</v>
      </c>
      <c r="S141" s="257">
        <f t="shared" si="136"/>
        <v>0</v>
      </c>
      <c r="T141" s="257">
        <f t="shared" si="136"/>
        <v>0</v>
      </c>
      <c r="U141" s="257">
        <f t="shared" si="136"/>
        <v>0</v>
      </c>
      <c r="V141" s="257">
        <f t="shared" si="136"/>
        <v>0</v>
      </c>
      <c r="W141" s="257">
        <f t="shared" si="136"/>
        <v>0</v>
      </c>
      <c r="X141" s="257">
        <f t="shared" si="136"/>
        <v>0</v>
      </c>
      <c r="Y141" s="257">
        <f t="shared" si="136"/>
        <v>0</v>
      </c>
      <c r="Z141" s="257">
        <f t="shared" si="136"/>
        <v>0</v>
      </c>
      <c r="AA141" s="257">
        <f t="shared" si="136"/>
        <v>0</v>
      </c>
      <c r="AB141" s="257">
        <f t="shared" si="136"/>
        <v>0</v>
      </c>
    </row>
    <row r="142" spans="1:28" s="258" customFormat="1" ht="50.1" customHeight="1" x14ac:dyDescent="0.25">
      <c r="A142" s="124" t="s">
        <v>245</v>
      </c>
      <c r="B142" s="124" t="s">
        <v>355</v>
      </c>
      <c r="C142" s="124" t="s">
        <v>216</v>
      </c>
      <c r="D142" s="124" t="s">
        <v>363</v>
      </c>
      <c r="E142" s="124" t="s">
        <v>216</v>
      </c>
      <c r="F142" s="124" t="s">
        <v>278</v>
      </c>
      <c r="G142" s="124" t="s">
        <v>216</v>
      </c>
      <c r="H142" s="125" t="s">
        <v>244</v>
      </c>
      <c r="I142" s="255" t="s">
        <v>382</v>
      </c>
      <c r="J142" s="255" t="s">
        <v>363</v>
      </c>
      <c r="K142" s="256">
        <f t="shared" ref="K142:AB142" si="137">SUMIFS(K$147:K$158,$B$147:$B$158,"ЮГ")</f>
        <v>0</v>
      </c>
      <c r="L142" s="257">
        <f t="shared" si="137"/>
        <v>0</v>
      </c>
      <c r="M142" s="257">
        <f t="shared" si="137"/>
        <v>0</v>
      </c>
      <c r="N142" s="257">
        <f t="shared" si="137"/>
        <v>0</v>
      </c>
      <c r="O142" s="257">
        <f t="shared" si="137"/>
        <v>0</v>
      </c>
      <c r="P142" s="257">
        <f t="shared" si="137"/>
        <v>0</v>
      </c>
      <c r="Q142" s="257">
        <f t="shared" si="137"/>
        <v>0</v>
      </c>
      <c r="R142" s="257">
        <f t="shared" si="137"/>
        <v>0</v>
      </c>
      <c r="S142" s="257">
        <f t="shared" si="137"/>
        <v>0</v>
      </c>
      <c r="T142" s="257">
        <f t="shared" si="137"/>
        <v>0</v>
      </c>
      <c r="U142" s="257">
        <f t="shared" si="137"/>
        <v>0</v>
      </c>
      <c r="V142" s="257">
        <f t="shared" si="137"/>
        <v>0</v>
      </c>
      <c r="W142" s="257">
        <f t="shared" si="137"/>
        <v>0</v>
      </c>
      <c r="X142" s="257">
        <f t="shared" si="137"/>
        <v>0</v>
      </c>
      <c r="Y142" s="257">
        <f t="shared" si="137"/>
        <v>0</v>
      </c>
      <c r="Z142" s="257">
        <f t="shared" si="137"/>
        <v>0</v>
      </c>
      <c r="AA142" s="257">
        <f t="shared" si="137"/>
        <v>0</v>
      </c>
      <c r="AB142" s="257">
        <f t="shared" si="137"/>
        <v>0</v>
      </c>
    </row>
    <row r="143" spans="1:28" s="258" customFormat="1" ht="50.1" customHeight="1" x14ac:dyDescent="0.25">
      <c r="A143" s="124" t="s">
        <v>245</v>
      </c>
      <c r="B143" s="124" t="s">
        <v>358</v>
      </c>
      <c r="C143" s="124" t="s">
        <v>216</v>
      </c>
      <c r="D143" s="124" t="s">
        <v>363</v>
      </c>
      <c r="E143" s="124" t="s">
        <v>216</v>
      </c>
      <c r="F143" s="124" t="s">
        <v>278</v>
      </c>
      <c r="G143" s="124" t="s">
        <v>216</v>
      </c>
      <c r="H143" s="125" t="s">
        <v>244</v>
      </c>
      <c r="I143" s="255" t="s">
        <v>383</v>
      </c>
      <c r="J143" s="255" t="s">
        <v>363</v>
      </c>
      <c r="K143" s="256">
        <f t="shared" ref="K143:AB143" si="138">SUMIFS(K$147:K$158,$B$147:$B$158,"Урал")</f>
        <v>0</v>
      </c>
      <c r="L143" s="257">
        <f t="shared" si="138"/>
        <v>0</v>
      </c>
      <c r="M143" s="257">
        <f t="shared" si="138"/>
        <v>0</v>
      </c>
      <c r="N143" s="257">
        <f t="shared" si="138"/>
        <v>0</v>
      </c>
      <c r="O143" s="257">
        <f t="shared" si="138"/>
        <v>0</v>
      </c>
      <c r="P143" s="257">
        <f t="shared" si="138"/>
        <v>0</v>
      </c>
      <c r="Q143" s="257">
        <f t="shared" si="138"/>
        <v>0</v>
      </c>
      <c r="R143" s="257">
        <f t="shared" si="138"/>
        <v>0</v>
      </c>
      <c r="S143" s="257">
        <f t="shared" si="138"/>
        <v>0</v>
      </c>
      <c r="T143" s="257">
        <f t="shared" si="138"/>
        <v>0</v>
      </c>
      <c r="U143" s="257">
        <f t="shared" si="138"/>
        <v>0</v>
      </c>
      <c r="V143" s="257">
        <f t="shared" si="138"/>
        <v>0</v>
      </c>
      <c r="W143" s="257">
        <f t="shared" si="138"/>
        <v>0</v>
      </c>
      <c r="X143" s="257">
        <f t="shared" si="138"/>
        <v>0</v>
      </c>
      <c r="Y143" s="257">
        <f t="shared" si="138"/>
        <v>0</v>
      </c>
      <c r="Z143" s="257">
        <f t="shared" si="138"/>
        <v>0</v>
      </c>
      <c r="AA143" s="257">
        <f t="shared" si="138"/>
        <v>0</v>
      </c>
      <c r="AB143" s="257">
        <f t="shared" si="138"/>
        <v>0</v>
      </c>
    </row>
    <row r="144" spans="1:28" s="258" customFormat="1" ht="50.1" customHeight="1" x14ac:dyDescent="0.25">
      <c r="A144" s="124" t="s">
        <v>245</v>
      </c>
      <c r="B144" s="124" t="s">
        <v>370</v>
      </c>
      <c r="C144" s="124" t="s">
        <v>216</v>
      </c>
      <c r="D144" s="124" t="s">
        <v>363</v>
      </c>
      <c r="E144" s="124" t="s">
        <v>216</v>
      </c>
      <c r="F144" s="124" t="s">
        <v>278</v>
      </c>
      <c r="G144" s="124" t="s">
        <v>216</v>
      </c>
      <c r="H144" s="125" t="s">
        <v>244</v>
      </c>
      <c r="I144" s="255" t="s">
        <v>384</v>
      </c>
      <c r="J144" s="255" t="s">
        <v>363</v>
      </c>
      <c r="K144" s="256">
        <f t="shared" ref="K144:AB144" si="139">SUMIFS(K$147:K$158,$B$147:$B$158,"Сибирь")</f>
        <v>0</v>
      </c>
      <c r="L144" s="257">
        <f t="shared" si="139"/>
        <v>0</v>
      </c>
      <c r="M144" s="257">
        <f t="shared" si="139"/>
        <v>0</v>
      </c>
      <c r="N144" s="257">
        <f t="shared" si="139"/>
        <v>0</v>
      </c>
      <c r="O144" s="257">
        <f t="shared" si="139"/>
        <v>0</v>
      </c>
      <c r="P144" s="257">
        <f t="shared" si="139"/>
        <v>0</v>
      </c>
      <c r="Q144" s="257">
        <f t="shared" si="139"/>
        <v>0</v>
      </c>
      <c r="R144" s="257">
        <f t="shared" si="139"/>
        <v>0</v>
      </c>
      <c r="S144" s="257">
        <f t="shared" si="139"/>
        <v>0</v>
      </c>
      <c r="T144" s="257">
        <f t="shared" si="139"/>
        <v>0</v>
      </c>
      <c r="U144" s="257">
        <f t="shared" si="139"/>
        <v>0</v>
      </c>
      <c r="V144" s="257">
        <f t="shared" si="139"/>
        <v>0</v>
      </c>
      <c r="W144" s="257">
        <f t="shared" si="139"/>
        <v>0</v>
      </c>
      <c r="X144" s="257">
        <f t="shared" si="139"/>
        <v>0</v>
      </c>
      <c r="Y144" s="257">
        <f t="shared" si="139"/>
        <v>0</v>
      </c>
      <c r="Z144" s="257">
        <f t="shared" si="139"/>
        <v>0</v>
      </c>
      <c r="AA144" s="257">
        <f t="shared" si="139"/>
        <v>0</v>
      </c>
      <c r="AB144" s="257">
        <f t="shared" si="139"/>
        <v>0</v>
      </c>
    </row>
    <row r="145" spans="1:28" s="258" customFormat="1" ht="50.1" customHeight="1" x14ac:dyDescent="0.25">
      <c r="A145" s="124" t="s">
        <v>245</v>
      </c>
      <c r="B145" s="124" t="s">
        <v>367</v>
      </c>
      <c r="C145" s="124" t="s">
        <v>216</v>
      </c>
      <c r="D145" s="124" t="s">
        <v>363</v>
      </c>
      <c r="E145" s="124" t="s">
        <v>216</v>
      </c>
      <c r="F145" s="124" t="s">
        <v>278</v>
      </c>
      <c r="G145" s="124" t="s">
        <v>216</v>
      </c>
      <c r="H145" s="125" t="s">
        <v>244</v>
      </c>
      <c r="I145" s="255" t="s">
        <v>385</v>
      </c>
      <c r="J145" s="255" t="s">
        <v>363</v>
      </c>
      <c r="K145" s="256">
        <f t="shared" ref="K145:AB145" si="140">SUMIFS(K$147:K$158,$B$147:$B$158,"ДАЛЬНИЙ")</f>
        <v>0</v>
      </c>
      <c r="L145" s="257">
        <f t="shared" si="140"/>
        <v>0</v>
      </c>
      <c r="M145" s="257">
        <f t="shared" si="140"/>
        <v>0</v>
      </c>
      <c r="N145" s="257">
        <f t="shared" si="140"/>
        <v>0</v>
      </c>
      <c r="O145" s="257">
        <f t="shared" si="140"/>
        <v>0</v>
      </c>
      <c r="P145" s="257">
        <f t="shared" si="140"/>
        <v>0</v>
      </c>
      <c r="Q145" s="257">
        <f t="shared" si="140"/>
        <v>0</v>
      </c>
      <c r="R145" s="257">
        <f t="shared" si="140"/>
        <v>0</v>
      </c>
      <c r="S145" s="257">
        <f t="shared" si="140"/>
        <v>0</v>
      </c>
      <c r="T145" s="257">
        <f t="shared" si="140"/>
        <v>0</v>
      </c>
      <c r="U145" s="257">
        <f t="shared" si="140"/>
        <v>0</v>
      </c>
      <c r="V145" s="257">
        <f t="shared" si="140"/>
        <v>0</v>
      </c>
      <c r="W145" s="257">
        <f t="shared" si="140"/>
        <v>0</v>
      </c>
      <c r="X145" s="257">
        <f t="shared" si="140"/>
        <v>0</v>
      </c>
      <c r="Y145" s="257">
        <f t="shared" si="140"/>
        <v>0</v>
      </c>
      <c r="Z145" s="257">
        <f t="shared" si="140"/>
        <v>0</v>
      </c>
      <c r="AA145" s="257">
        <f t="shared" si="140"/>
        <v>0</v>
      </c>
      <c r="AB145" s="257">
        <f t="shared" si="140"/>
        <v>0</v>
      </c>
    </row>
    <row r="146" spans="1:28" s="258" customFormat="1" ht="50.1" customHeight="1" x14ac:dyDescent="0.25">
      <c r="A146" s="124" t="s">
        <v>245</v>
      </c>
      <c r="B146" s="124" t="s">
        <v>230</v>
      </c>
      <c r="C146" s="124" t="s">
        <v>216</v>
      </c>
      <c r="D146" s="124" t="s">
        <v>363</v>
      </c>
      <c r="E146" s="124" t="s">
        <v>216</v>
      </c>
      <c r="F146" s="124" t="s">
        <v>278</v>
      </c>
      <c r="G146" s="124" t="s">
        <v>216</v>
      </c>
      <c r="H146" s="125" t="s">
        <v>244</v>
      </c>
      <c r="I146" s="255" t="s">
        <v>386</v>
      </c>
      <c r="J146" s="255" t="s">
        <v>363</v>
      </c>
      <c r="K146" s="256">
        <f t="shared" ref="K146:AB146" si="141">SUMIFS(K$147:K$158,$B$147:$B$158,"ТО")</f>
        <v>0</v>
      </c>
      <c r="L146" s="257">
        <f t="shared" si="141"/>
        <v>0</v>
      </c>
      <c r="M146" s="257">
        <f t="shared" si="141"/>
        <v>0</v>
      </c>
      <c r="N146" s="257">
        <f t="shared" si="141"/>
        <v>0</v>
      </c>
      <c r="O146" s="257">
        <f t="shared" si="141"/>
        <v>0</v>
      </c>
      <c r="P146" s="257">
        <f t="shared" si="141"/>
        <v>0</v>
      </c>
      <c r="Q146" s="257">
        <f t="shared" si="141"/>
        <v>0</v>
      </c>
      <c r="R146" s="257">
        <f t="shared" si="141"/>
        <v>0</v>
      </c>
      <c r="S146" s="257">
        <f t="shared" si="141"/>
        <v>0</v>
      </c>
      <c r="T146" s="257">
        <f t="shared" si="141"/>
        <v>0</v>
      </c>
      <c r="U146" s="257">
        <f t="shared" si="141"/>
        <v>0</v>
      </c>
      <c r="V146" s="257">
        <f t="shared" si="141"/>
        <v>0</v>
      </c>
      <c r="W146" s="257">
        <f t="shared" si="141"/>
        <v>0</v>
      </c>
      <c r="X146" s="257">
        <f t="shared" si="141"/>
        <v>0</v>
      </c>
      <c r="Y146" s="257">
        <f t="shared" si="141"/>
        <v>0</v>
      </c>
      <c r="Z146" s="257">
        <f t="shared" si="141"/>
        <v>0</v>
      </c>
      <c r="AA146" s="257">
        <f t="shared" si="141"/>
        <v>0</v>
      </c>
      <c r="AB146" s="257">
        <f t="shared" si="141"/>
        <v>0</v>
      </c>
    </row>
    <row r="147" spans="1:28" s="247" customFormat="1" ht="20.25" customHeight="1" x14ac:dyDescent="0.25">
      <c r="A147" s="131" t="s">
        <v>205</v>
      </c>
      <c r="B147" s="131" t="s">
        <v>205</v>
      </c>
      <c r="C147" s="131" t="s">
        <v>205</v>
      </c>
      <c r="D147" s="131" t="s">
        <v>205</v>
      </c>
      <c r="E147" s="131" t="s">
        <v>205</v>
      </c>
      <c r="F147" s="131" t="s">
        <v>205</v>
      </c>
      <c r="G147" s="131" t="s">
        <v>205</v>
      </c>
      <c r="H147" s="119" t="s">
        <v>205</v>
      </c>
      <c r="I147" s="132" t="s">
        <v>205</v>
      </c>
      <c r="J147" s="132" t="s">
        <v>205</v>
      </c>
      <c r="K147" s="246" t="s">
        <v>205</v>
      </c>
      <c r="L147" s="133" t="s">
        <v>205</v>
      </c>
      <c r="M147" s="128" t="s">
        <v>205</v>
      </c>
      <c r="N147" s="128" t="s">
        <v>205</v>
      </c>
      <c r="O147" s="128" t="s">
        <v>205</v>
      </c>
      <c r="P147" s="128" t="s">
        <v>205</v>
      </c>
      <c r="Q147" s="128" t="s">
        <v>205</v>
      </c>
      <c r="R147" s="128" t="s">
        <v>205</v>
      </c>
      <c r="S147" s="128" t="s">
        <v>205</v>
      </c>
      <c r="T147" s="128" t="s">
        <v>205</v>
      </c>
      <c r="U147" s="128" t="s">
        <v>205</v>
      </c>
      <c r="V147" s="128" t="s">
        <v>205</v>
      </c>
      <c r="W147" s="128" t="s">
        <v>205</v>
      </c>
      <c r="X147" s="128" t="s">
        <v>205</v>
      </c>
      <c r="Y147" s="128" t="s">
        <v>205</v>
      </c>
      <c r="Z147" s="133" t="s">
        <v>205</v>
      </c>
      <c r="AA147" s="133" t="s">
        <v>205</v>
      </c>
      <c r="AB147" s="128" t="s">
        <v>205</v>
      </c>
    </row>
    <row r="148" spans="1:28" ht="37.5" customHeight="1" x14ac:dyDescent="0.25">
      <c r="A148" s="119" t="s">
        <v>344</v>
      </c>
      <c r="B148" s="119" t="s">
        <v>216</v>
      </c>
      <c r="C148" s="119" t="s">
        <v>216</v>
      </c>
      <c r="D148" s="119" t="s">
        <v>363</v>
      </c>
      <c r="E148" s="119"/>
      <c r="F148" s="119" t="s">
        <v>278</v>
      </c>
      <c r="G148" s="119" t="s">
        <v>216</v>
      </c>
      <c r="H148" s="126" t="s">
        <v>18</v>
      </c>
      <c r="I148" s="178" t="s">
        <v>411</v>
      </c>
      <c r="J148" s="179"/>
      <c r="K148" s="170">
        <f t="shared" ref="K148:AB148" si="142">SUM(K149:K154)</f>
        <v>6</v>
      </c>
      <c r="L148" s="180">
        <f t="shared" si="142"/>
        <v>6000</v>
      </c>
      <c r="M148" s="180">
        <f t="shared" si="142"/>
        <v>300</v>
      </c>
      <c r="N148" s="180">
        <f t="shared" si="142"/>
        <v>500</v>
      </c>
      <c r="O148" s="180">
        <f t="shared" si="142"/>
        <v>0</v>
      </c>
      <c r="P148" s="180">
        <f t="shared" si="142"/>
        <v>0</v>
      </c>
      <c r="Q148" s="180">
        <f t="shared" si="142"/>
        <v>0</v>
      </c>
      <c r="R148" s="180">
        <f t="shared" si="142"/>
        <v>0</v>
      </c>
      <c r="S148" s="180">
        <f t="shared" si="142"/>
        <v>0</v>
      </c>
      <c r="T148" s="180">
        <f t="shared" si="142"/>
        <v>0</v>
      </c>
      <c r="U148" s="180">
        <f t="shared" si="142"/>
        <v>0</v>
      </c>
      <c r="V148" s="180">
        <f t="shared" si="142"/>
        <v>0</v>
      </c>
      <c r="W148" s="180">
        <f t="shared" si="142"/>
        <v>0</v>
      </c>
      <c r="X148" s="180">
        <f t="shared" si="142"/>
        <v>0</v>
      </c>
      <c r="Y148" s="180">
        <f t="shared" si="142"/>
        <v>800</v>
      </c>
      <c r="Z148" s="180">
        <f t="shared" si="142"/>
        <v>600</v>
      </c>
      <c r="AA148" s="180">
        <f t="shared" si="142"/>
        <v>0</v>
      </c>
      <c r="AB148" s="180">
        <f t="shared" si="142"/>
        <v>1400</v>
      </c>
    </row>
    <row r="149" spans="1:28" s="197" customFormat="1" ht="37.5" x14ac:dyDescent="0.3">
      <c r="A149" s="119" t="s">
        <v>220</v>
      </c>
      <c r="B149" s="119" t="s">
        <v>345</v>
      </c>
      <c r="C149" s="119" t="s">
        <v>281</v>
      </c>
      <c r="D149" s="119" t="s">
        <v>363</v>
      </c>
      <c r="E149" s="119" t="s">
        <v>225</v>
      </c>
      <c r="F149" s="119" t="s">
        <v>278</v>
      </c>
      <c r="G149" s="119" t="s">
        <v>328</v>
      </c>
      <c r="H149" s="118" t="s">
        <v>69</v>
      </c>
      <c r="I149" s="117" t="s">
        <v>412</v>
      </c>
      <c r="J149" s="259"/>
      <c r="K149" s="123">
        <v>1</v>
      </c>
      <c r="L149" s="120">
        <v>1000</v>
      </c>
      <c r="M149" s="181">
        <v>100</v>
      </c>
      <c r="N149" s="121">
        <v>100</v>
      </c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>
        <f t="shared" ref="Y149:Y157" si="143">SUBTOTAL(9,M149:X149)</f>
        <v>200</v>
      </c>
      <c r="Z149" s="121">
        <v>100</v>
      </c>
      <c r="AA149" s="121"/>
      <c r="AB149" s="181">
        <f t="shared" ref="AB149:AB157" si="144">SUM(Y149:AA149)</f>
        <v>300</v>
      </c>
    </row>
    <row r="150" spans="1:28" s="197" customFormat="1" ht="37.5" x14ac:dyDescent="0.3">
      <c r="A150" s="119" t="s">
        <v>220</v>
      </c>
      <c r="B150" s="119" t="s">
        <v>345</v>
      </c>
      <c r="C150" s="119" t="s">
        <v>281</v>
      </c>
      <c r="D150" s="119" t="s">
        <v>363</v>
      </c>
      <c r="E150" s="119" t="s">
        <v>225</v>
      </c>
      <c r="F150" s="119" t="s">
        <v>278</v>
      </c>
      <c r="G150" s="119" t="s">
        <v>328</v>
      </c>
      <c r="H150" s="118" t="s">
        <v>72</v>
      </c>
      <c r="I150" s="117" t="s">
        <v>413</v>
      </c>
      <c r="J150" s="259"/>
      <c r="K150" s="123">
        <v>1</v>
      </c>
      <c r="L150" s="120">
        <v>1000</v>
      </c>
      <c r="M150" s="181">
        <v>100</v>
      </c>
      <c r="N150" s="121">
        <v>100</v>
      </c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>
        <f t="shared" si="143"/>
        <v>200</v>
      </c>
      <c r="Z150" s="121">
        <v>100</v>
      </c>
      <c r="AA150" s="121"/>
      <c r="AB150" s="181">
        <f t="shared" si="144"/>
        <v>300</v>
      </c>
    </row>
    <row r="151" spans="1:28" s="197" customFormat="1" ht="37.5" x14ac:dyDescent="0.3">
      <c r="A151" s="119" t="s">
        <v>220</v>
      </c>
      <c r="B151" s="119" t="s">
        <v>345</v>
      </c>
      <c r="C151" s="119" t="s">
        <v>281</v>
      </c>
      <c r="D151" s="119" t="s">
        <v>363</v>
      </c>
      <c r="E151" s="119" t="s">
        <v>225</v>
      </c>
      <c r="F151" s="119" t="s">
        <v>278</v>
      </c>
      <c r="G151" s="119" t="s">
        <v>328</v>
      </c>
      <c r="H151" s="118" t="s">
        <v>75</v>
      </c>
      <c r="I151" s="117" t="s">
        <v>414</v>
      </c>
      <c r="J151" s="259"/>
      <c r="K151" s="123">
        <v>1</v>
      </c>
      <c r="L151" s="120">
        <v>1000</v>
      </c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>
        <f t="shared" si="143"/>
        <v>0</v>
      </c>
      <c r="Z151" s="121">
        <v>100</v>
      </c>
      <c r="AA151" s="121"/>
      <c r="AB151" s="181">
        <f t="shared" si="144"/>
        <v>100</v>
      </c>
    </row>
    <row r="152" spans="1:28" s="197" customFormat="1" ht="37.5" x14ac:dyDescent="0.3">
      <c r="A152" s="119" t="s">
        <v>220</v>
      </c>
      <c r="B152" s="119" t="s">
        <v>345</v>
      </c>
      <c r="C152" s="119" t="s">
        <v>281</v>
      </c>
      <c r="D152" s="119" t="s">
        <v>363</v>
      </c>
      <c r="E152" s="119" t="s">
        <v>225</v>
      </c>
      <c r="F152" s="119" t="s">
        <v>278</v>
      </c>
      <c r="G152" s="119" t="s">
        <v>328</v>
      </c>
      <c r="H152" s="118" t="s">
        <v>82</v>
      </c>
      <c r="I152" s="117" t="s">
        <v>415</v>
      </c>
      <c r="J152" s="259"/>
      <c r="K152" s="123">
        <v>1</v>
      </c>
      <c r="L152" s="120">
        <v>1000</v>
      </c>
      <c r="M152" s="181"/>
      <c r="N152" s="121">
        <v>100</v>
      </c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>
        <f t="shared" si="143"/>
        <v>100</v>
      </c>
      <c r="Z152" s="121">
        <v>100</v>
      </c>
      <c r="AA152" s="121"/>
      <c r="AB152" s="181">
        <f t="shared" si="144"/>
        <v>200</v>
      </c>
    </row>
    <row r="153" spans="1:28" s="197" customFormat="1" ht="37.5" x14ac:dyDescent="0.3">
      <c r="A153" s="119" t="s">
        <v>220</v>
      </c>
      <c r="B153" s="119" t="s">
        <v>345</v>
      </c>
      <c r="C153" s="119" t="s">
        <v>281</v>
      </c>
      <c r="D153" s="119" t="s">
        <v>363</v>
      </c>
      <c r="E153" s="119" t="s">
        <v>225</v>
      </c>
      <c r="F153" s="119" t="s">
        <v>278</v>
      </c>
      <c r="G153" s="119" t="s">
        <v>328</v>
      </c>
      <c r="H153" s="118" t="s">
        <v>85</v>
      </c>
      <c r="I153" s="117" t="s">
        <v>416</v>
      </c>
      <c r="J153" s="259"/>
      <c r="K153" s="123">
        <v>1</v>
      </c>
      <c r="L153" s="120">
        <v>1000</v>
      </c>
      <c r="M153" s="181">
        <v>100</v>
      </c>
      <c r="N153" s="121">
        <v>100</v>
      </c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>
        <f t="shared" si="143"/>
        <v>200</v>
      </c>
      <c r="Z153" s="121">
        <v>100</v>
      </c>
      <c r="AA153" s="121"/>
      <c r="AB153" s="181">
        <f t="shared" si="144"/>
        <v>300</v>
      </c>
    </row>
    <row r="154" spans="1:28" s="197" customFormat="1" ht="37.5" x14ac:dyDescent="0.3">
      <c r="A154" s="119" t="s">
        <v>220</v>
      </c>
      <c r="B154" s="119" t="s">
        <v>345</v>
      </c>
      <c r="C154" s="119" t="s">
        <v>281</v>
      </c>
      <c r="D154" s="119" t="s">
        <v>363</v>
      </c>
      <c r="E154" s="119" t="s">
        <v>225</v>
      </c>
      <c r="F154" s="119" t="s">
        <v>278</v>
      </c>
      <c r="G154" s="119" t="s">
        <v>328</v>
      </c>
      <c r="H154" s="118" t="s">
        <v>88</v>
      </c>
      <c r="I154" s="117" t="s">
        <v>417</v>
      </c>
      <c r="J154" s="259"/>
      <c r="K154" s="123">
        <v>1</v>
      </c>
      <c r="L154" s="120">
        <v>1000</v>
      </c>
      <c r="M154" s="181"/>
      <c r="N154" s="121">
        <v>100</v>
      </c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>
        <f t="shared" si="143"/>
        <v>100</v>
      </c>
      <c r="Z154" s="121">
        <v>100</v>
      </c>
      <c r="AA154" s="121"/>
      <c r="AB154" s="181">
        <f t="shared" si="144"/>
        <v>200</v>
      </c>
    </row>
    <row r="155" spans="1:28" ht="37.5" x14ac:dyDescent="0.25">
      <c r="A155" s="119" t="s">
        <v>344</v>
      </c>
      <c r="B155" s="119" t="s">
        <v>345</v>
      </c>
      <c r="C155" s="119" t="s">
        <v>281</v>
      </c>
      <c r="D155" s="119" t="s">
        <v>363</v>
      </c>
      <c r="E155" s="119" t="s">
        <v>225</v>
      </c>
      <c r="F155" s="119" t="s">
        <v>278</v>
      </c>
      <c r="G155" s="119" t="s">
        <v>328</v>
      </c>
      <c r="H155" s="126" t="s">
        <v>19</v>
      </c>
      <c r="I155" s="178" t="s">
        <v>418</v>
      </c>
      <c r="J155" s="179"/>
      <c r="K155" s="170">
        <v>1</v>
      </c>
      <c r="L155" s="181">
        <v>10000</v>
      </c>
      <c r="M155" s="181"/>
      <c r="N155" s="121">
        <v>100</v>
      </c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>
        <f t="shared" si="143"/>
        <v>100</v>
      </c>
      <c r="Z155" s="121">
        <v>100</v>
      </c>
      <c r="AA155" s="121"/>
      <c r="AB155" s="182">
        <f t="shared" si="144"/>
        <v>200</v>
      </c>
    </row>
    <row r="156" spans="1:28" ht="37.5" x14ac:dyDescent="0.25">
      <c r="A156" s="119" t="s">
        <v>344</v>
      </c>
      <c r="B156" s="119" t="s">
        <v>345</v>
      </c>
      <c r="C156" s="119" t="s">
        <v>281</v>
      </c>
      <c r="D156" s="119" t="s">
        <v>363</v>
      </c>
      <c r="E156" s="119" t="s">
        <v>225</v>
      </c>
      <c r="F156" s="119" t="s">
        <v>278</v>
      </c>
      <c r="G156" s="119" t="s">
        <v>328</v>
      </c>
      <c r="H156" s="126" t="s">
        <v>20</v>
      </c>
      <c r="I156" s="178" t="s">
        <v>419</v>
      </c>
      <c r="J156" s="179"/>
      <c r="K156" s="170">
        <v>1</v>
      </c>
      <c r="L156" s="181">
        <v>10000</v>
      </c>
      <c r="M156" s="181">
        <v>100</v>
      </c>
      <c r="N156" s="181">
        <v>100</v>
      </c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>
        <f t="shared" si="143"/>
        <v>200</v>
      </c>
      <c r="Z156" s="121">
        <v>100</v>
      </c>
      <c r="AA156" s="121"/>
      <c r="AB156" s="182">
        <f t="shared" si="144"/>
        <v>300</v>
      </c>
    </row>
    <row r="157" spans="1:28" ht="84.75" customHeight="1" x14ac:dyDescent="0.25">
      <c r="A157" s="119" t="s">
        <v>344</v>
      </c>
      <c r="B157" s="119" t="s">
        <v>345</v>
      </c>
      <c r="C157" s="119" t="s">
        <v>281</v>
      </c>
      <c r="D157" s="119" t="s">
        <v>363</v>
      </c>
      <c r="E157" s="119" t="s">
        <v>225</v>
      </c>
      <c r="F157" s="119" t="s">
        <v>278</v>
      </c>
      <c r="G157" s="119" t="s">
        <v>328</v>
      </c>
      <c r="H157" s="126" t="s">
        <v>21</v>
      </c>
      <c r="I157" s="178" t="s">
        <v>420</v>
      </c>
      <c r="J157" s="179"/>
      <c r="K157" s="170">
        <v>1</v>
      </c>
      <c r="L157" s="181">
        <v>10000</v>
      </c>
      <c r="M157" s="181">
        <v>100</v>
      </c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>
        <f t="shared" si="143"/>
        <v>100</v>
      </c>
      <c r="Z157" s="121">
        <v>100</v>
      </c>
      <c r="AA157" s="121">
        <v>100</v>
      </c>
      <c r="AB157" s="182">
        <f t="shared" si="144"/>
        <v>300</v>
      </c>
    </row>
    <row r="158" spans="1:28" ht="20.25" customHeight="1" x14ac:dyDescent="0.25">
      <c r="A158" s="131" t="s">
        <v>205</v>
      </c>
      <c r="B158" s="131" t="s">
        <v>205</v>
      </c>
      <c r="C158" s="131" t="s">
        <v>205</v>
      </c>
      <c r="D158" s="131" t="s">
        <v>205</v>
      </c>
      <c r="E158" s="131" t="s">
        <v>205</v>
      </c>
      <c r="F158" s="131" t="s">
        <v>205</v>
      </c>
      <c r="G158" s="131" t="s">
        <v>205</v>
      </c>
      <c r="H158" s="119" t="s">
        <v>205</v>
      </c>
      <c r="I158" s="132" t="s">
        <v>205</v>
      </c>
      <c r="J158" s="132" t="s">
        <v>205</v>
      </c>
      <c r="K158" s="246" t="s">
        <v>205</v>
      </c>
      <c r="L158" s="133" t="s">
        <v>205</v>
      </c>
      <c r="M158" s="128" t="s">
        <v>205</v>
      </c>
      <c r="N158" s="128" t="s">
        <v>205</v>
      </c>
      <c r="O158" s="128" t="s">
        <v>205</v>
      </c>
      <c r="P158" s="128" t="s">
        <v>205</v>
      </c>
      <c r="Q158" s="128" t="s">
        <v>205</v>
      </c>
      <c r="R158" s="128" t="s">
        <v>205</v>
      </c>
      <c r="S158" s="128" t="s">
        <v>205</v>
      </c>
      <c r="T158" s="128" t="s">
        <v>205</v>
      </c>
      <c r="U158" s="128" t="s">
        <v>205</v>
      </c>
      <c r="V158" s="128" t="s">
        <v>205</v>
      </c>
      <c r="W158" s="128" t="s">
        <v>205</v>
      </c>
      <c r="X158" s="128" t="s">
        <v>205</v>
      </c>
      <c r="Y158" s="128" t="s">
        <v>205</v>
      </c>
      <c r="Z158" s="133" t="s">
        <v>205</v>
      </c>
      <c r="AA158" s="133" t="s">
        <v>205</v>
      </c>
      <c r="AB158" s="128" t="s">
        <v>205</v>
      </c>
    </row>
    <row r="159" spans="1:28" ht="44.25" customHeight="1" x14ac:dyDescent="0.25">
      <c r="A159" s="172" t="s">
        <v>217</v>
      </c>
      <c r="B159" s="173" t="s">
        <v>216</v>
      </c>
      <c r="C159" s="173" t="s">
        <v>216</v>
      </c>
      <c r="D159" s="173" t="s">
        <v>365</v>
      </c>
      <c r="E159" s="173" t="s">
        <v>216</v>
      </c>
      <c r="F159" s="173" t="s">
        <v>278</v>
      </c>
      <c r="G159" s="173" t="s">
        <v>216</v>
      </c>
      <c r="H159" s="174">
        <v>3</v>
      </c>
      <c r="I159" s="175" t="s">
        <v>366</v>
      </c>
      <c r="J159" s="245" t="s">
        <v>198</v>
      </c>
      <c r="K159" s="176">
        <f t="shared" ref="K159:AB159" si="145">SUMIF($A$185:$A$187,"ИТОГ ОСНОВНОЙ",K$185:K$187)</f>
        <v>2</v>
      </c>
      <c r="L159" s="177">
        <f t="shared" si="145"/>
        <v>20000</v>
      </c>
      <c r="M159" s="177">
        <f t="shared" si="145"/>
        <v>0</v>
      </c>
      <c r="N159" s="177">
        <f t="shared" si="145"/>
        <v>300</v>
      </c>
      <c r="O159" s="177">
        <f t="shared" si="145"/>
        <v>0</v>
      </c>
      <c r="P159" s="177">
        <f t="shared" si="145"/>
        <v>0</v>
      </c>
      <c r="Q159" s="177">
        <f t="shared" si="145"/>
        <v>0</v>
      </c>
      <c r="R159" s="177">
        <f t="shared" si="145"/>
        <v>0</v>
      </c>
      <c r="S159" s="177">
        <f t="shared" si="145"/>
        <v>0</v>
      </c>
      <c r="T159" s="177">
        <f t="shared" si="145"/>
        <v>0</v>
      </c>
      <c r="U159" s="177">
        <f t="shared" si="145"/>
        <v>0</v>
      </c>
      <c r="V159" s="177">
        <f t="shared" si="145"/>
        <v>0</v>
      </c>
      <c r="W159" s="177">
        <f t="shared" si="145"/>
        <v>0</v>
      </c>
      <c r="X159" s="177">
        <f t="shared" si="145"/>
        <v>0</v>
      </c>
      <c r="Y159" s="177">
        <f t="shared" si="145"/>
        <v>300</v>
      </c>
      <c r="Z159" s="177">
        <f t="shared" si="145"/>
        <v>0</v>
      </c>
      <c r="AA159" s="177">
        <f t="shared" si="145"/>
        <v>250</v>
      </c>
      <c r="AB159" s="177">
        <f t="shared" si="145"/>
        <v>550</v>
      </c>
    </row>
    <row r="160" spans="1:28" s="247" customFormat="1" ht="20.25" customHeight="1" x14ac:dyDescent="0.25">
      <c r="A160" s="131" t="s">
        <v>205</v>
      </c>
      <c r="B160" s="131" t="s">
        <v>205</v>
      </c>
      <c r="C160" s="131" t="s">
        <v>205</v>
      </c>
      <c r="D160" s="131" t="s">
        <v>205</v>
      </c>
      <c r="E160" s="131" t="s">
        <v>205</v>
      </c>
      <c r="F160" s="131" t="s">
        <v>205</v>
      </c>
      <c r="G160" s="131" t="s">
        <v>205</v>
      </c>
      <c r="H160" s="119" t="s">
        <v>205</v>
      </c>
      <c r="I160" s="132" t="s">
        <v>205</v>
      </c>
      <c r="J160" s="132" t="s">
        <v>205</v>
      </c>
      <c r="K160" s="246">
        <f>K159-SUM(K161,K162,K163,K164)</f>
        <v>0</v>
      </c>
      <c r="L160" s="133">
        <f>L159-SUM(L161,L162,L163,L164)</f>
        <v>0</v>
      </c>
      <c r="M160" s="128">
        <f>M159-SUM(M161,M162,M163,M164)</f>
        <v>0</v>
      </c>
      <c r="N160" s="128">
        <f t="shared" ref="N160:T160" si="146">N159-SUM(N161,N162,N163,N164)</f>
        <v>0</v>
      </c>
      <c r="O160" s="128">
        <f t="shared" si="146"/>
        <v>0</v>
      </c>
      <c r="P160" s="128">
        <f>P159-SUM(P161,P162,P163,P164)</f>
        <v>0</v>
      </c>
      <c r="Q160" s="128">
        <f>Q159-SUM(Q161,Q162,Q163,Q164)</f>
        <v>0</v>
      </c>
      <c r="R160" s="128">
        <f>R159-SUM(R161,R162,R163,R164)</f>
        <v>0</v>
      </c>
      <c r="S160" s="128">
        <f>S159-SUM(S161,S162,S163,S164)</f>
        <v>0</v>
      </c>
      <c r="T160" s="128">
        <f t="shared" si="146"/>
        <v>0</v>
      </c>
      <c r="U160" s="128">
        <f t="shared" ref="U160:AB160" si="147">U159-SUM(U161,U162,U163,U164)</f>
        <v>0</v>
      </c>
      <c r="V160" s="128">
        <f t="shared" si="147"/>
        <v>0</v>
      </c>
      <c r="W160" s="128">
        <f t="shared" si="147"/>
        <v>0</v>
      </c>
      <c r="X160" s="128">
        <f t="shared" si="147"/>
        <v>0</v>
      </c>
      <c r="Y160" s="128">
        <f t="shared" si="147"/>
        <v>0</v>
      </c>
      <c r="Z160" s="133">
        <f t="shared" si="147"/>
        <v>0</v>
      </c>
      <c r="AA160" s="133">
        <f t="shared" si="147"/>
        <v>0</v>
      </c>
      <c r="AB160" s="128">
        <f t="shared" si="147"/>
        <v>0</v>
      </c>
    </row>
    <row r="161" spans="1:28" s="253" customFormat="1" ht="38.25" customHeight="1" x14ac:dyDescent="0.25">
      <c r="A161" s="248"/>
      <c r="B161" s="248"/>
      <c r="C161" s="249" t="s">
        <v>284</v>
      </c>
      <c r="D161" s="249" t="s">
        <v>365</v>
      </c>
      <c r="E161" s="248"/>
      <c r="F161" s="249" t="s">
        <v>205</v>
      </c>
      <c r="G161" s="249" t="s">
        <v>216</v>
      </c>
      <c r="H161" s="250" t="s">
        <v>244</v>
      </c>
      <c r="I161" s="248" t="s">
        <v>282</v>
      </c>
      <c r="J161" s="251" t="s">
        <v>365</v>
      </c>
      <c r="K161" s="252">
        <f t="shared" ref="K161:AB161" si="148">SUMIFS(K$185:K$187,$C$185:$C$187,"ЗЕРКАЛО")</f>
        <v>0</v>
      </c>
      <c r="L161" s="248">
        <f t="shared" si="148"/>
        <v>0</v>
      </c>
      <c r="M161" s="248">
        <f t="shared" si="148"/>
        <v>0</v>
      </c>
      <c r="N161" s="248">
        <f t="shared" si="148"/>
        <v>0</v>
      </c>
      <c r="O161" s="248">
        <f t="shared" si="148"/>
        <v>0</v>
      </c>
      <c r="P161" s="248">
        <f t="shared" si="148"/>
        <v>0</v>
      </c>
      <c r="Q161" s="248">
        <f t="shared" si="148"/>
        <v>0</v>
      </c>
      <c r="R161" s="248">
        <f t="shared" si="148"/>
        <v>0</v>
      </c>
      <c r="S161" s="248">
        <f t="shared" si="148"/>
        <v>0</v>
      </c>
      <c r="T161" s="248">
        <f t="shared" si="148"/>
        <v>0</v>
      </c>
      <c r="U161" s="248">
        <f t="shared" si="148"/>
        <v>0</v>
      </c>
      <c r="V161" s="248">
        <f t="shared" si="148"/>
        <v>0</v>
      </c>
      <c r="W161" s="248">
        <f t="shared" si="148"/>
        <v>0</v>
      </c>
      <c r="X161" s="248">
        <f t="shared" si="148"/>
        <v>0</v>
      </c>
      <c r="Y161" s="248">
        <f t="shared" si="148"/>
        <v>0</v>
      </c>
      <c r="Z161" s="248">
        <f t="shared" si="148"/>
        <v>0</v>
      </c>
      <c r="AA161" s="248">
        <f t="shared" si="148"/>
        <v>0</v>
      </c>
      <c r="AB161" s="248">
        <f t="shared" si="148"/>
        <v>0</v>
      </c>
    </row>
    <row r="162" spans="1:28" s="253" customFormat="1" ht="38.25" customHeight="1" x14ac:dyDescent="0.25">
      <c r="A162" s="248"/>
      <c r="B162" s="248"/>
      <c r="C162" s="249" t="s">
        <v>288</v>
      </c>
      <c r="D162" s="249" t="s">
        <v>365</v>
      </c>
      <c r="E162" s="248"/>
      <c r="F162" s="249" t="s">
        <v>205</v>
      </c>
      <c r="G162" s="249" t="s">
        <v>216</v>
      </c>
      <c r="H162" s="250" t="s">
        <v>244</v>
      </c>
      <c r="I162" s="248" t="s">
        <v>286</v>
      </c>
      <c r="J162" s="251" t="s">
        <v>365</v>
      </c>
      <c r="K162" s="252">
        <f t="shared" ref="K162:AB162" si="149">SUMIFS(K$185:K$187,$C$185:$C$187,"ЮРМАЛА")</f>
        <v>2</v>
      </c>
      <c r="L162" s="248">
        <f t="shared" si="149"/>
        <v>20000</v>
      </c>
      <c r="M162" s="248">
        <f t="shared" si="149"/>
        <v>0</v>
      </c>
      <c r="N162" s="248">
        <f t="shared" si="149"/>
        <v>300</v>
      </c>
      <c r="O162" s="248">
        <f t="shared" si="149"/>
        <v>0</v>
      </c>
      <c r="P162" s="248">
        <f t="shared" si="149"/>
        <v>0</v>
      </c>
      <c r="Q162" s="248">
        <f t="shared" si="149"/>
        <v>0</v>
      </c>
      <c r="R162" s="248">
        <f t="shared" si="149"/>
        <v>0</v>
      </c>
      <c r="S162" s="248">
        <f t="shared" si="149"/>
        <v>0</v>
      </c>
      <c r="T162" s="248">
        <f t="shared" si="149"/>
        <v>0</v>
      </c>
      <c r="U162" s="248">
        <f t="shared" si="149"/>
        <v>0</v>
      </c>
      <c r="V162" s="248">
        <f t="shared" si="149"/>
        <v>0</v>
      </c>
      <c r="W162" s="248">
        <f t="shared" si="149"/>
        <v>0</v>
      </c>
      <c r="X162" s="248">
        <f t="shared" si="149"/>
        <v>0</v>
      </c>
      <c r="Y162" s="248">
        <f t="shared" si="149"/>
        <v>300</v>
      </c>
      <c r="Z162" s="248">
        <f t="shared" si="149"/>
        <v>0</v>
      </c>
      <c r="AA162" s="248">
        <f t="shared" si="149"/>
        <v>250</v>
      </c>
      <c r="AB162" s="248">
        <f t="shared" si="149"/>
        <v>550</v>
      </c>
    </row>
    <row r="163" spans="1:28" s="253" customFormat="1" ht="38.25" customHeight="1" x14ac:dyDescent="0.25">
      <c r="A163" s="248"/>
      <c r="B163" s="248"/>
      <c r="C163" s="249" t="s">
        <v>292</v>
      </c>
      <c r="D163" s="249" t="s">
        <v>365</v>
      </c>
      <c r="E163" s="248"/>
      <c r="F163" s="249" t="s">
        <v>205</v>
      </c>
      <c r="G163" s="249" t="s">
        <v>216</v>
      </c>
      <c r="H163" s="250" t="s">
        <v>244</v>
      </c>
      <c r="I163" s="248" t="s">
        <v>290</v>
      </c>
      <c r="J163" s="251" t="s">
        <v>365</v>
      </c>
      <c r="K163" s="252">
        <f t="shared" ref="K163:AB163" si="150">SUMIFS(K$185:K$187,$C$185:$C$187,"ЦЕМЕНТОВОЗ")</f>
        <v>0</v>
      </c>
      <c r="L163" s="248">
        <f t="shared" si="150"/>
        <v>0</v>
      </c>
      <c r="M163" s="248">
        <f t="shared" si="150"/>
        <v>0</v>
      </c>
      <c r="N163" s="248">
        <f t="shared" si="150"/>
        <v>0</v>
      </c>
      <c r="O163" s="248">
        <f t="shared" si="150"/>
        <v>0</v>
      </c>
      <c r="P163" s="248">
        <f t="shared" si="150"/>
        <v>0</v>
      </c>
      <c r="Q163" s="248">
        <f t="shared" si="150"/>
        <v>0</v>
      </c>
      <c r="R163" s="248">
        <f t="shared" si="150"/>
        <v>0</v>
      </c>
      <c r="S163" s="248">
        <f t="shared" si="150"/>
        <v>0</v>
      </c>
      <c r="T163" s="248">
        <f t="shared" si="150"/>
        <v>0</v>
      </c>
      <c r="U163" s="248">
        <f t="shared" si="150"/>
        <v>0</v>
      </c>
      <c r="V163" s="248">
        <f t="shared" si="150"/>
        <v>0</v>
      </c>
      <c r="W163" s="248">
        <f t="shared" si="150"/>
        <v>0</v>
      </c>
      <c r="X163" s="248">
        <f t="shared" si="150"/>
        <v>0</v>
      </c>
      <c r="Y163" s="248">
        <f t="shared" si="150"/>
        <v>0</v>
      </c>
      <c r="Z163" s="248">
        <f t="shared" si="150"/>
        <v>0</v>
      </c>
      <c r="AA163" s="248">
        <f t="shared" si="150"/>
        <v>0</v>
      </c>
      <c r="AB163" s="248">
        <f t="shared" si="150"/>
        <v>0</v>
      </c>
    </row>
    <row r="164" spans="1:28" s="253" customFormat="1" ht="38.25" customHeight="1" x14ac:dyDescent="0.25">
      <c r="A164" s="248"/>
      <c r="B164" s="248"/>
      <c r="C164" s="249" t="s">
        <v>306</v>
      </c>
      <c r="D164" s="249" t="s">
        <v>365</v>
      </c>
      <c r="E164" s="248"/>
      <c r="F164" s="249" t="s">
        <v>205</v>
      </c>
      <c r="G164" s="249" t="s">
        <v>216</v>
      </c>
      <c r="H164" s="250" t="s">
        <v>244</v>
      </c>
      <c r="I164" s="248" t="s">
        <v>303</v>
      </c>
      <c r="J164" s="251" t="s">
        <v>365</v>
      </c>
      <c r="K164" s="252">
        <f t="shared" ref="K164:AB164" si="151">SUMIFS(K$185:K$187,$C$185:$C$187,"ВОСЕМЬ")</f>
        <v>0</v>
      </c>
      <c r="L164" s="248">
        <f t="shared" si="151"/>
        <v>0</v>
      </c>
      <c r="M164" s="248">
        <f t="shared" si="151"/>
        <v>0</v>
      </c>
      <c r="N164" s="248">
        <f t="shared" si="151"/>
        <v>0</v>
      </c>
      <c r="O164" s="248">
        <f t="shared" si="151"/>
        <v>0</v>
      </c>
      <c r="P164" s="248">
        <f t="shared" si="151"/>
        <v>0</v>
      </c>
      <c r="Q164" s="248">
        <f t="shared" si="151"/>
        <v>0</v>
      </c>
      <c r="R164" s="248">
        <f t="shared" si="151"/>
        <v>0</v>
      </c>
      <c r="S164" s="248">
        <f t="shared" si="151"/>
        <v>0</v>
      </c>
      <c r="T164" s="248">
        <f t="shared" si="151"/>
        <v>0</v>
      </c>
      <c r="U164" s="248">
        <f t="shared" si="151"/>
        <v>0</v>
      </c>
      <c r="V164" s="248">
        <f t="shared" si="151"/>
        <v>0</v>
      </c>
      <c r="W164" s="248">
        <f t="shared" si="151"/>
        <v>0</v>
      </c>
      <c r="X164" s="248">
        <f t="shared" si="151"/>
        <v>0</v>
      </c>
      <c r="Y164" s="248">
        <f t="shared" si="151"/>
        <v>0</v>
      </c>
      <c r="Z164" s="248">
        <f t="shared" si="151"/>
        <v>0</v>
      </c>
      <c r="AA164" s="248">
        <f t="shared" si="151"/>
        <v>0</v>
      </c>
      <c r="AB164" s="248">
        <f t="shared" si="151"/>
        <v>0</v>
      </c>
    </row>
    <row r="165" spans="1:28" s="247" customFormat="1" ht="20.25" customHeight="1" x14ac:dyDescent="0.25">
      <c r="A165" s="131" t="s">
        <v>205</v>
      </c>
      <c r="B165" s="131" t="s">
        <v>205</v>
      </c>
      <c r="C165" s="131" t="s">
        <v>205</v>
      </c>
      <c r="D165" s="131" t="s">
        <v>205</v>
      </c>
      <c r="E165" s="131" t="s">
        <v>205</v>
      </c>
      <c r="F165" s="131" t="s">
        <v>205</v>
      </c>
      <c r="G165" s="131" t="s">
        <v>205</v>
      </c>
      <c r="H165" s="119" t="s">
        <v>205</v>
      </c>
      <c r="I165" s="132" t="s">
        <v>205</v>
      </c>
      <c r="J165" s="132" t="s">
        <v>205</v>
      </c>
      <c r="K165" s="246">
        <f>K159-SUM(K166,K167,K168,K169,K170,K171,K172,K173,K174,K175)</f>
        <v>0</v>
      </c>
      <c r="L165" s="133">
        <f>L159-SUM(L166,L167,L168,L169,L170,L171,L172,L173,L174,L175)</f>
        <v>0</v>
      </c>
      <c r="M165" s="128">
        <f>M159-SUM(M166,M167,M168,M169,M170,M171,M172,M173,M174,M175)</f>
        <v>0</v>
      </c>
      <c r="N165" s="128">
        <f t="shared" ref="N165:T165" si="152">N159-SUM(N166,N167,N168,N169,N170,N171,N172,N173,N174,N175)</f>
        <v>0</v>
      </c>
      <c r="O165" s="128">
        <f t="shared" si="152"/>
        <v>0</v>
      </c>
      <c r="P165" s="128">
        <f>P159-SUM(P166,P167,P168,P169,P170,P171,P172,P173,P174,P175)</f>
        <v>0</v>
      </c>
      <c r="Q165" s="128">
        <f>Q159-SUM(Q166,Q167,Q168,Q169,Q170,Q171,Q172,Q173,Q174,Q175)</f>
        <v>0</v>
      </c>
      <c r="R165" s="128">
        <f>R159-SUM(R166,R167,R168,R169,R170,R171,R172,R173,R174,R175)</f>
        <v>0</v>
      </c>
      <c r="S165" s="128">
        <f>S159-SUM(S166,S167,S168,S169,S170,S171,S172,S173,S174,S175)</f>
        <v>0</v>
      </c>
      <c r="T165" s="128">
        <f t="shared" si="152"/>
        <v>0</v>
      </c>
      <c r="U165" s="128">
        <f t="shared" ref="U165:AB165" si="153">U159-SUM(U166,U167,U168,U169,U170,U171,U172,U173,U174,U175)</f>
        <v>0</v>
      </c>
      <c r="V165" s="128">
        <f t="shared" si="153"/>
        <v>0</v>
      </c>
      <c r="W165" s="128">
        <f t="shared" si="153"/>
        <v>0</v>
      </c>
      <c r="X165" s="128">
        <f t="shared" si="153"/>
        <v>0</v>
      </c>
      <c r="Y165" s="128">
        <f t="shared" si="153"/>
        <v>0</v>
      </c>
      <c r="Z165" s="133">
        <f t="shared" si="153"/>
        <v>0</v>
      </c>
      <c r="AA165" s="133">
        <f t="shared" si="153"/>
        <v>0</v>
      </c>
      <c r="AB165" s="128">
        <f t="shared" si="153"/>
        <v>0</v>
      </c>
    </row>
    <row r="166" spans="1:28" s="253" customFormat="1" ht="38.25" customHeight="1" x14ac:dyDescent="0.25">
      <c r="A166" s="248" t="s">
        <v>400</v>
      </c>
      <c r="B166" s="248"/>
      <c r="C166" s="249"/>
      <c r="D166" s="249" t="s">
        <v>365</v>
      </c>
      <c r="E166" s="248"/>
      <c r="F166" s="249" t="s">
        <v>205</v>
      </c>
      <c r="G166" s="239" t="s">
        <v>310</v>
      </c>
      <c r="H166" s="250" t="s">
        <v>244</v>
      </c>
      <c r="I166" s="248" t="s">
        <v>307</v>
      </c>
      <c r="J166" s="251" t="s">
        <v>365</v>
      </c>
      <c r="K166" s="252">
        <f t="shared" ref="K166:AB166" si="154">SUMIFS(K$185:K$187,$G$185:$G$187,"ТУФЛИ")</f>
        <v>0</v>
      </c>
      <c r="L166" s="248">
        <f t="shared" si="154"/>
        <v>0</v>
      </c>
      <c r="M166" s="248">
        <f t="shared" si="154"/>
        <v>0</v>
      </c>
      <c r="N166" s="248">
        <f t="shared" si="154"/>
        <v>0</v>
      </c>
      <c r="O166" s="248">
        <f t="shared" si="154"/>
        <v>0</v>
      </c>
      <c r="P166" s="248">
        <f t="shared" si="154"/>
        <v>0</v>
      </c>
      <c r="Q166" s="248">
        <f t="shared" si="154"/>
        <v>0</v>
      </c>
      <c r="R166" s="248">
        <f t="shared" si="154"/>
        <v>0</v>
      </c>
      <c r="S166" s="248">
        <f t="shared" si="154"/>
        <v>0</v>
      </c>
      <c r="T166" s="248">
        <f t="shared" si="154"/>
        <v>0</v>
      </c>
      <c r="U166" s="248">
        <f t="shared" si="154"/>
        <v>0</v>
      </c>
      <c r="V166" s="248">
        <f t="shared" si="154"/>
        <v>0</v>
      </c>
      <c r="W166" s="248">
        <f t="shared" si="154"/>
        <v>0</v>
      </c>
      <c r="X166" s="248">
        <f t="shared" si="154"/>
        <v>0</v>
      </c>
      <c r="Y166" s="248">
        <f t="shared" si="154"/>
        <v>0</v>
      </c>
      <c r="Z166" s="248">
        <f t="shared" si="154"/>
        <v>0</v>
      </c>
      <c r="AA166" s="248">
        <f t="shared" si="154"/>
        <v>0</v>
      </c>
      <c r="AB166" s="248">
        <f t="shared" si="154"/>
        <v>0</v>
      </c>
    </row>
    <row r="167" spans="1:28" s="253" customFormat="1" ht="38.25" customHeight="1" x14ac:dyDescent="0.25">
      <c r="A167" s="248" t="s">
        <v>400</v>
      </c>
      <c r="B167" s="248"/>
      <c r="C167" s="248"/>
      <c r="D167" s="249" t="s">
        <v>365</v>
      </c>
      <c r="E167" s="248"/>
      <c r="F167" s="249" t="s">
        <v>205</v>
      </c>
      <c r="G167" s="239" t="s">
        <v>323</v>
      </c>
      <c r="H167" s="250" t="s">
        <v>244</v>
      </c>
      <c r="I167" s="248" t="s">
        <v>311</v>
      </c>
      <c r="J167" s="251" t="s">
        <v>365</v>
      </c>
      <c r="K167" s="252">
        <f t="shared" ref="K167:AB167" si="155">SUMIFS(K$185:K$187,$G$185:$G$187,"РЕТРО ЗЕРКАЛО")</f>
        <v>0</v>
      </c>
      <c r="L167" s="248">
        <f t="shared" si="155"/>
        <v>0</v>
      </c>
      <c r="M167" s="248">
        <f t="shared" si="155"/>
        <v>0</v>
      </c>
      <c r="N167" s="248">
        <f t="shared" si="155"/>
        <v>0</v>
      </c>
      <c r="O167" s="248">
        <f t="shared" si="155"/>
        <v>0</v>
      </c>
      <c r="P167" s="248">
        <f t="shared" si="155"/>
        <v>0</v>
      </c>
      <c r="Q167" s="248">
        <f t="shared" si="155"/>
        <v>0</v>
      </c>
      <c r="R167" s="248">
        <f t="shared" si="155"/>
        <v>0</v>
      </c>
      <c r="S167" s="248">
        <f t="shared" si="155"/>
        <v>0</v>
      </c>
      <c r="T167" s="248">
        <f t="shared" si="155"/>
        <v>0</v>
      </c>
      <c r="U167" s="248">
        <f t="shared" si="155"/>
        <v>0</v>
      </c>
      <c r="V167" s="248">
        <f t="shared" si="155"/>
        <v>0</v>
      </c>
      <c r="W167" s="248">
        <f t="shared" si="155"/>
        <v>0</v>
      </c>
      <c r="X167" s="248">
        <f t="shared" si="155"/>
        <v>0</v>
      </c>
      <c r="Y167" s="248">
        <f t="shared" si="155"/>
        <v>0</v>
      </c>
      <c r="Z167" s="248">
        <f t="shared" si="155"/>
        <v>0</v>
      </c>
      <c r="AA167" s="248">
        <f t="shared" si="155"/>
        <v>0</v>
      </c>
      <c r="AB167" s="248">
        <f t="shared" si="155"/>
        <v>0</v>
      </c>
    </row>
    <row r="168" spans="1:28" s="253" customFormat="1" ht="38.25" customHeight="1" x14ac:dyDescent="0.25">
      <c r="A168" s="248" t="s">
        <v>400</v>
      </c>
      <c r="B168" s="248"/>
      <c r="C168" s="248"/>
      <c r="D168" s="249" t="s">
        <v>365</v>
      </c>
      <c r="E168" s="248"/>
      <c r="F168" s="249" t="s">
        <v>205</v>
      </c>
      <c r="G168" s="239" t="s">
        <v>324</v>
      </c>
      <c r="H168" s="250" t="s">
        <v>244</v>
      </c>
      <c r="I168" s="248" t="s">
        <v>314</v>
      </c>
      <c r="J168" s="251" t="s">
        <v>365</v>
      </c>
      <c r="K168" s="252">
        <f t="shared" ref="K168:AB168" si="156">SUMIFS(K$185:K$187,$G$185:$G$187,"РЕТРО ЦЕМЕНТОВОЗ")</f>
        <v>0</v>
      </c>
      <c r="L168" s="248">
        <f t="shared" si="156"/>
        <v>0</v>
      </c>
      <c r="M168" s="248">
        <f t="shared" si="156"/>
        <v>0</v>
      </c>
      <c r="N168" s="248">
        <f t="shared" si="156"/>
        <v>0</v>
      </c>
      <c r="O168" s="248">
        <f t="shared" si="156"/>
        <v>0</v>
      </c>
      <c r="P168" s="248">
        <f t="shared" si="156"/>
        <v>0</v>
      </c>
      <c r="Q168" s="248">
        <f t="shared" si="156"/>
        <v>0</v>
      </c>
      <c r="R168" s="248">
        <f t="shared" si="156"/>
        <v>0</v>
      </c>
      <c r="S168" s="248">
        <f t="shared" si="156"/>
        <v>0</v>
      </c>
      <c r="T168" s="248">
        <f t="shared" si="156"/>
        <v>0</v>
      </c>
      <c r="U168" s="248">
        <f t="shared" si="156"/>
        <v>0</v>
      </c>
      <c r="V168" s="248">
        <f t="shared" si="156"/>
        <v>0</v>
      </c>
      <c r="W168" s="248">
        <f t="shared" si="156"/>
        <v>0</v>
      </c>
      <c r="X168" s="248">
        <f t="shared" si="156"/>
        <v>0</v>
      </c>
      <c r="Y168" s="248">
        <f t="shared" si="156"/>
        <v>0</v>
      </c>
      <c r="Z168" s="248">
        <f t="shared" si="156"/>
        <v>0</v>
      </c>
      <c r="AA168" s="248">
        <f t="shared" si="156"/>
        <v>0</v>
      </c>
      <c r="AB168" s="248">
        <f t="shared" si="156"/>
        <v>0</v>
      </c>
    </row>
    <row r="169" spans="1:28" s="253" customFormat="1" ht="38.25" customHeight="1" x14ac:dyDescent="0.25">
      <c r="A169" s="248" t="s">
        <v>400</v>
      </c>
      <c r="B169" s="248"/>
      <c r="C169" s="248"/>
      <c r="D169" s="249" t="s">
        <v>365</v>
      </c>
      <c r="E169" s="248"/>
      <c r="F169" s="249" t="s">
        <v>205</v>
      </c>
      <c r="G169" s="239" t="s">
        <v>325</v>
      </c>
      <c r="H169" s="250" t="s">
        <v>244</v>
      </c>
      <c r="I169" s="248" t="s">
        <v>317</v>
      </c>
      <c r="J169" s="251" t="s">
        <v>365</v>
      </c>
      <c r="K169" s="252">
        <f t="shared" ref="K169:AB169" si="157">SUMIFS(K$185:K$187,$G$185:$G$187,"РЕТРО ВОСЕМЬ")</f>
        <v>0</v>
      </c>
      <c r="L169" s="248">
        <f t="shared" si="157"/>
        <v>0</v>
      </c>
      <c r="M169" s="248">
        <f t="shared" si="157"/>
        <v>0</v>
      </c>
      <c r="N169" s="248">
        <f t="shared" si="157"/>
        <v>0</v>
      </c>
      <c r="O169" s="248">
        <f t="shared" si="157"/>
        <v>0</v>
      </c>
      <c r="P169" s="248">
        <f t="shared" si="157"/>
        <v>0</v>
      </c>
      <c r="Q169" s="248">
        <f t="shared" si="157"/>
        <v>0</v>
      </c>
      <c r="R169" s="248">
        <f t="shared" si="157"/>
        <v>0</v>
      </c>
      <c r="S169" s="248">
        <f t="shared" si="157"/>
        <v>0</v>
      </c>
      <c r="T169" s="248">
        <f t="shared" si="157"/>
        <v>0</v>
      </c>
      <c r="U169" s="248">
        <f t="shared" si="157"/>
        <v>0</v>
      </c>
      <c r="V169" s="248">
        <f t="shared" si="157"/>
        <v>0</v>
      </c>
      <c r="W169" s="248">
        <f t="shared" si="157"/>
        <v>0</v>
      </c>
      <c r="X169" s="248">
        <f t="shared" si="157"/>
        <v>0</v>
      </c>
      <c r="Y169" s="248">
        <f t="shared" si="157"/>
        <v>0</v>
      </c>
      <c r="Z169" s="248">
        <f t="shared" si="157"/>
        <v>0</v>
      </c>
      <c r="AA169" s="248">
        <f t="shared" si="157"/>
        <v>0</v>
      </c>
      <c r="AB169" s="248">
        <f t="shared" si="157"/>
        <v>0</v>
      </c>
    </row>
    <row r="170" spans="1:28" s="253" customFormat="1" ht="38.25" customHeight="1" x14ac:dyDescent="0.25">
      <c r="A170" s="248" t="s">
        <v>400</v>
      </c>
      <c r="B170" s="248"/>
      <c r="C170" s="248"/>
      <c r="D170" s="249" t="s">
        <v>365</v>
      </c>
      <c r="E170" s="248"/>
      <c r="F170" s="249" t="s">
        <v>205</v>
      </c>
      <c r="G170" s="239" t="s">
        <v>326</v>
      </c>
      <c r="H170" s="250" t="s">
        <v>244</v>
      </c>
      <c r="I170" s="248" t="s">
        <v>320</v>
      </c>
      <c r="J170" s="251" t="s">
        <v>365</v>
      </c>
      <c r="K170" s="252">
        <f t="shared" ref="K170:AB170" si="158">SUMIFS(K$185:K$187,$G$185:$G$187,"РЕТРО ЮРМАЛА")</f>
        <v>0</v>
      </c>
      <c r="L170" s="248">
        <f t="shared" si="158"/>
        <v>0</v>
      </c>
      <c r="M170" s="248">
        <f t="shared" si="158"/>
        <v>0</v>
      </c>
      <c r="N170" s="248">
        <f t="shared" si="158"/>
        <v>0</v>
      </c>
      <c r="O170" s="248">
        <f t="shared" si="158"/>
        <v>0</v>
      </c>
      <c r="P170" s="248">
        <f t="shared" si="158"/>
        <v>0</v>
      </c>
      <c r="Q170" s="248">
        <f t="shared" si="158"/>
        <v>0</v>
      </c>
      <c r="R170" s="248">
        <f t="shared" si="158"/>
        <v>0</v>
      </c>
      <c r="S170" s="248">
        <f t="shared" si="158"/>
        <v>0</v>
      </c>
      <c r="T170" s="248">
        <f t="shared" si="158"/>
        <v>0</v>
      </c>
      <c r="U170" s="248">
        <f t="shared" si="158"/>
        <v>0</v>
      </c>
      <c r="V170" s="248">
        <f t="shared" si="158"/>
        <v>0</v>
      </c>
      <c r="W170" s="248">
        <f t="shared" si="158"/>
        <v>0</v>
      </c>
      <c r="X170" s="248">
        <f t="shared" si="158"/>
        <v>0</v>
      </c>
      <c r="Y170" s="248">
        <f t="shared" si="158"/>
        <v>0</v>
      </c>
      <c r="Z170" s="248">
        <f t="shared" si="158"/>
        <v>0</v>
      </c>
      <c r="AA170" s="248">
        <f t="shared" si="158"/>
        <v>0</v>
      </c>
      <c r="AB170" s="248">
        <f t="shared" si="158"/>
        <v>0</v>
      </c>
    </row>
    <row r="171" spans="1:28" s="253" customFormat="1" ht="38.25" customHeight="1" x14ac:dyDescent="0.25">
      <c r="A171" s="248" t="s">
        <v>400</v>
      </c>
      <c r="B171" s="248"/>
      <c r="C171" s="248"/>
      <c r="D171" s="249" t="s">
        <v>365</v>
      </c>
      <c r="E171" s="248"/>
      <c r="F171" s="249" t="s">
        <v>205</v>
      </c>
      <c r="G171" s="239" t="s">
        <v>338</v>
      </c>
      <c r="H171" s="250" t="s">
        <v>244</v>
      </c>
      <c r="I171" s="248" t="s">
        <v>328</v>
      </c>
      <c r="J171" s="251" t="s">
        <v>365</v>
      </c>
      <c r="K171" s="252">
        <f t="shared" ref="K171:AB171" si="159">SUMIFS(K$185:K$187,$G$185:$G$187,"ОБРАЗ КВ РЕТРО ЗЕРКАЛО")</f>
        <v>0</v>
      </c>
      <c r="L171" s="248">
        <f t="shared" si="159"/>
        <v>0</v>
      </c>
      <c r="M171" s="248">
        <f t="shared" si="159"/>
        <v>0</v>
      </c>
      <c r="N171" s="248">
        <f t="shared" si="159"/>
        <v>0</v>
      </c>
      <c r="O171" s="248">
        <f t="shared" si="159"/>
        <v>0</v>
      </c>
      <c r="P171" s="248">
        <f t="shared" si="159"/>
        <v>0</v>
      </c>
      <c r="Q171" s="248">
        <f t="shared" si="159"/>
        <v>0</v>
      </c>
      <c r="R171" s="248">
        <f t="shared" si="159"/>
        <v>0</v>
      </c>
      <c r="S171" s="248">
        <f t="shared" si="159"/>
        <v>0</v>
      </c>
      <c r="T171" s="248">
        <f t="shared" si="159"/>
        <v>0</v>
      </c>
      <c r="U171" s="248">
        <f t="shared" si="159"/>
        <v>0</v>
      </c>
      <c r="V171" s="248">
        <f t="shared" si="159"/>
        <v>0</v>
      </c>
      <c r="W171" s="248">
        <f t="shared" si="159"/>
        <v>0</v>
      </c>
      <c r="X171" s="248">
        <f t="shared" si="159"/>
        <v>0</v>
      </c>
      <c r="Y171" s="248">
        <f t="shared" si="159"/>
        <v>0</v>
      </c>
      <c r="Z171" s="248">
        <f t="shared" si="159"/>
        <v>0</v>
      </c>
      <c r="AA171" s="248">
        <f t="shared" si="159"/>
        <v>0</v>
      </c>
      <c r="AB171" s="248">
        <f t="shared" si="159"/>
        <v>0</v>
      </c>
    </row>
    <row r="172" spans="1:28" s="253" customFormat="1" ht="38.25" customHeight="1" x14ac:dyDescent="0.25">
      <c r="A172" s="248" t="s">
        <v>400</v>
      </c>
      <c r="B172" s="248"/>
      <c r="C172" s="248"/>
      <c r="D172" s="249" t="s">
        <v>365</v>
      </c>
      <c r="E172" s="248"/>
      <c r="F172" s="249" t="s">
        <v>205</v>
      </c>
      <c r="G172" s="239" t="s">
        <v>339</v>
      </c>
      <c r="H172" s="250" t="s">
        <v>244</v>
      </c>
      <c r="I172" s="248" t="s">
        <v>331</v>
      </c>
      <c r="J172" s="251" t="s">
        <v>365</v>
      </c>
      <c r="K172" s="252">
        <f t="shared" ref="K172:AB172" si="160">SUMIFS(K$185:K$187,$G$185:$G$187,"ОБРАЗ г.Новороссийск РЕТРО ЮРМАЛА")</f>
        <v>2</v>
      </c>
      <c r="L172" s="248">
        <f t="shared" si="160"/>
        <v>20000</v>
      </c>
      <c r="M172" s="248">
        <f t="shared" si="160"/>
        <v>0</v>
      </c>
      <c r="N172" s="248">
        <f t="shared" si="160"/>
        <v>300</v>
      </c>
      <c r="O172" s="248">
        <f t="shared" si="160"/>
        <v>0</v>
      </c>
      <c r="P172" s="248">
        <f t="shared" si="160"/>
        <v>0</v>
      </c>
      <c r="Q172" s="248">
        <f t="shared" si="160"/>
        <v>0</v>
      </c>
      <c r="R172" s="248">
        <f t="shared" si="160"/>
        <v>0</v>
      </c>
      <c r="S172" s="248">
        <f t="shared" si="160"/>
        <v>0</v>
      </c>
      <c r="T172" s="248">
        <f t="shared" si="160"/>
        <v>0</v>
      </c>
      <c r="U172" s="248">
        <f t="shared" si="160"/>
        <v>0</v>
      </c>
      <c r="V172" s="248">
        <f t="shared" si="160"/>
        <v>0</v>
      </c>
      <c r="W172" s="248">
        <f t="shared" si="160"/>
        <v>0</v>
      </c>
      <c r="X172" s="248">
        <f t="shared" si="160"/>
        <v>0</v>
      </c>
      <c r="Y172" s="248">
        <f t="shared" si="160"/>
        <v>300</v>
      </c>
      <c r="Z172" s="248">
        <f t="shared" si="160"/>
        <v>0</v>
      </c>
      <c r="AA172" s="248">
        <f t="shared" si="160"/>
        <v>250</v>
      </c>
      <c r="AB172" s="248">
        <f t="shared" si="160"/>
        <v>550</v>
      </c>
    </row>
    <row r="173" spans="1:28" s="253" customFormat="1" ht="38.25" customHeight="1" x14ac:dyDescent="0.25">
      <c r="A173" s="248" t="s">
        <v>400</v>
      </c>
      <c r="B173" s="248"/>
      <c r="C173" s="248"/>
      <c r="D173" s="249" t="s">
        <v>365</v>
      </c>
      <c r="E173" s="248"/>
      <c r="F173" s="249" t="s">
        <v>205</v>
      </c>
      <c r="G173" s="239" t="s">
        <v>391</v>
      </c>
      <c r="H173" s="250" t="s">
        <v>244</v>
      </c>
      <c r="I173" s="248" t="s">
        <v>392</v>
      </c>
      <c r="J173" s="251" t="s">
        <v>365</v>
      </c>
      <c r="K173" s="252">
        <f t="shared" ref="K173:AB173" si="161">SUMIFS(K$185:K$187,$G$185:$G$187,"ОБРАЗ г.Новосибирск РЕТРО ЦЕМЕНТОВОЗ")</f>
        <v>0</v>
      </c>
      <c r="L173" s="248">
        <f t="shared" si="161"/>
        <v>0</v>
      </c>
      <c r="M173" s="248">
        <f t="shared" si="161"/>
        <v>0</v>
      </c>
      <c r="N173" s="248">
        <f t="shared" si="161"/>
        <v>0</v>
      </c>
      <c r="O173" s="248">
        <f t="shared" si="161"/>
        <v>0</v>
      </c>
      <c r="P173" s="248">
        <f t="shared" si="161"/>
        <v>0</v>
      </c>
      <c r="Q173" s="248">
        <f t="shared" si="161"/>
        <v>0</v>
      </c>
      <c r="R173" s="248">
        <f t="shared" si="161"/>
        <v>0</v>
      </c>
      <c r="S173" s="248">
        <f t="shared" si="161"/>
        <v>0</v>
      </c>
      <c r="T173" s="248">
        <f t="shared" si="161"/>
        <v>0</v>
      </c>
      <c r="U173" s="248">
        <f t="shared" si="161"/>
        <v>0</v>
      </c>
      <c r="V173" s="248">
        <f t="shared" si="161"/>
        <v>0</v>
      </c>
      <c r="W173" s="248">
        <f t="shared" si="161"/>
        <v>0</v>
      </c>
      <c r="X173" s="248">
        <f t="shared" si="161"/>
        <v>0</v>
      </c>
      <c r="Y173" s="248">
        <f t="shared" si="161"/>
        <v>0</v>
      </c>
      <c r="Z173" s="248">
        <f t="shared" si="161"/>
        <v>0</v>
      </c>
      <c r="AA173" s="248">
        <f t="shared" si="161"/>
        <v>0</v>
      </c>
      <c r="AB173" s="248">
        <f t="shared" si="161"/>
        <v>0</v>
      </c>
    </row>
    <row r="174" spans="1:28" s="253" customFormat="1" ht="38.25" customHeight="1" x14ac:dyDescent="0.25">
      <c r="A174" s="248" t="s">
        <v>400</v>
      </c>
      <c r="B174" s="248"/>
      <c r="C174" s="248"/>
      <c r="D174" s="249" t="s">
        <v>365</v>
      </c>
      <c r="E174" s="248"/>
      <c r="F174" s="249" t="s">
        <v>205</v>
      </c>
      <c r="G174" s="239" t="s">
        <v>388</v>
      </c>
      <c r="H174" s="250" t="s">
        <v>244</v>
      </c>
      <c r="I174" s="248" t="s">
        <v>389</v>
      </c>
      <c r="J174" s="251" t="s">
        <v>365</v>
      </c>
      <c r="K174" s="252">
        <f t="shared" ref="K174:AB174" si="162">SUMIFS(K$185:K$187,$G$185:$G$187,"ОБРАЗ г.ТАТРА РЕТРО ЦЕМЕНТОВОЗ")</f>
        <v>0</v>
      </c>
      <c r="L174" s="248">
        <f t="shared" si="162"/>
        <v>0</v>
      </c>
      <c r="M174" s="248">
        <f t="shared" si="162"/>
        <v>0</v>
      </c>
      <c r="N174" s="248">
        <f t="shared" si="162"/>
        <v>0</v>
      </c>
      <c r="O174" s="248">
        <f t="shared" si="162"/>
        <v>0</v>
      </c>
      <c r="P174" s="248">
        <f t="shared" si="162"/>
        <v>0</v>
      </c>
      <c r="Q174" s="248">
        <f t="shared" si="162"/>
        <v>0</v>
      </c>
      <c r="R174" s="248">
        <f t="shared" si="162"/>
        <v>0</v>
      </c>
      <c r="S174" s="248">
        <f t="shared" si="162"/>
        <v>0</v>
      </c>
      <c r="T174" s="248">
        <f t="shared" si="162"/>
        <v>0</v>
      </c>
      <c r="U174" s="248">
        <f t="shared" si="162"/>
        <v>0</v>
      </c>
      <c r="V174" s="248">
        <f t="shared" si="162"/>
        <v>0</v>
      </c>
      <c r="W174" s="248">
        <f t="shared" si="162"/>
        <v>0</v>
      </c>
      <c r="X174" s="248">
        <f t="shared" si="162"/>
        <v>0</v>
      </c>
      <c r="Y174" s="248">
        <f t="shared" si="162"/>
        <v>0</v>
      </c>
      <c r="Z174" s="248">
        <f t="shared" si="162"/>
        <v>0</v>
      </c>
      <c r="AA174" s="248">
        <f t="shared" si="162"/>
        <v>0</v>
      </c>
      <c r="AB174" s="248">
        <f t="shared" si="162"/>
        <v>0</v>
      </c>
    </row>
    <row r="175" spans="1:28" s="253" customFormat="1" ht="38.25" customHeight="1" x14ac:dyDescent="0.25">
      <c r="A175" s="248" t="s">
        <v>400</v>
      </c>
      <c r="B175" s="248"/>
      <c r="C175" s="248"/>
      <c r="D175" s="249" t="s">
        <v>365</v>
      </c>
      <c r="E175" s="248"/>
      <c r="F175" s="249" t="s">
        <v>205</v>
      </c>
      <c r="G175" s="239" t="s">
        <v>397</v>
      </c>
      <c r="H175" s="250" t="s">
        <v>244</v>
      </c>
      <c r="I175" s="248" t="s">
        <v>393</v>
      </c>
      <c r="J175" s="251" t="s">
        <v>365</v>
      </c>
      <c r="K175" s="252">
        <f t="shared" ref="K175:AB175" si="163">SUMIFS(K$185:K$187,$G$185:$G$187,"ОБРАЗ ТУРТУФЛИ")</f>
        <v>0</v>
      </c>
      <c r="L175" s="248">
        <f t="shared" si="163"/>
        <v>0</v>
      </c>
      <c r="M175" s="248">
        <f t="shared" si="163"/>
        <v>0</v>
      </c>
      <c r="N175" s="248">
        <f t="shared" si="163"/>
        <v>0</v>
      </c>
      <c r="O175" s="248">
        <f t="shared" si="163"/>
        <v>0</v>
      </c>
      <c r="P175" s="248">
        <f t="shared" si="163"/>
        <v>0</v>
      </c>
      <c r="Q175" s="248">
        <f t="shared" si="163"/>
        <v>0</v>
      </c>
      <c r="R175" s="248">
        <f t="shared" si="163"/>
        <v>0</v>
      </c>
      <c r="S175" s="248">
        <f t="shared" si="163"/>
        <v>0</v>
      </c>
      <c r="T175" s="248">
        <f t="shared" si="163"/>
        <v>0</v>
      </c>
      <c r="U175" s="248">
        <f t="shared" si="163"/>
        <v>0</v>
      </c>
      <c r="V175" s="248">
        <f t="shared" si="163"/>
        <v>0</v>
      </c>
      <c r="W175" s="248">
        <f t="shared" si="163"/>
        <v>0</v>
      </c>
      <c r="X175" s="248">
        <f t="shared" si="163"/>
        <v>0</v>
      </c>
      <c r="Y175" s="248">
        <f t="shared" si="163"/>
        <v>0</v>
      </c>
      <c r="Z175" s="248">
        <f t="shared" si="163"/>
        <v>0</v>
      </c>
      <c r="AA175" s="248">
        <f t="shared" si="163"/>
        <v>0</v>
      </c>
      <c r="AB175" s="248">
        <f t="shared" si="163"/>
        <v>0</v>
      </c>
    </row>
    <row r="176" spans="1:28" s="247" customFormat="1" ht="20.25" customHeight="1" x14ac:dyDescent="0.25">
      <c r="A176" s="131" t="s">
        <v>205</v>
      </c>
      <c r="B176" s="131" t="s">
        <v>205</v>
      </c>
      <c r="C176" s="131" t="s">
        <v>205</v>
      </c>
      <c r="D176" s="131" t="s">
        <v>205</v>
      </c>
      <c r="E176" s="131" t="s">
        <v>205</v>
      </c>
      <c r="F176" s="131" t="s">
        <v>205</v>
      </c>
      <c r="G176" s="131" t="s">
        <v>205</v>
      </c>
      <c r="H176" s="119" t="s">
        <v>205</v>
      </c>
      <c r="I176" s="132" t="s">
        <v>205</v>
      </c>
      <c r="J176" s="132" t="s">
        <v>205</v>
      </c>
      <c r="K176" s="246">
        <f>K159-SUM(K177:K184)</f>
        <v>0</v>
      </c>
      <c r="L176" s="133">
        <f>L159-SUM(L177:L184)</f>
        <v>0</v>
      </c>
      <c r="M176" s="128">
        <f>M159-SUM(M177:M184)</f>
        <v>0</v>
      </c>
      <c r="N176" s="128">
        <f t="shared" ref="N176:T176" si="164">N159-SUM(N177:N184)</f>
        <v>0</v>
      </c>
      <c r="O176" s="128">
        <f t="shared" si="164"/>
        <v>0</v>
      </c>
      <c r="P176" s="128">
        <f>P159-SUM(P177:P184)</f>
        <v>0</v>
      </c>
      <c r="Q176" s="128">
        <f>Q159-SUM(Q177:Q184)</f>
        <v>0</v>
      </c>
      <c r="R176" s="128">
        <f>R159-SUM(R177:R184)</f>
        <v>0</v>
      </c>
      <c r="S176" s="128">
        <f>S159-SUM(S177:S184)</f>
        <v>0</v>
      </c>
      <c r="T176" s="128">
        <f t="shared" si="164"/>
        <v>0</v>
      </c>
      <c r="U176" s="128">
        <f t="shared" ref="U176:AB176" si="165">U159-SUM(U177:U184)</f>
        <v>0</v>
      </c>
      <c r="V176" s="128">
        <f t="shared" si="165"/>
        <v>0</v>
      </c>
      <c r="W176" s="128">
        <f t="shared" si="165"/>
        <v>0</v>
      </c>
      <c r="X176" s="128">
        <f t="shared" si="165"/>
        <v>0</v>
      </c>
      <c r="Y176" s="128">
        <f t="shared" si="165"/>
        <v>0</v>
      </c>
      <c r="Z176" s="133">
        <f t="shared" si="165"/>
        <v>0</v>
      </c>
      <c r="AA176" s="133">
        <f t="shared" si="165"/>
        <v>0</v>
      </c>
      <c r="AB176" s="128">
        <f t="shared" si="165"/>
        <v>0</v>
      </c>
    </row>
    <row r="177" spans="1:115" s="258" customFormat="1" ht="50.1" customHeight="1" x14ac:dyDescent="0.25">
      <c r="A177" s="124" t="s">
        <v>245</v>
      </c>
      <c r="B177" s="124" t="s">
        <v>348</v>
      </c>
      <c r="C177" s="124" t="s">
        <v>216</v>
      </c>
      <c r="D177" s="124" t="s">
        <v>365</v>
      </c>
      <c r="E177" s="124" t="s">
        <v>216</v>
      </c>
      <c r="F177" s="124" t="s">
        <v>278</v>
      </c>
      <c r="G177" s="124" t="s">
        <v>216</v>
      </c>
      <c r="H177" s="125" t="s">
        <v>244</v>
      </c>
      <c r="I177" s="255" t="s">
        <v>349</v>
      </c>
      <c r="J177" s="255" t="s">
        <v>365</v>
      </c>
      <c r="K177" s="256">
        <f t="shared" ref="K177:AB177" si="166">SUMIFS(K$185:K$187,$B$185:$B$187,"ЦЕНТР")</f>
        <v>0</v>
      </c>
      <c r="L177" s="257">
        <f t="shared" si="166"/>
        <v>0</v>
      </c>
      <c r="M177" s="257">
        <f t="shared" si="166"/>
        <v>0</v>
      </c>
      <c r="N177" s="257">
        <f t="shared" si="166"/>
        <v>0</v>
      </c>
      <c r="O177" s="257">
        <f t="shared" si="166"/>
        <v>0</v>
      </c>
      <c r="P177" s="257">
        <f t="shared" si="166"/>
        <v>0</v>
      </c>
      <c r="Q177" s="257">
        <f t="shared" si="166"/>
        <v>0</v>
      </c>
      <c r="R177" s="257">
        <f t="shared" si="166"/>
        <v>0</v>
      </c>
      <c r="S177" s="257">
        <f t="shared" si="166"/>
        <v>0</v>
      </c>
      <c r="T177" s="257">
        <f t="shared" si="166"/>
        <v>0</v>
      </c>
      <c r="U177" s="257">
        <f t="shared" si="166"/>
        <v>0</v>
      </c>
      <c r="V177" s="257">
        <f t="shared" si="166"/>
        <v>0</v>
      </c>
      <c r="W177" s="257">
        <f t="shared" si="166"/>
        <v>0</v>
      </c>
      <c r="X177" s="257">
        <f t="shared" si="166"/>
        <v>0</v>
      </c>
      <c r="Y177" s="257">
        <f t="shared" si="166"/>
        <v>0</v>
      </c>
      <c r="Z177" s="257">
        <f t="shared" si="166"/>
        <v>0</v>
      </c>
      <c r="AA177" s="257">
        <f t="shared" si="166"/>
        <v>0</v>
      </c>
      <c r="AB177" s="257">
        <f t="shared" si="166"/>
        <v>0</v>
      </c>
    </row>
    <row r="178" spans="1:115" s="258" customFormat="1" ht="50.1" customHeight="1" x14ac:dyDescent="0.25">
      <c r="A178" s="124" t="s">
        <v>245</v>
      </c>
      <c r="B178" s="124" t="s">
        <v>345</v>
      </c>
      <c r="C178" s="124" t="s">
        <v>216</v>
      </c>
      <c r="D178" s="124" t="s">
        <v>365</v>
      </c>
      <c r="E178" s="124" t="s">
        <v>216</v>
      </c>
      <c r="F178" s="124" t="s">
        <v>278</v>
      </c>
      <c r="G178" s="124" t="s">
        <v>216</v>
      </c>
      <c r="H178" s="125" t="s">
        <v>244</v>
      </c>
      <c r="I178" s="255" t="s">
        <v>380</v>
      </c>
      <c r="J178" s="255" t="s">
        <v>365</v>
      </c>
      <c r="K178" s="256">
        <f t="shared" ref="K178:AB178" si="167">SUMIFS(K$185:K$187,$B$185:$B$187,"СЕВЕР")</f>
        <v>0</v>
      </c>
      <c r="L178" s="257">
        <f t="shared" si="167"/>
        <v>0</v>
      </c>
      <c r="M178" s="257">
        <f t="shared" si="167"/>
        <v>0</v>
      </c>
      <c r="N178" s="257">
        <f t="shared" si="167"/>
        <v>0</v>
      </c>
      <c r="O178" s="257">
        <f t="shared" si="167"/>
        <v>0</v>
      </c>
      <c r="P178" s="257">
        <f t="shared" si="167"/>
        <v>0</v>
      </c>
      <c r="Q178" s="257">
        <f t="shared" si="167"/>
        <v>0</v>
      </c>
      <c r="R178" s="257">
        <f t="shared" si="167"/>
        <v>0</v>
      </c>
      <c r="S178" s="257">
        <f t="shared" si="167"/>
        <v>0</v>
      </c>
      <c r="T178" s="257">
        <f t="shared" si="167"/>
        <v>0</v>
      </c>
      <c r="U178" s="257">
        <f t="shared" si="167"/>
        <v>0</v>
      </c>
      <c r="V178" s="257">
        <f t="shared" si="167"/>
        <v>0</v>
      </c>
      <c r="W178" s="257">
        <f t="shared" si="167"/>
        <v>0</v>
      </c>
      <c r="X178" s="257">
        <f t="shared" si="167"/>
        <v>0</v>
      </c>
      <c r="Y178" s="257">
        <f t="shared" si="167"/>
        <v>0</v>
      </c>
      <c r="Z178" s="257">
        <f t="shared" si="167"/>
        <v>0</v>
      </c>
      <c r="AA178" s="257">
        <f t="shared" si="167"/>
        <v>0</v>
      </c>
      <c r="AB178" s="257">
        <f t="shared" si="167"/>
        <v>0</v>
      </c>
    </row>
    <row r="179" spans="1:115" s="258" customFormat="1" ht="50.1" customHeight="1" x14ac:dyDescent="0.25">
      <c r="A179" s="124" t="s">
        <v>245</v>
      </c>
      <c r="B179" s="124" t="s">
        <v>352</v>
      </c>
      <c r="C179" s="124" t="s">
        <v>216</v>
      </c>
      <c r="D179" s="124" t="s">
        <v>365</v>
      </c>
      <c r="E179" s="124" t="s">
        <v>216</v>
      </c>
      <c r="F179" s="124" t="s">
        <v>278</v>
      </c>
      <c r="G179" s="124" t="s">
        <v>216</v>
      </c>
      <c r="H179" s="125" t="s">
        <v>244</v>
      </c>
      <c r="I179" s="255" t="s">
        <v>381</v>
      </c>
      <c r="J179" s="255" t="s">
        <v>365</v>
      </c>
      <c r="K179" s="256">
        <f t="shared" ref="K179:AB179" si="168">SUMIFS(K$185:K$187,$B$185:$B$187,"ПРиволжье")</f>
        <v>0</v>
      </c>
      <c r="L179" s="257">
        <f t="shared" si="168"/>
        <v>0</v>
      </c>
      <c r="M179" s="257">
        <f t="shared" si="168"/>
        <v>0</v>
      </c>
      <c r="N179" s="257">
        <f t="shared" si="168"/>
        <v>0</v>
      </c>
      <c r="O179" s="257">
        <f t="shared" si="168"/>
        <v>0</v>
      </c>
      <c r="P179" s="257">
        <f t="shared" si="168"/>
        <v>0</v>
      </c>
      <c r="Q179" s="257">
        <f t="shared" si="168"/>
        <v>0</v>
      </c>
      <c r="R179" s="257">
        <f t="shared" si="168"/>
        <v>0</v>
      </c>
      <c r="S179" s="257">
        <f t="shared" si="168"/>
        <v>0</v>
      </c>
      <c r="T179" s="257">
        <f t="shared" si="168"/>
        <v>0</v>
      </c>
      <c r="U179" s="257">
        <f t="shared" si="168"/>
        <v>0</v>
      </c>
      <c r="V179" s="257">
        <f t="shared" si="168"/>
        <v>0</v>
      </c>
      <c r="W179" s="257">
        <f t="shared" si="168"/>
        <v>0</v>
      </c>
      <c r="X179" s="257">
        <f t="shared" si="168"/>
        <v>0</v>
      </c>
      <c r="Y179" s="257">
        <f t="shared" si="168"/>
        <v>0</v>
      </c>
      <c r="Z179" s="257">
        <f t="shared" si="168"/>
        <v>0</v>
      </c>
      <c r="AA179" s="257">
        <f t="shared" si="168"/>
        <v>0</v>
      </c>
      <c r="AB179" s="257">
        <f t="shared" si="168"/>
        <v>0</v>
      </c>
    </row>
    <row r="180" spans="1:115" s="258" customFormat="1" ht="50.1" customHeight="1" x14ac:dyDescent="0.25">
      <c r="A180" s="124" t="s">
        <v>245</v>
      </c>
      <c r="B180" s="124" t="s">
        <v>355</v>
      </c>
      <c r="C180" s="124" t="s">
        <v>216</v>
      </c>
      <c r="D180" s="124" t="s">
        <v>365</v>
      </c>
      <c r="E180" s="124" t="s">
        <v>216</v>
      </c>
      <c r="F180" s="124" t="s">
        <v>278</v>
      </c>
      <c r="G180" s="124" t="s">
        <v>216</v>
      </c>
      <c r="H180" s="125" t="s">
        <v>244</v>
      </c>
      <c r="I180" s="255" t="s">
        <v>382</v>
      </c>
      <c r="J180" s="255" t="s">
        <v>365</v>
      </c>
      <c r="K180" s="256">
        <f t="shared" ref="K180:AB180" si="169">SUMIFS(K$185:K$187,$B$185:$B$187,"ЮГ")</f>
        <v>2</v>
      </c>
      <c r="L180" s="257">
        <f t="shared" si="169"/>
        <v>20000</v>
      </c>
      <c r="M180" s="257">
        <f t="shared" si="169"/>
        <v>0</v>
      </c>
      <c r="N180" s="257">
        <f t="shared" si="169"/>
        <v>300</v>
      </c>
      <c r="O180" s="257">
        <f t="shared" si="169"/>
        <v>0</v>
      </c>
      <c r="P180" s="257">
        <f t="shared" si="169"/>
        <v>0</v>
      </c>
      <c r="Q180" s="257">
        <f t="shared" si="169"/>
        <v>0</v>
      </c>
      <c r="R180" s="257">
        <f t="shared" si="169"/>
        <v>0</v>
      </c>
      <c r="S180" s="257">
        <f t="shared" si="169"/>
        <v>0</v>
      </c>
      <c r="T180" s="257">
        <f t="shared" si="169"/>
        <v>0</v>
      </c>
      <c r="U180" s="257">
        <f t="shared" si="169"/>
        <v>0</v>
      </c>
      <c r="V180" s="257">
        <f t="shared" si="169"/>
        <v>0</v>
      </c>
      <c r="W180" s="257">
        <f t="shared" si="169"/>
        <v>0</v>
      </c>
      <c r="X180" s="257">
        <f t="shared" si="169"/>
        <v>0</v>
      </c>
      <c r="Y180" s="257">
        <f t="shared" si="169"/>
        <v>300</v>
      </c>
      <c r="Z180" s="257">
        <f t="shared" si="169"/>
        <v>0</v>
      </c>
      <c r="AA180" s="257">
        <f t="shared" si="169"/>
        <v>250</v>
      </c>
      <c r="AB180" s="257">
        <f t="shared" si="169"/>
        <v>550</v>
      </c>
    </row>
    <row r="181" spans="1:115" s="258" customFormat="1" ht="50.1" customHeight="1" x14ac:dyDescent="0.25">
      <c r="A181" s="124" t="s">
        <v>245</v>
      </c>
      <c r="B181" s="124" t="s">
        <v>358</v>
      </c>
      <c r="C181" s="124" t="s">
        <v>216</v>
      </c>
      <c r="D181" s="124" t="s">
        <v>365</v>
      </c>
      <c r="E181" s="124" t="s">
        <v>216</v>
      </c>
      <c r="F181" s="124" t="s">
        <v>278</v>
      </c>
      <c r="G181" s="124" t="s">
        <v>216</v>
      </c>
      <c r="H181" s="125" t="s">
        <v>244</v>
      </c>
      <c r="I181" s="255" t="s">
        <v>383</v>
      </c>
      <c r="J181" s="255" t="s">
        <v>365</v>
      </c>
      <c r="K181" s="256">
        <f t="shared" ref="K181:AB181" si="170">SUMIFS(K$185:K$187,$B$185:$B$187,"Урал")</f>
        <v>0</v>
      </c>
      <c r="L181" s="257">
        <f t="shared" si="170"/>
        <v>0</v>
      </c>
      <c r="M181" s="257">
        <f t="shared" si="170"/>
        <v>0</v>
      </c>
      <c r="N181" s="257">
        <f t="shared" si="170"/>
        <v>0</v>
      </c>
      <c r="O181" s="257">
        <f t="shared" si="170"/>
        <v>0</v>
      </c>
      <c r="P181" s="257">
        <f t="shared" si="170"/>
        <v>0</v>
      </c>
      <c r="Q181" s="257">
        <f t="shared" si="170"/>
        <v>0</v>
      </c>
      <c r="R181" s="257">
        <f t="shared" si="170"/>
        <v>0</v>
      </c>
      <c r="S181" s="257">
        <f t="shared" si="170"/>
        <v>0</v>
      </c>
      <c r="T181" s="257">
        <f t="shared" si="170"/>
        <v>0</v>
      </c>
      <c r="U181" s="257">
        <f t="shared" si="170"/>
        <v>0</v>
      </c>
      <c r="V181" s="257">
        <f t="shared" si="170"/>
        <v>0</v>
      </c>
      <c r="W181" s="257">
        <f t="shared" si="170"/>
        <v>0</v>
      </c>
      <c r="X181" s="257">
        <f t="shared" si="170"/>
        <v>0</v>
      </c>
      <c r="Y181" s="257">
        <f t="shared" si="170"/>
        <v>0</v>
      </c>
      <c r="Z181" s="257">
        <f t="shared" si="170"/>
        <v>0</v>
      </c>
      <c r="AA181" s="257">
        <f t="shared" si="170"/>
        <v>0</v>
      </c>
      <c r="AB181" s="257">
        <f t="shared" si="170"/>
        <v>0</v>
      </c>
    </row>
    <row r="182" spans="1:115" s="258" customFormat="1" ht="50.1" customHeight="1" x14ac:dyDescent="0.25">
      <c r="A182" s="124" t="s">
        <v>245</v>
      </c>
      <c r="B182" s="124" t="s">
        <v>370</v>
      </c>
      <c r="C182" s="124" t="s">
        <v>216</v>
      </c>
      <c r="D182" s="124" t="s">
        <v>365</v>
      </c>
      <c r="E182" s="124" t="s">
        <v>216</v>
      </c>
      <c r="F182" s="124" t="s">
        <v>278</v>
      </c>
      <c r="G182" s="124" t="s">
        <v>216</v>
      </c>
      <c r="H182" s="125" t="s">
        <v>244</v>
      </c>
      <c r="I182" s="255" t="s">
        <v>384</v>
      </c>
      <c r="J182" s="255" t="s">
        <v>365</v>
      </c>
      <c r="K182" s="256">
        <f t="shared" ref="K182:AB182" si="171">SUMIFS(K$185:K$187,$B$185:$B$187,"Сибирь")</f>
        <v>0</v>
      </c>
      <c r="L182" s="257">
        <f t="shared" si="171"/>
        <v>0</v>
      </c>
      <c r="M182" s="257">
        <f t="shared" si="171"/>
        <v>0</v>
      </c>
      <c r="N182" s="257">
        <f t="shared" si="171"/>
        <v>0</v>
      </c>
      <c r="O182" s="257">
        <f t="shared" si="171"/>
        <v>0</v>
      </c>
      <c r="P182" s="257">
        <f t="shared" si="171"/>
        <v>0</v>
      </c>
      <c r="Q182" s="257">
        <f t="shared" si="171"/>
        <v>0</v>
      </c>
      <c r="R182" s="257">
        <f t="shared" si="171"/>
        <v>0</v>
      </c>
      <c r="S182" s="257">
        <f t="shared" si="171"/>
        <v>0</v>
      </c>
      <c r="T182" s="257">
        <f t="shared" si="171"/>
        <v>0</v>
      </c>
      <c r="U182" s="257">
        <f t="shared" si="171"/>
        <v>0</v>
      </c>
      <c r="V182" s="257">
        <f t="shared" si="171"/>
        <v>0</v>
      </c>
      <c r="W182" s="257">
        <f t="shared" si="171"/>
        <v>0</v>
      </c>
      <c r="X182" s="257">
        <f t="shared" si="171"/>
        <v>0</v>
      </c>
      <c r="Y182" s="257">
        <f t="shared" si="171"/>
        <v>0</v>
      </c>
      <c r="Z182" s="257">
        <f t="shared" si="171"/>
        <v>0</v>
      </c>
      <c r="AA182" s="257">
        <f t="shared" si="171"/>
        <v>0</v>
      </c>
      <c r="AB182" s="257">
        <f t="shared" si="171"/>
        <v>0</v>
      </c>
    </row>
    <row r="183" spans="1:115" s="258" customFormat="1" ht="50.1" customHeight="1" x14ac:dyDescent="0.25">
      <c r="A183" s="124" t="s">
        <v>245</v>
      </c>
      <c r="B183" s="124" t="s">
        <v>367</v>
      </c>
      <c r="C183" s="124" t="s">
        <v>216</v>
      </c>
      <c r="D183" s="124" t="s">
        <v>365</v>
      </c>
      <c r="E183" s="124" t="s">
        <v>216</v>
      </c>
      <c r="F183" s="124" t="s">
        <v>278</v>
      </c>
      <c r="G183" s="124" t="s">
        <v>216</v>
      </c>
      <c r="H183" s="125" t="s">
        <v>244</v>
      </c>
      <c r="I183" s="255" t="s">
        <v>385</v>
      </c>
      <c r="J183" s="255" t="s">
        <v>365</v>
      </c>
      <c r="K183" s="256">
        <f t="shared" ref="K183:AB183" si="172">SUMIFS(K$185:K$187,$B$185:$B$187,"ДАЛЬНИЙ")</f>
        <v>0</v>
      </c>
      <c r="L183" s="257">
        <f t="shared" si="172"/>
        <v>0</v>
      </c>
      <c r="M183" s="257">
        <f t="shared" si="172"/>
        <v>0</v>
      </c>
      <c r="N183" s="257">
        <f t="shared" si="172"/>
        <v>0</v>
      </c>
      <c r="O183" s="257">
        <f t="shared" si="172"/>
        <v>0</v>
      </c>
      <c r="P183" s="257">
        <f t="shared" si="172"/>
        <v>0</v>
      </c>
      <c r="Q183" s="257">
        <f t="shared" si="172"/>
        <v>0</v>
      </c>
      <c r="R183" s="257">
        <f t="shared" si="172"/>
        <v>0</v>
      </c>
      <c r="S183" s="257">
        <f t="shared" si="172"/>
        <v>0</v>
      </c>
      <c r="T183" s="257">
        <f t="shared" si="172"/>
        <v>0</v>
      </c>
      <c r="U183" s="257">
        <f t="shared" si="172"/>
        <v>0</v>
      </c>
      <c r="V183" s="257">
        <f t="shared" si="172"/>
        <v>0</v>
      </c>
      <c r="W183" s="257">
        <f t="shared" si="172"/>
        <v>0</v>
      </c>
      <c r="X183" s="257">
        <f t="shared" si="172"/>
        <v>0</v>
      </c>
      <c r="Y183" s="257">
        <f t="shared" si="172"/>
        <v>0</v>
      </c>
      <c r="Z183" s="257">
        <f t="shared" si="172"/>
        <v>0</v>
      </c>
      <c r="AA183" s="257">
        <f t="shared" si="172"/>
        <v>0</v>
      </c>
      <c r="AB183" s="257">
        <f t="shared" si="172"/>
        <v>0</v>
      </c>
    </row>
    <row r="184" spans="1:115" s="258" customFormat="1" ht="50.1" customHeight="1" x14ac:dyDescent="0.25">
      <c r="A184" s="124" t="s">
        <v>245</v>
      </c>
      <c r="B184" s="124" t="s">
        <v>230</v>
      </c>
      <c r="C184" s="124" t="s">
        <v>216</v>
      </c>
      <c r="D184" s="124" t="s">
        <v>365</v>
      </c>
      <c r="E184" s="124" t="s">
        <v>216</v>
      </c>
      <c r="F184" s="124" t="s">
        <v>278</v>
      </c>
      <c r="G184" s="124" t="s">
        <v>216</v>
      </c>
      <c r="H184" s="125" t="s">
        <v>244</v>
      </c>
      <c r="I184" s="255" t="s">
        <v>386</v>
      </c>
      <c r="J184" s="255" t="s">
        <v>365</v>
      </c>
      <c r="K184" s="256">
        <f t="shared" ref="K184:AB184" si="173">SUMIFS(K$185:K$187,$B$185:$B$187,"ТО")</f>
        <v>0</v>
      </c>
      <c r="L184" s="257">
        <f t="shared" si="173"/>
        <v>0</v>
      </c>
      <c r="M184" s="257">
        <f t="shared" si="173"/>
        <v>0</v>
      </c>
      <c r="N184" s="257">
        <f t="shared" si="173"/>
        <v>0</v>
      </c>
      <c r="O184" s="257">
        <f t="shared" si="173"/>
        <v>0</v>
      </c>
      <c r="P184" s="257">
        <f t="shared" si="173"/>
        <v>0</v>
      </c>
      <c r="Q184" s="257">
        <f t="shared" si="173"/>
        <v>0</v>
      </c>
      <c r="R184" s="257">
        <f t="shared" si="173"/>
        <v>0</v>
      </c>
      <c r="S184" s="257">
        <f t="shared" si="173"/>
        <v>0</v>
      </c>
      <c r="T184" s="257">
        <f t="shared" si="173"/>
        <v>0</v>
      </c>
      <c r="U184" s="257">
        <f t="shared" si="173"/>
        <v>0</v>
      </c>
      <c r="V184" s="257">
        <f t="shared" si="173"/>
        <v>0</v>
      </c>
      <c r="W184" s="257">
        <f t="shared" si="173"/>
        <v>0</v>
      </c>
      <c r="X184" s="257">
        <f t="shared" si="173"/>
        <v>0</v>
      </c>
      <c r="Y184" s="257">
        <f t="shared" si="173"/>
        <v>0</v>
      </c>
      <c r="Z184" s="257">
        <f t="shared" si="173"/>
        <v>0</v>
      </c>
      <c r="AA184" s="257">
        <f t="shared" si="173"/>
        <v>0</v>
      </c>
      <c r="AB184" s="257">
        <f t="shared" si="173"/>
        <v>0</v>
      </c>
    </row>
    <row r="185" spans="1:115" ht="20.25" customHeight="1" x14ac:dyDescent="0.25">
      <c r="A185" s="131" t="s">
        <v>205</v>
      </c>
      <c r="B185" s="131" t="s">
        <v>205</v>
      </c>
      <c r="C185" s="131" t="s">
        <v>205</v>
      </c>
      <c r="D185" s="131" t="s">
        <v>205</v>
      </c>
      <c r="E185" s="131" t="s">
        <v>205</v>
      </c>
      <c r="F185" s="131" t="s">
        <v>205</v>
      </c>
      <c r="G185" s="131" t="s">
        <v>205</v>
      </c>
      <c r="H185" s="119" t="s">
        <v>205</v>
      </c>
      <c r="I185" s="132" t="s">
        <v>205</v>
      </c>
      <c r="J185" s="132" t="s">
        <v>205</v>
      </c>
      <c r="K185" s="246" t="s">
        <v>205</v>
      </c>
      <c r="L185" s="133" t="s">
        <v>205</v>
      </c>
      <c r="M185" s="128" t="s">
        <v>205</v>
      </c>
      <c r="N185" s="128" t="s">
        <v>205</v>
      </c>
      <c r="O185" s="128" t="s">
        <v>205</v>
      </c>
      <c r="P185" s="128" t="s">
        <v>205</v>
      </c>
      <c r="Q185" s="128" t="s">
        <v>205</v>
      </c>
      <c r="R185" s="128" t="s">
        <v>205</v>
      </c>
      <c r="S185" s="128" t="s">
        <v>205</v>
      </c>
      <c r="T185" s="128" t="s">
        <v>205</v>
      </c>
      <c r="U185" s="128" t="s">
        <v>205</v>
      </c>
      <c r="V185" s="128" t="s">
        <v>205</v>
      </c>
      <c r="W185" s="128" t="s">
        <v>205</v>
      </c>
      <c r="X185" s="128" t="s">
        <v>205</v>
      </c>
      <c r="Y185" s="128" t="s">
        <v>205</v>
      </c>
      <c r="Z185" s="133" t="s">
        <v>205</v>
      </c>
      <c r="AA185" s="133" t="s">
        <v>205</v>
      </c>
      <c r="AB185" s="128" t="s">
        <v>205</v>
      </c>
    </row>
    <row r="186" spans="1:115" ht="86.25" customHeight="1" x14ac:dyDescent="0.25">
      <c r="A186" s="119" t="s">
        <v>344</v>
      </c>
      <c r="B186" s="119" t="s">
        <v>355</v>
      </c>
      <c r="C186" s="119" t="s">
        <v>285</v>
      </c>
      <c r="D186" s="119" t="s">
        <v>365</v>
      </c>
      <c r="E186" s="119" t="s">
        <v>226</v>
      </c>
      <c r="F186" s="119" t="s">
        <v>278</v>
      </c>
      <c r="G186" s="119" t="s">
        <v>331</v>
      </c>
      <c r="H186" s="126" t="s">
        <v>227</v>
      </c>
      <c r="I186" s="178" t="s">
        <v>421</v>
      </c>
      <c r="J186" s="179"/>
      <c r="K186" s="170">
        <v>1</v>
      </c>
      <c r="L186" s="181">
        <v>10000</v>
      </c>
      <c r="M186" s="181"/>
      <c r="N186" s="181">
        <v>200</v>
      </c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>
        <f>SUBTOTAL(9,M186:X186)</f>
        <v>200</v>
      </c>
      <c r="Z186" s="121">
        <v>0</v>
      </c>
      <c r="AA186" s="121">
        <v>150</v>
      </c>
      <c r="AB186" s="182">
        <f>SUM(Y186:AA186)</f>
        <v>350</v>
      </c>
    </row>
    <row r="187" spans="1:115" ht="96.75" customHeight="1" x14ac:dyDescent="0.25">
      <c r="A187" s="119" t="s">
        <v>344</v>
      </c>
      <c r="B187" s="127" t="s">
        <v>355</v>
      </c>
      <c r="C187" s="127" t="s">
        <v>285</v>
      </c>
      <c r="D187" s="127" t="s">
        <v>365</v>
      </c>
      <c r="E187" s="127" t="s">
        <v>226</v>
      </c>
      <c r="F187" s="127" t="s">
        <v>278</v>
      </c>
      <c r="G187" s="127" t="s">
        <v>331</v>
      </c>
      <c r="H187" s="126" t="s">
        <v>228</v>
      </c>
      <c r="I187" s="178" t="s">
        <v>422</v>
      </c>
      <c r="J187" s="183"/>
      <c r="K187" s="170">
        <v>1</v>
      </c>
      <c r="L187" s="181">
        <v>10000</v>
      </c>
      <c r="M187" s="181"/>
      <c r="N187" s="181">
        <v>100</v>
      </c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>
        <f>SUBTOTAL(9,M187:X187)</f>
        <v>100</v>
      </c>
      <c r="Z187" s="121">
        <v>0</v>
      </c>
      <c r="AA187" s="121">
        <v>100</v>
      </c>
      <c r="AB187" s="182">
        <f>SUM(Y187:AA187)</f>
        <v>200</v>
      </c>
    </row>
    <row r="188" spans="1:115" ht="20.25" customHeight="1" x14ac:dyDescent="0.25">
      <c r="A188" s="131" t="s">
        <v>205</v>
      </c>
      <c r="B188" s="131" t="s">
        <v>205</v>
      </c>
      <c r="C188" s="131" t="s">
        <v>205</v>
      </c>
      <c r="D188" s="131" t="s">
        <v>205</v>
      </c>
      <c r="E188" s="131" t="s">
        <v>205</v>
      </c>
      <c r="F188" s="131" t="s">
        <v>205</v>
      </c>
      <c r="G188" s="131" t="s">
        <v>205</v>
      </c>
      <c r="H188" s="126"/>
      <c r="I188" s="132" t="s">
        <v>205</v>
      </c>
      <c r="J188" s="132" t="s">
        <v>205</v>
      </c>
      <c r="K188" s="246" t="s">
        <v>205</v>
      </c>
      <c r="L188" s="133" t="s">
        <v>205</v>
      </c>
      <c r="M188" s="128" t="s">
        <v>205</v>
      </c>
      <c r="N188" s="128" t="s">
        <v>205</v>
      </c>
      <c r="O188" s="128" t="s">
        <v>205</v>
      </c>
      <c r="P188" s="128" t="s">
        <v>205</v>
      </c>
      <c r="Q188" s="128" t="s">
        <v>205</v>
      </c>
      <c r="R188" s="128" t="s">
        <v>205</v>
      </c>
      <c r="S188" s="128" t="s">
        <v>205</v>
      </c>
      <c r="T188" s="128" t="s">
        <v>205</v>
      </c>
      <c r="U188" s="128" t="s">
        <v>205</v>
      </c>
      <c r="V188" s="128" t="s">
        <v>205</v>
      </c>
      <c r="W188" s="128" t="s">
        <v>205</v>
      </c>
      <c r="X188" s="128" t="s">
        <v>205</v>
      </c>
      <c r="Y188" s="128" t="s">
        <v>205</v>
      </c>
      <c r="Z188" s="133" t="s">
        <v>205</v>
      </c>
      <c r="AA188" s="133" t="s">
        <v>205</v>
      </c>
      <c r="AB188" s="128" t="s">
        <v>205</v>
      </c>
    </row>
    <row r="189" spans="1:115" ht="40.5" customHeight="1" x14ac:dyDescent="0.25">
      <c r="A189" s="131" t="s">
        <v>216</v>
      </c>
      <c r="B189" s="131" t="s">
        <v>205</v>
      </c>
      <c r="C189" s="131" t="s">
        <v>205</v>
      </c>
      <c r="D189" s="131" t="s">
        <v>205</v>
      </c>
      <c r="E189" s="131" t="s">
        <v>205</v>
      </c>
      <c r="F189" s="131" t="s">
        <v>205</v>
      </c>
      <c r="G189" s="131" t="s">
        <v>205</v>
      </c>
      <c r="H189" s="174"/>
      <c r="I189" s="177" t="s">
        <v>300</v>
      </c>
      <c r="J189" s="221"/>
      <c r="K189" s="176">
        <f t="shared" ref="K189:AB189" si="174">K10</f>
        <v>10</v>
      </c>
      <c r="L189" s="177">
        <f t="shared" si="174"/>
        <v>110000</v>
      </c>
      <c r="M189" s="177">
        <f t="shared" si="174"/>
        <v>700</v>
      </c>
      <c r="N189" s="177">
        <f t="shared" si="174"/>
        <v>200</v>
      </c>
      <c r="O189" s="177">
        <f t="shared" si="174"/>
        <v>0</v>
      </c>
      <c r="P189" s="177">
        <f t="shared" si="174"/>
        <v>0</v>
      </c>
      <c r="Q189" s="177">
        <f t="shared" si="174"/>
        <v>0</v>
      </c>
      <c r="R189" s="177">
        <f t="shared" si="174"/>
        <v>0</v>
      </c>
      <c r="S189" s="177">
        <f t="shared" si="174"/>
        <v>0</v>
      </c>
      <c r="T189" s="177">
        <f t="shared" si="174"/>
        <v>0</v>
      </c>
      <c r="U189" s="177">
        <f t="shared" si="174"/>
        <v>0</v>
      </c>
      <c r="V189" s="177">
        <f t="shared" si="174"/>
        <v>0</v>
      </c>
      <c r="W189" s="177">
        <f t="shared" si="174"/>
        <v>0</v>
      </c>
      <c r="X189" s="177">
        <f t="shared" si="174"/>
        <v>0</v>
      </c>
      <c r="Y189" s="177">
        <f t="shared" si="174"/>
        <v>900</v>
      </c>
      <c r="Z189" s="177">
        <f t="shared" si="174"/>
        <v>0</v>
      </c>
      <c r="AA189" s="177">
        <f t="shared" si="174"/>
        <v>0</v>
      </c>
      <c r="AB189" s="177">
        <f t="shared" si="174"/>
        <v>900</v>
      </c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22"/>
      <c r="AZ189" s="122"/>
      <c r="BA189" s="122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2"/>
      <c r="BM189" s="122"/>
      <c r="BN189" s="122"/>
      <c r="BO189" s="122"/>
      <c r="BP189" s="122"/>
      <c r="BQ189" s="122"/>
      <c r="BR189" s="122"/>
      <c r="BS189" s="122"/>
      <c r="BT189" s="122"/>
      <c r="BU189" s="122"/>
      <c r="BV189" s="122"/>
      <c r="BW189" s="122"/>
      <c r="BX189" s="122"/>
      <c r="BY189" s="122"/>
      <c r="BZ189" s="122"/>
      <c r="CA189" s="122"/>
      <c r="CB189" s="122"/>
      <c r="CC189" s="122"/>
      <c r="CD189" s="122"/>
      <c r="CE189" s="122"/>
      <c r="CF189" s="122"/>
      <c r="CG189" s="122"/>
      <c r="CH189" s="122"/>
      <c r="CI189" s="122"/>
      <c r="CJ189" s="122"/>
      <c r="CK189" s="122"/>
      <c r="CL189" s="122"/>
      <c r="CM189" s="122"/>
      <c r="CN189" s="122"/>
      <c r="CO189" s="122"/>
      <c r="CP189" s="122"/>
      <c r="CQ189" s="122"/>
      <c r="CR189" s="122"/>
      <c r="CS189" s="122"/>
      <c r="CT189" s="122"/>
      <c r="CU189" s="122"/>
      <c r="CV189" s="122"/>
      <c r="CW189" s="122"/>
      <c r="CX189" s="122"/>
      <c r="CY189" s="122"/>
      <c r="CZ189" s="122"/>
      <c r="DA189" s="122"/>
      <c r="DB189" s="122"/>
      <c r="DC189" s="122"/>
      <c r="DD189" s="122"/>
      <c r="DE189" s="122"/>
      <c r="DF189" s="122"/>
      <c r="DG189" s="122"/>
      <c r="DH189" s="122"/>
      <c r="DI189" s="122"/>
      <c r="DJ189" s="122"/>
      <c r="DK189" s="122"/>
    </row>
    <row r="190" spans="1:115" s="247" customFormat="1" ht="18.75" customHeight="1" x14ac:dyDescent="0.25">
      <c r="A190" s="131" t="s">
        <v>205</v>
      </c>
      <c r="B190" s="131" t="s">
        <v>205</v>
      </c>
      <c r="C190" s="131" t="s">
        <v>205</v>
      </c>
      <c r="D190" s="131" t="s">
        <v>205</v>
      </c>
      <c r="E190" s="131" t="s">
        <v>205</v>
      </c>
      <c r="F190" s="131" t="s">
        <v>205</v>
      </c>
      <c r="G190" s="131" t="s">
        <v>205</v>
      </c>
      <c r="H190" s="119" t="s">
        <v>205</v>
      </c>
      <c r="I190" s="132" t="s">
        <v>205</v>
      </c>
      <c r="J190" s="132" t="s">
        <v>205</v>
      </c>
      <c r="K190" s="246">
        <f>K189-SUM(K191,K192,K193,K194)</f>
        <v>0</v>
      </c>
      <c r="L190" s="133">
        <f>L189-SUM(L191,L192,L193,L194)</f>
        <v>0</v>
      </c>
      <c r="M190" s="128">
        <f>M189-SUM(M191,M192,M193,M194)</f>
        <v>0</v>
      </c>
      <c r="N190" s="128">
        <f t="shared" ref="N190:T190" si="175">N189-SUM(N191,N192,N193,N194)</f>
        <v>0</v>
      </c>
      <c r="O190" s="128">
        <f t="shared" si="175"/>
        <v>0</v>
      </c>
      <c r="P190" s="128">
        <f>P189-SUM(P191,P192,P193,P194)</f>
        <v>0</v>
      </c>
      <c r="Q190" s="128">
        <f>Q189-SUM(Q191,Q192,Q193,Q194)</f>
        <v>0</v>
      </c>
      <c r="R190" s="128">
        <f>R189-SUM(R191,R192,R193,R194)</f>
        <v>0</v>
      </c>
      <c r="S190" s="128">
        <f>S189-SUM(S191,S192,S193,S194)</f>
        <v>0</v>
      </c>
      <c r="T190" s="128">
        <f t="shared" si="175"/>
        <v>0</v>
      </c>
      <c r="U190" s="128">
        <f t="shared" ref="U190:AB190" si="176">U189-SUM(U191,U192,U193,U194)</f>
        <v>0</v>
      </c>
      <c r="V190" s="128">
        <f t="shared" si="176"/>
        <v>0</v>
      </c>
      <c r="W190" s="128">
        <f t="shared" si="176"/>
        <v>0</v>
      </c>
      <c r="X190" s="128">
        <f t="shared" si="176"/>
        <v>0</v>
      </c>
      <c r="Y190" s="128">
        <f t="shared" si="176"/>
        <v>0</v>
      </c>
      <c r="Z190" s="133">
        <f t="shared" si="176"/>
        <v>0</v>
      </c>
      <c r="AA190" s="133">
        <f t="shared" si="176"/>
        <v>0</v>
      </c>
      <c r="AB190" s="128">
        <f t="shared" si="176"/>
        <v>0</v>
      </c>
    </row>
    <row r="191" spans="1:115" s="253" customFormat="1" ht="38.25" customHeight="1" x14ac:dyDescent="0.25">
      <c r="A191" s="248"/>
      <c r="B191" s="248"/>
      <c r="C191" s="249" t="s">
        <v>284</v>
      </c>
      <c r="D191" s="260" t="s">
        <v>300</v>
      </c>
      <c r="E191" s="248"/>
      <c r="F191" s="249" t="s">
        <v>205</v>
      </c>
      <c r="G191" s="249" t="s">
        <v>216</v>
      </c>
      <c r="H191" s="250" t="s">
        <v>244</v>
      </c>
      <c r="I191" s="248" t="s">
        <v>282</v>
      </c>
      <c r="J191" s="251" t="s">
        <v>300</v>
      </c>
      <c r="K191" s="261">
        <f t="shared" ref="K191:AB191" si="177">SUMIFS(K$207:K$269,$C$207:$C$269,"ЗЕРКАЛО")</f>
        <v>10</v>
      </c>
      <c r="L191" s="248">
        <f t="shared" si="177"/>
        <v>100000</v>
      </c>
      <c r="M191" s="248">
        <f t="shared" si="177"/>
        <v>500</v>
      </c>
      <c r="N191" s="248">
        <f t="shared" si="177"/>
        <v>100</v>
      </c>
      <c r="O191" s="248">
        <f t="shared" si="177"/>
        <v>0</v>
      </c>
      <c r="P191" s="248">
        <f t="shared" si="177"/>
        <v>0</v>
      </c>
      <c r="Q191" s="248">
        <f t="shared" si="177"/>
        <v>0</v>
      </c>
      <c r="R191" s="248">
        <f t="shared" si="177"/>
        <v>0</v>
      </c>
      <c r="S191" s="248">
        <f t="shared" si="177"/>
        <v>0</v>
      </c>
      <c r="T191" s="248">
        <f t="shared" si="177"/>
        <v>0</v>
      </c>
      <c r="U191" s="248">
        <f t="shared" si="177"/>
        <v>0</v>
      </c>
      <c r="V191" s="248">
        <f t="shared" si="177"/>
        <v>0</v>
      </c>
      <c r="W191" s="248">
        <f t="shared" si="177"/>
        <v>0</v>
      </c>
      <c r="X191" s="248">
        <f t="shared" si="177"/>
        <v>0</v>
      </c>
      <c r="Y191" s="248">
        <f t="shared" si="177"/>
        <v>600</v>
      </c>
      <c r="Z191" s="248">
        <f t="shared" si="177"/>
        <v>0</v>
      </c>
      <c r="AA191" s="248">
        <f t="shared" si="177"/>
        <v>0</v>
      </c>
      <c r="AB191" s="248">
        <f t="shared" si="177"/>
        <v>600</v>
      </c>
    </row>
    <row r="192" spans="1:115" s="253" customFormat="1" ht="38.25" customHeight="1" x14ac:dyDescent="0.25">
      <c r="A192" s="248"/>
      <c r="B192" s="248"/>
      <c r="C192" s="249" t="s">
        <v>288</v>
      </c>
      <c r="D192" s="260" t="s">
        <v>300</v>
      </c>
      <c r="E192" s="248"/>
      <c r="F192" s="249" t="s">
        <v>205</v>
      </c>
      <c r="G192" s="249" t="s">
        <v>216</v>
      </c>
      <c r="H192" s="250" t="s">
        <v>244</v>
      </c>
      <c r="I192" s="248" t="s">
        <v>286</v>
      </c>
      <c r="J192" s="251" t="s">
        <v>300</v>
      </c>
      <c r="K192" s="261">
        <f t="shared" ref="K192:AB192" si="178">SUMIFS(K$207:K$269,$C$207:$C$269,"ЮРМАЛА")</f>
        <v>0</v>
      </c>
      <c r="L192" s="248">
        <f t="shared" si="178"/>
        <v>10000</v>
      </c>
      <c r="M192" s="248">
        <f t="shared" si="178"/>
        <v>200</v>
      </c>
      <c r="N192" s="248">
        <f t="shared" si="178"/>
        <v>100</v>
      </c>
      <c r="O192" s="248">
        <f t="shared" si="178"/>
        <v>0</v>
      </c>
      <c r="P192" s="248">
        <f t="shared" si="178"/>
        <v>0</v>
      </c>
      <c r="Q192" s="248">
        <f t="shared" si="178"/>
        <v>0</v>
      </c>
      <c r="R192" s="248">
        <f t="shared" si="178"/>
        <v>0</v>
      </c>
      <c r="S192" s="248">
        <f t="shared" si="178"/>
        <v>0</v>
      </c>
      <c r="T192" s="248">
        <f t="shared" si="178"/>
        <v>0</v>
      </c>
      <c r="U192" s="248">
        <f t="shared" si="178"/>
        <v>0</v>
      </c>
      <c r="V192" s="248">
        <f t="shared" si="178"/>
        <v>0</v>
      </c>
      <c r="W192" s="248">
        <f t="shared" si="178"/>
        <v>0</v>
      </c>
      <c r="X192" s="248">
        <f t="shared" si="178"/>
        <v>0</v>
      </c>
      <c r="Y192" s="248">
        <f t="shared" si="178"/>
        <v>300</v>
      </c>
      <c r="Z192" s="248">
        <f t="shared" si="178"/>
        <v>0</v>
      </c>
      <c r="AA192" s="248">
        <f t="shared" si="178"/>
        <v>0</v>
      </c>
      <c r="AB192" s="248">
        <f t="shared" si="178"/>
        <v>300</v>
      </c>
    </row>
    <row r="193" spans="1:111" s="253" customFormat="1" ht="38.25" customHeight="1" x14ac:dyDescent="0.25">
      <c r="A193" s="248"/>
      <c r="B193" s="248"/>
      <c r="C193" s="249" t="s">
        <v>292</v>
      </c>
      <c r="D193" s="260" t="s">
        <v>300</v>
      </c>
      <c r="E193" s="248"/>
      <c r="F193" s="249" t="s">
        <v>205</v>
      </c>
      <c r="G193" s="249" t="s">
        <v>216</v>
      </c>
      <c r="H193" s="250" t="s">
        <v>244</v>
      </c>
      <c r="I193" s="248" t="s">
        <v>290</v>
      </c>
      <c r="J193" s="251" t="s">
        <v>300</v>
      </c>
      <c r="K193" s="261">
        <f t="shared" ref="K193:AB193" si="179">SUMIFS(K$207:K$269,$C$207:$C$269,"ЦЕМЕНТОВОЗ")</f>
        <v>0</v>
      </c>
      <c r="L193" s="248">
        <f t="shared" si="179"/>
        <v>0</v>
      </c>
      <c r="M193" s="248">
        <f t="shared" si="179"/>
        <v>0</v>
      </c>
      <c r="N193" s="248">
        <f t="shared" si="179"/>
        <v>0</v>
      </c>
      <c r="O193" s="248">
        <f t="shared" si="179"/>
        <v>0</v>
      </c>
      <c r="P193" s="248">
        <f t="shared" si="179"/>
        <v>0</v>
      </c>
      <c r="Q193" s="248">
        <f t="shared" si="179"/>
        <v>0</v>
      </c>
      <c r="R193" s="248">
        <f t="shared" si="179"/>
        <v>0</v>
      </c>
      <c r="S193" s="248">
        <f t="shared" si="179"/>
        <v>0</v>
      </c>
      <c r="T193" s="248">
        <f t="shared" si="179"/>
        <v>0</v>
      </c>
      <c r="U193" s="248">
        <f t="shared" si="179"/>
        <v>0</v>
      </c>
      <c r="V193" s="248">
        <f t="shared" si="179"/>
        <v>0</v>
      </c>
      <c r="W193" s="248">
        <f t="shared" si="179"/>
        <v>0</v>
      </c>
      <c r="X193" s="248">
        <f t="shared" si="179"/>
        <v>0</v>
      </c>
      <c r="Y193" s="248">
        <f t="shared" si="179"/>
        <v>0</v>
      </c>
      <c r="Z193" s="248">
        <f t="shared" si="179"/>
        <v>0</v>
      </c>
      <c r="AA193" s="248">
        <f t="shared" si="179"/>
        <v>0</v>
      </c>
      <c r="AB193" s="248">
        <f t="shared" si="179"/>
        <v>0</v>
      </c>
    </row>
    <row r="194" spans="1:111" s="253" customFormat="1" ht="38.25" customHeight="1" x14ac:dyDescent="0.25">
      <c r="A194" s="248"/>
      <c r="B194" s="248"/>
      <c r="C194" s="249" t="s">
        <v>306</v>
      </c>
      <c r="D194" s="260" t="s">
        <v>300</v>
      </c>
      <c r="E194" s="248"/>
      <c r="F194" s="249" t="s">
        <v>205</v>
      </c>
      <c r="G194" s="249" t="s">
        <v>216</v>
      </c>
      <c r="H194" s="250" t="s">
        <v>244</v>
      </c>
      <c r="I194" s="248" t="s">
        <v>303</v>
      </c>
      <c r="J194" s="251" t="s">
        <v>300</v>
      </c>
      <c r="K194" s="261">
        <f t="shared" ref="K194:AB194" si="180">SUMIFS(K$207:K$269,$C$207:$C$269,"ВОСЕМЬ")</f>
        <v>0</v>
      </c>
      <c r="L194" s="248">
        <f t="shared" si="180"/>
        <v>0</v>
      </c>
      <c r="M194" s="248">
        <f t="shared" si="180"/>
        <v>0</v>
      </c>
      <c r="N194" s="248">
        <f t="shared" si="180"/>
        <v>0</v>
      </c>
      <c r="O194" s="248">
        <f t="shared" si="180"/>
        <v>0</v>
      </c>
      <c r="P194" s="248">
        <f t="shared" si="180"/>
        <v>0</v>
      </c>
      <c r="Q194" s="248">
        <f t="shared" si="180"/>
        <v>0</v>
      </c>
      <c r="R194" s="248">
        <f t="shared" si="180"/>
        <v>0</v>
      </c>
      <c r="S194" s="248">
        <f t="shared" si="180"/>
        <v>0</v>
      </c>
      <c r="T194" s="248">
        <f t="shared" si="180"/>
        <v>0</v>
      </c>
      <c r="U194" s="248">
        <f t="shared" si="180"/>
        <v>0</v>
      </c>
      <c r="V194" s="248">
        <f t="shared" si="180"/>
        <v>0</v>
      </c>
      <c r="W194" s="248">
        <f t="shared" si="180"/>
        <v>0</v>
      </c>
      <c r="X194" s="248">
        <f t="shared" si="180"/>
        <v>0</v>
      </c>
      <c r="Y194" s="248">
        <f t="shared" si="180"/>
        <v>0</v>
      </c>
      <c r="Z194" s="248">
        <f t="shared" si="180"/>
        <v>0</v>
      </c>
      <c r="AA194" s="248">
        <f t="shared" si="180"/>
        <v>0</v>
      </c>
      <c r="AB194" s="248">
        <f t="shared" si="180"/>
        <v>0</v>
      </c>
    </row>
    <row r="195" spans="1:111" s="247" customFormat="1" ht="18.75" customHeight="1" x14ac:dyDescent="0.25">
      <c r="A195" s="131" t="s">
        <v>205</v>
      </c>
      <c r="B195" s="131" t="s">
        <v>205</v>
      </c>
      <c r="C195" s="131" t="s">
        <v>205</v>
      </c>
      <c r="D195" s="131" t="s">
        <v>205</v>
      </c>
      <c r="E195" s="131" t="s">
        <v>205</v>
      </c>
      <c r="F195" s="131" t="s">
        <v>205</v>
      </c>
      <c r="G195" s="131" t="s">
        <v>205</v>
      </c>
      <c r="H195" s="119" t="s">
        <v>205</v>
      </c>
      <c r="I195" s="132" t="s">
        <v>205</v>
      </c>
      <c r="J195" s="132" t="s">
        <v>205</v>
      </c>
      <c r="K195" s="246">
        <f>K189-SUM(K196,K197,K198,K199,K200,K201,K202,K203,K204,K205)</f>
        <v>0</v>
      </c>
      <c r="L195" s="133">
        <f>L189-SUM(L196,L197,L198,L199,L200,L201,L202,L203,L204,L205)</f>
        <v>0</v>
      </c>
      <c r="M195" s="128">
        <f>M189-SUM(M196,M197,M198,M199,M200,M201,M202,M203,M204,M205)</f>
        <v>0</v>
      </c>
      <c r="N195" s="128">
        <f t="shared" ref="N195:T195" si="181">N189-SUM(N196,N197,N198,N199,N200,N201,N202,N203,N204,N205)</f>
        <v>0</v>
      </c>
      <c r="O195" s="128">
        <f t="shared" si="181"/>
        <v>0</v>
      </c>
      <c r="P195" s="128">
        <f>P189-SUM(P196,P197,P198,P199,P200,P201,P202,P203,P204,P205)</f>
        <v>0</v>
      </c>
      <c r="Q195" s="128">
        <f>Q189-SUM(Q196,Q197,Q198,Q199,Q200,Q201,Q202,Q203,Q204,Q205)</f>
        <v>0</v>
      </c>
      <c r="R195" s="128">
        <f>R189-SUM(R196,R197,R198,R199,R200,R201,R202,R203,R204,R205)</f>
        <v>0</v>
      </c>
      <c r="S195" s="128">
        <f>S189-SUM(S196,S197,S198,S199,S200,S201,S202,S203,S204,S205)</f>
        <v>0</v>
      </c>
      <c r="T195" s="128">
        <f t="shared" si="181"/>
        <v>0</v>
      </c>
      <c r="U195" s="128">
        <f t="shared" ref="U195:AB195" si="182">U189-SUM(U196,U197,U198,U199,U200,U201,U202,U203,U204,U205)</f>
        <v>0</v>
      </c>
      <c r="V195" s="128">
        <f t="shared" si="182"/>
        <v>0</v>
      </c>
      <c r="W195" s="128">
        <f t="shared" si="182"/>
        <v>0</v>
      </c>
      <c r="X195" s="128">
        <f t="shared" si="182"/>
        <v>0</v>
      </c>
      <c r="Y195" s="128">
        <f t="shared" si="182"/>
        <v>0</v>
      </c>
      <c r="Z195" s="133">
        <f t="shared" si="182"/>
        <v>0</v>
      </c>
      <c r="AA195" s="133">
        <f t="shared" si="182"/>
        <v>0</v>
      </c>
      <c r="AB195" s="128">
        <f t="shared" si="182"/>
        <v>0</v>
      </c>
    </row>
    <row r="196" spans="1:111" s="253" customFormat="1" ht="38.25" customHeight="1" x14ac:dyDescent="0.25">
      <c r="A196" s="248" t="s">
        <v>400</v>
      </c>
      <c r="B196" s="248"/>
      <c r="C196" s="249"/>
      <c r="D196" s="260" t="s">
        <v>300</v>
      </c>
      <c r="E196" s="248"/>
      <c r="F196" s="249" t="s">
        <v>205</v>
      </c>
      <c r="G196" s="239" t="s">
        <v>310</v>
      </c>
      <c r="H196" s="250" t="s">
        <v>244</v>
      </c>
      <c r="I196" s="248" t="s">
        <v>307</v>
      </c>
      <c r="J196" s="251" t="s">
        <v>300</v>
      </c>
      <c r="K196" s="261">
        <f t="shared" ref="K196:AB196" si="183">SUMIFS(K$207:K$269,$G$207:$G$269,"ТУФЛИ")</f>
        <v>4</v>
      </c>
      <c r="L196" s="248">
        <f t="shared" si="183"/>
        <v>40000</v>
      </c>
      <c r="M196" s="248">
        <f t="shared" si="183"/>
        <v>0</v>
      </c>
      <c r="N196" s="248">
        <f t="shared" si="183"/>
        <v>0</v>
      </c>
      <c r="O196" s="248">
        <f t="shared" si="183"/>
        <v>0</v>
      </c>
      <c r="P196" s="248">
        <f t="shared" si="183"/>
        <v>0</v>
      </c>
      <c r="Q196" s="248">
        <f t="shared" si="183"/>
        <v>0</v>
      </c>
      <c r="R196" s="248">
        <f t="shared" si="183"/>
        <v>0</v>
      </c>
      <c r="S196" s="248">
        <f t="shared" si="183"/>
        <v>0</v>
      </c>
      <c r="T196" s="248">
        <f t="shared" si="183"/>
        <v>0</v>
      </c>
      <c r="U196" s="248">
        <f t="shared" si="183"/>
        <v>0</v>
      </c>
      <c r="V196" s="248">
        <f t="shared" si="183"/>
        <v>0</v>
      </c>
      <c r="W196" s="248">
        <f t="shared" si="183"/>
        <v>0</v>
      </c>
      <c r="X196" s="248">
        <f t="shared" si="183"/>
        <v>0</v>
      </c>
      <c r="Y196" s="248">
        <f t="shared" si="183"/>
        <v>0</v>
      </c>
      <c r="Z196" s="248">
        <f t="shared" si="183"/>
        <v>0</v>
      </c>
      <c r="AA196" s="248">
        <f t="shared" si="183"/>
        <v>0</v>
      </c>
      <c r="AB196" s="248">
        <f t="shared" si="183"/>
        <v>0</v>
      </c>
    </row>
    <row r="197" spans="1:111" s="253" customFormat="1" ht="38.25" customHeight="1" x14ac:dyDescent="0.25">
      <c r="A197" s="248" t="s">
        <v>400</v>
      </c>
      <c r="B197" s="248"/>
      <c r="C197" s="248"/>
      <c r="D197" s="260" t="s">
        <v>300</v>
      </c>
      <c r="E197" s="248"/>
      <c r="F197" s="249" t="s">
        <v>205</v>
      </c>
      <c r="G197" s="239" t="s">
        <v>323</v>
      </c>
      <c r="H197" s="250" t="s">
        <v>244</v>
      </c>
      <c r="I197" s="248" t="s">
        <v>311</v>
      </c>
      <c r="J197" s="251" t="s">
        <v>300</v>
      </c>
      <c r="K197" s="261">
        <f t="shared" ref="K197:AB197" si="184">SUMIFS(K$207:K$269,$G$207:$G$269,"РЕТРО ЗЕРКАЛО")</f>
        <v>0</v>
      </c>
      <c r="L197" s="248">
        <f t="shared" si="184"/>
        <v>0</v>
      </c>
      <c r="M197" s="248">
        <f t="shared" si="184"/>
        <v>0</v>
      </c>
      <c r="N197" s="248">
        <f t="shared" si="184"/>
        <v>0</v>
      </c>
      <c r="O197" s="248">
        <f t="shared" si="184"/>
        <v>0</v>
      </c>
      <c r="P197" s="248">
        <f t="shared" si="184"/>
        <v>0</v>
      </c>
      <c r="Q197" s="248">
        <f t="shared" si="184"/>
        <v>0</v>
      </c>
      <c r="R197" s="248">
        <f t="shared" si="184"/>
        <v>0</v>
      </c>
      <c r="S197" s="248">
        <f t="shared" si="184"/>
        <v>0</v>
      </c>
      <c r="T197" s="248">
        <f t="shared" si="184"/>
        <v>0</v>
      </c>
      <c r="U197" s="248">
        <f t="shared" si="184"/>
        <v>0</v>
      </c>
      <c r="V197" s="248">
        <f t="shared" si="184"/>
        <v>0</v>
      </c>
      <c r="W197" s="248">
        <f t="shared" si="184"/>
        <v>0</v>
      </c>
      <c r="X197" s="248">
        <f t="shared" si="184"/>
        <v>0</v>
      </c>
      <c r="Y197" s="248">
        <f t="shared" si="184"/>
        <v>0</v>
      </c>
      <c r="Z197" s="248">
        <f t="shared" si="184"/>
        <v>0</v>
      </c>
      <c r="AA197" s="248">
        <f t="shared" si="184"/>
        <v>0</v>
      </c>
      <c r="AB197" s="248">
        <f t="shared" si="184"/>
        <v>0</v>
      </c>
    </row>
    <row r="198" spans="1:111" s="253" customFormat="1" ht="38.25" customHeight="1" x14ac:dyDescent="0.25">
      <c r="A198" s="248" t="s">
        <v>400</v>
      </c>
      <c r="B198" s="248"/>
      <c r="C198" s="248"/>
      <c r="D198" s="260" t="s">
        <v>300</v>
      </c>
      <c r="E198" s="248"/>
      <c r="F198" s="249" t="s">
        <v>205</v>
      </c>
      <c r="G198" s="239" t="s">
        <v>324</v>
      </c>
      <c r="H198" s="250" t="s">
        <v>244</v>
      </c>
      <c r="I198" s="248" t="s">
        <v>314</v>
      </c>
      <c r="J198" s="251" t="s">
        <v>300</v>
      </c>
      <c r="K198" s="261">
        <f t="shared" ref="K198:AB198" si="185">SUMIFS(K$207:K$269,$G$207:$G$269,"РЕТРО ЦЕМЕНТОВОЗ")</f>
        <v>0</v>
      </c>
      <c r="L198" s="248">
        <f t="shared" si="185"/>
        <v>0</v>
      </c>
      <c r="M198" s="248">
        <f t="shared" si="185"/>
        <v>0</v>
      </c>
      <c r="N198" s="248">
        <f t="shared" si="185"/>
        <v>0</v>
      </c>
      <c r="O198" s="248">
        <f t="shared" si="185"/>
        <v>0</v>
      </c>
      <c r="P198" s="248">
        <f t="shared" si="185"/>
        <v>0</v>
      </c>
      <c r="Q198" s="248">
        <f t="shared" si="185"/>
        <v>0</v>
      </c>
      <c r="R198" s="248">
        <f t="shared" si="185"/>
        <v>0</v>
      </c>
      <c r="S198" s="248">
        <f t="shared" si="185"/>
        <v>0</v>
      </c>
      <c r="T198" s="248">
        <f t="shared" si="185"/>
        <v>0</v>
      </c>
      <c r="U198" s="248">
        <f t="shared" si="185"/>
        <v>0</v>
      </c>
      <c r="V198" s="248">
        <f t="shared" si="185"/>
        <v>0</v>
      </c>
      <c r="W198" s="248">
        <f t="shared" si="185"/>
        <v>0</v>
      </c>
      <c r="X198" s="248">
        <f t="shared" si="185"/>
        <v>0</v>
      </c>
      <c r="Y198" s="248">
        <f t="shared" si="185"/>
        <v>0</v>
      </c>
      <c r="Z198" s="248">
        <f t="shared" si="185"/>
        <v>0</v>
      </c>
      <c r="AA198" s="248">
        <f t="shared" si="185"/>
        <v>0</v>
      </c>
      <c r="AB198" s="248">
        <f t="shared" si="185"/>
        <v>0</v>
      </c>
    </row>
    <row r="199" spans="1:111" s="253" customFormat="1" ht="38.25" customHeight="1" x14ac:dyDescent="0.25">
      <c r="A199" s="248" t="s">
        <v>400</v>
      </c>
      <c r="B199" s="248"/>
      <c r="C199" s="248"/>
      <c r="D199" s="260" t="s">
        <v>300</v>
      </c>
      <c r="E199" s="248"/>
      <c r="F199" s="249" t="s">
        <v>205</v>
      </c>
      <c r="G199" s="239" t="s">
        <v>325</v>
      </c>
      <c r="H199" s="250" t="s">
        <v>244</v>
      </c>
      <c r="I199" s="248" t="s">
        <v>317</v>
      </c>
      <c r="J199" s="251" t="s">
        <v>300</v>
      </c>
      <c r="K199" s="261">
        <f t="shared" ref="K199:AB199" si="186">SUMIFS(K$207:K$269,$G$207:$G$269,"РЕТРО ВОСЕМЬ")</f>
        <v>0</v>
      </c>
      <c r="L199" s="248">
        <f t="shared" si="186"/>
        <v>0</v>
      </c>
      <c r="M199" s="248">
        <f t="shared" si="186"/>
        <v>0</v>
      </c>
      <c r="N199" s="248">
        <f t="shared" si="186"/>
        <v>0</v>
      </c>
      <c r="O199" s="248">
        <f t="shared" si="186"/>
        <v>0</v>
      </c>
      <c r="P199" s="248">
        <f t="shared" si="186"/>
        <v>0</v>
      </c>
      <c r="Q199" s="248">
        <f t="shared" si="186"/>
        <v>0</v>
      </c>
      <c r="R199" s="248">
        <f t="shared" si="186"/>
        <v>0</v>
      </c>
      <c r="S199" s="248">
        <f t="shared" si="186"/>
        <v>0</v>
      </c>
      <c r="T199" s="248">
        <f t="shared" si="186"/>
        <v>0</v>
      </c>
      <c r="U199" s="248">
        <f t="shared" si="186"/>
        <v>0</v>
      </c>
      <c r="V199" s="248">
        <f t="shared" si="186"/>
        <v>0</v>
      </c>
      <c r="W199" s="248">
        <f t="shared" si="186"/>
        <v>0</v>
      </c>
      <c r="X199" s="248">
        <f t="shared" si="186"/>
        <v>0</v>
      </c>
      <c r="Y199" s="248">
        <f t="shared" si="186"/>
        <v>0</v>
      </c>
      <c r="Z199" s="248">
        <f t="shared" si="186"/>
        <v>0</v>
      </c>
      <c r="AA199" s="248">
        <f t="shared" si="186"/>
        <v>0</v>
      </c>
      <c r="AB199" s="248">
        <f t="shared" si="186"/>
        <v>0</v>
      </c>
    </row>
    <row r="200" spans="1:111" s="253" customFormat="1" ht="38.25" customHeight="1" x14ac:dyDescent="0.25">
      <c r="A200" s="248" t="s">
        <v>400</v>
      </c>
      <c r="B200" s="248"/>
      <c r="C200" s="248"/>
      <c r="D200" s="260" t="s">
        <v>300</v>
      </c>
      <c r="E200" s="248"/>
      <c r="F200" s="249" t="s">
        <v>205</v>
      </c>
      <c r="G200" s="239" t="s">
        <v>326</v>
      </c>
      <c r="H200" s="250" t="s">
        <v>244</v>
      </c>
      <c r="I200" s="248" t="s">
        <v>320</v>
      </c>
      <c r="J200" s="251" t="s">
        <v>300</v>
      </c>
      <c r="K200" s="261">
        <f t="shared" ref="K200:AB200" si="187">SUMIFS(K$207:K$269,$G$207:$G$269,"РЕТРО ЮРМАЛА")</f>
        <v>0</v>
      </c>
      <c r="L200" s="248">
        <f t="shared" si="187"/>
        <v>10000</v>
      </c>
      <c r="M200" s="248">
        <f t="shared" si="187"/>
        <v>200</v>
      </c>
      <c r="N200" s="248">
        <f t="shared" si="187"/>
        <v>100</v>
      </c>
      <c r="O200" s="248">
        <f t="shared" si="187"/>
        <v>0</v>
      </c>
      <c r="P200" s="248">
        <f t="shared" si="187"/>
        <v>0</v>
      </c>
      <c r="Q200" s="248">
        <f t="shared" si="187"/>
        <v>0</v>
      </c>
      <c r="R200" s="248">
        <f t="shared" si="187"/>
        <v>0</v>
      </c>
      <c r="S200" s="248">
        <f t="shared" si="187"/>
        <v>0</v>
      </c>
      <c r="T200" s="248">
        <f t="shared" si="187"/>
        <v>0</v>
      </c>
      <c r="U200" s="248">
        <f t="shared" si="187"/>
        <v>0</v>
      </c>
      <c r="V200" s="248">
        <f t="shared" si="187"/>
        <v>0</v>
      </c>
      <c r="W200" s="248">
        <f t="shared" si="187"/>
        <v>0</v>
      </c>
      <c r="X200" s="248">
        <f t="shared" si="187"/>
        <v>0</v>
      </c>
      <c r="Y200" s="248">
        <f t="shared" si="187"/>
        <v>300</v>
      </c>
      <c r="Z200" s="248">
        <f t="shared" si="187"/>
        <v>0</v>
      </c>
      <c r="AA200" s="248">
        <f t="shared" si="187"/>
        <v>0</v>
      </c>
      <c r="AB200" s="248">
        <f t="shared" si="187"/>
        <v>300</v>
      </c>
    </row>
    <row r="201" spans="1:111" s="253" customFormat="1" ht="38.25" customHeight="1" x14ac:dyDescent="0.25">
      <c r="A201" s="248" t="s">
        <v>400</v>
      </c>
      <c r="B201" s="248"/>
      <c r="C201" s="248"/>
      <c r="D201" s="260" t="s">
        <v>300</v>
      </c>
      <c r="E201" s="248"/>
      <c r="F201" s="249" t="s">
        <v>205</v>
      </c>
      <c r="G201" s="239" t="s">
        <v>338</v>
      </c>
      <c r="H201" s="250" t="s">
        <v>244</v>
      </c>
      <c r="I201" s="248" t="s">
        <v>328</v>
      </c>
      <c r="J201" s="251" t="s">
        <v>300</v>
      </c>
      <c r="K201" s="261">
        <f t="shared" ref="K201:AB201" si="188">SUMIFS(K$207:K$269,$G$207:$G$269,"ОБРАЗ КВ РЕТРО ЗЕРКАЛО")</f>
        <v>0</v>
      </c>
      <c r="L201" s="248">
        <f t="shared" si="188"/>
        <v>0</v>
      </c>
      <c r="M201" s="248">
        <f t="shared" si="188"/>
        <v>0</v>
      </c>
      <c r="N201" s="248">
        <f t="shared" si="188"/>
        <v>0</v>
      </c>
      <c r="O201" s="248">
        <f t="shared" si="188"/>
        <v>0</v>
      </c>
      <c r="P201" s="248">
        <f t="shared" si="188"/>
        <v>0</v>
      </c>
      <c r="Q201" s="248">
        <f t="shared" si="188"/>
        <v>0</v>
      </c>
      <c r="R201" s="248">
        <f t="shared" si="188"/>
        <v>0</v>
      </c>
      <c r="S201" s="248">
        <f t="shared" si="188"/>
        <v>0</v>
      </c>
      <c r="T201" s="248">
        <f t="shared" si="188"/>
        <v>0</v>
      </c>
      <c r="U201" s="248">
        <f t="shared" si="188"/>
        <v>0</v>
      </c>
      <c r="V201" s="248">
        <f t="shared" si="188"/>
        <v>0</v>
      </c>
      <c r="W201" s="248">
        <f t="shared" si="188"/>
        <v>0</v>
      </c>
      <c r="X201" s="248">
        <f t="shared" si="188"/>
        <v>0</v>
      </c>
      <c r="Y201" s="248">
        <f t="shared" si="188"/>
        <v>0</v>
      </c>
      <c r="Z201" s="248">
        <f t="shared" si="188"/>
        <v>0</v>
      </c>
      <c r="AA201" s="248">
        <f t="shared" si="188"/>
        <v>0</v>
      </c>
      <c r="AB201" s="248">
        <f t="shared" si="188"/>
        <v>0</v>
      </c>
    </row>
    <row r="202" spans="1:111" s="253" customFormat="1" ht="38.25" customHeight="1" x14ac:dyDescent="0.25">
      <c r="A202" s="248" t="s">
        <v>400</v>
      </c>
      <c r="B202" s="248"/>
      <c r="C202" s="248"/>
      <c r="D202" s="260" t="s">
        <v>300</v>
      </c>
      <c r="E202" s="248"/>
      <c r="F202" s="249" t="s">
        <v>205</v>
      </c>
      <c r="G202" s="239" t="s">
        <v>339</v>
      </c>
      <c r="H202" s="250" t="s">
        <v>244</v>
      </c>
      <c r="I202" s="248" t="s">
        <v>331</v>
      </c>
      <c r="J202" s="251" t="s">
        <v>300</v>
      </c>
      <c r="K202" s="261">
        <f t="shared" ref="K202:AB202" si="189">SUMIFS(K$207:K$269,$G$207:$G$269,"ОБРАЗ г.Новороссийск РЕТРО ЮРМАЛА")</f>
        <v>0</v>
      </c>
      <c r="L202" s="248">
        <f t="shared" si="189"/>
        <v>0</v>
      </c>
      <c r="M202" s="248">
        <f t="shared" si="189"/>
        <v>0</v>
      </c>
      <c r="N202" s="248">
        <f t="shared" si="189"/>
        <v>0</v>
      </c>
      <c r="O202" s="248">
        <f t="shared" si="189"/>
        <v>0</v>
      </c>
      <c r="P202" s="248">
        <f t="shared" si="189"/>
        <v>0</v>
      </c>
      <c r="Q202" s="248">
        <f t="shared" si="189"/>
        <v>0</v>
      </c>
      <c r="R202" s="248">
        <f t="shared" si="189"/>
        <v>0</v>
      </c>
      <c r="S202" s="248">
        <f t="shared" si="189"/>
        <v>0</v>
      </c>
      <c r="T202" s="248">
        <f t="shared" si="189"/>
        <v>0</v>
      </c>
      <c r="U202" s="248">
        <f t="shared" si="189"/>
        <v>0</v>
      </c>
      <c r="V202" s="248">
        <f t="shared" si="189"/>
        <v>0</v>
      </c>
      <c r="W202" s="248">
        <f t="shared" si="189"/>
        <v>0</v>
      </c>
      <c r="X202" s="248">
        <f t="shared" si="189"/>
        <v>0</v>
      </c>
      <c r="Y202" s="248">
        <f t="shared" si="189"/>
        <v>0</v>
      </c>
      <c r="Z202" s="248">
        <f t="shared" si="189"/>
        <v>0</v>
      </c>
      <c r="AA202" s="248">
        <f t="shared" si="189"/>
        <v>0</v>
      </c>
      <c r="AB202" s="248">
        <f t="shared" si="189"/>
        <v>0</v>
      </c>
    </row>
    <row r="203" spans="1:111" s="253" customFormat="1" ht="38.25" customHeight="1" x14ac:dyDescent="0.25">
      <c r="A203" s="248" t="s">
        <v>400</v>
      </c>
      <c r="B203" s="248"/>
      <c r="C203" s="248"/>
      <c r="D203" s="260" t="s">
        <v>300</v>
      </c>
      <c r="E203" s="248"/>
      <c r="F203" s="249" t="s">
        <v>205</v>
      </c>
      <c r="G203" s="239" t="s">
        <v>391</v>
      </c>
      <c r="H203" s="250" t="s">
        <v>244</v>
      </c>
      <c r="I203" s="248" t="s">
        <v>392</v>
      </c>
      <c r="J203" s="251" t="s">
        <v>300</v>
      </c>
      <c r="K203" s="261">
        <f t="shared" ref="K203:AB203" si="190">SUMIFS(K$207:K$269,$G$207:$G$269,"ОБРАЗ г.Новосибирск РЕТРО ЦЕМЕНТОВОЗ")</f>
        <v>0</v>
      </c>
      <c r="L203" s="248">
        <f t="shared" si="190"/>
        <v>0</v>
      </c>
      <c r="M203" s="248">
        <f t="shared" si="190"/>
        <v>0</v>
      </c>
      <c r="N203" s="248">
        <f t="shared" si="190"/>
        <v>0</v>
      </c>
      <c r="O203" s="248">
        <f t="shared" si="190"/>
        <v>0</v>
      </c>
      <c r="P203" s="248">
        <f t="shared" si="190"/>
        <v>0</v>
      </c>
      <c r="Q203" s="248">
        <f t="shared" si="190"/>
        <v>0</v>
      </c>
      <c r="R203" s="248">
        <f t="shared" si="190"/>
        <v>0</v>
      </c>
      <c r="S203" s="248">
        <f t="shared" si="190"/>
        <v>0</v>
      </c>
      <c r="T203" s="248">
        <f t="shared" si="190"/>
        <v>0</v>
      </c>
      <c r="U203" s="248">
        <f t="shared" si="190"/>
        <v>0</v>
      </c>
      <c r="V203" s="248">
        <f t="shared" si="190"/>
        <v>0</v>
      </c>
      <c r="W203" s="248">
        <f t="shared" si="190"/>
        <v>0</v>
      </c>
      <c r="X203" s="248">
        <f t="shared" si="190"/>
        <v>0</v>
      </c>
      <c r="Y203" s="248">
        <f t="shared" si="190"/>
        <v>0</v>
      </c>
      <c r="Z203" s="248">
        <f t="shared" si="190"/>
        <v>0</v>
      </c>
      <c r="AA203" s="248">
        <f t="shared" si="190"/>
        <v>0</v>
      </c>
      <c r="AB203" s="248">
        <f t="shared" si="190"/>
        <v>0</v>
      </c>
    </row>
    <row r="204" spans="1:111" s="253" customFormat="1" ht="38.25" customHeight="1" x14ac:dyDescent="0.25">
      <c r="A204" s="248" t="s">
        <v>400</v>
      </c>
      <c r="B204" s="248"/>
      <c r="C204" s="248"/>
      <c r="D204" s="260" t="s">
        <v>300</v>
      </c>
      <c r="E204" s="248"/>
      <c r="F204" s="249" t="s">
        <v>205</v>
      </c>
      <c r="G204" s="239" t="s">
        <v>388</v>
      </c>
      <c r="H204" s="250" t="s">
        <v>244</v>
      </c>
      <c r="I204" s="248" t="s">
        <v>389</v>
      </c>
      <c r="J204" s="251" t="s">
        <v>300</v>
      </c>
      <c r="K204" s="261">
        <f t="shared" ref="K204:AB204" si="191">SUMIFS(K$207:K$269,$G$207:$G$269,"ОБРАЗ г.ТАТРА РЕТРО ЦЕМЕНТОВОЗ")</f>
        <v>0</v>
      </c>
      <c r="L204" s="248">
        <f t="shared" si="191"/>
        <v>0</v>
      </c>
      <c r="M204" s="248">
        <f t="shared" si="191"/>
        <v>0</v>
      </c>
      <c r="N204" s="248">
        <f t="shared" si="191"/>
        <v>0</v>
      </c>
      <c r="O204" s="248">
        <f t="shared" si="191"/>
        <v>0</v>
      </c>
      <c r="P204" s="248">
        <f t="shared" si="191"/>
        <v>0</v>
      </c>
      <c r="Q204" s="248">
        <f t="shared" si="191"/>
        <v>0</v>
      </c>
      <c r="R204" s="248">
        <f t="shared" si="191"/>
        <v>0</v>
      </c>
      <c r="S204" s="248">
        <f t="shared" si="191"/>
        <v>0</v>
      </c>
      <c r="T204" s="248">
        <f t="shared" si="191"/>
        <v>0</v>
      </c>
      <c r="U204" s="248">
        <f t="shared" si="191"/>
        <v>0</v>
      </c>
      <c r="V204" s="248">
        <f t="shared" si="191"/>
        <v>0</v>
      </c>
      <c r="W204" s="248">
        <f t="shared" si="191"/>
        <v>0</v>
      </c>
      <c r="X204" s="248">
        <f t="shared" si="191"/>
        <v>0</v>
      </c>
      <c r="Y204" s="248">
        <f t="shared" si="191"/>
        <v>0</v>
      </c>
      <c r="Z204" s="248">
        <f t="shared" si="191"/>
        <v>0</v>
      </c>
      <c r="AA204" s="248">
        <f t="shared" si="191"/>
        <v>0</v>
      </c>
      <c r="AB204" s="248">
        <f t="shared" si="191"/>
        <v>0</v>
      </c>
    </row>
    <row r="205" spans="1:111" s="253" customFormat="1" ht="38.25" customHeight="1" x14ac:dyDescent="0.25">
      <c r="A205" s="248" t="s">
        <v>400</v>
      </c>
      <c r="B205" s="248"/>
      <c r="C205" s="248"/>
      <c r="D205" s="260" t="s">
        <v>300</v>
      </c>
      <c r="E205" s="248"/>
      <c r="F205" s="249" t="s">
        <v>205</v>
      </c>
      <c r="G205" s="239" t="s">
        <v>397</v>
      </c>
      <c r="H205" s="250" t="s">
        <v>244</v>
      </c>
      <c r="I205" s="248" t="s">
        <v>393</v>
      </c>
      <c r="J205" s="251" t="s">
        <v>300</v>
      </c>
      <c r="K205" s="261">
        <f t="shared" ref="K205:AB205" si="192">SUMIFS(K$207:K$269,$G$207:$G$269,"ОБРАЗ ТУРТУФЛИ")</f>
        <v>6</v>
      </c>
      <c r="L205" s="248">
        <f t="shared" si="192"/>
        <v>60000</v>
      </c>
      <c r="M205" s="248">
        <f t="shared" si="192"/>
        <v>500</v>
      </c>
      <c r="N205" s="248">
        <f t="shared" si="192"/>
        <v>100</v>
      </c>
      <c r="O205" s="248">
        <f t="shared" si="192"/>
        <v>0</v>
      </c>
      <c r="P205" s="248">
        <f t="shared" si="192"/>
        <v>0</v>
      </c>
      <c r="Q205" s="248">
        <f t="shared" si="192"/>
        <v>0</v>
      </c>
      <c r="R205" s="248">
        <f t="shared" si="192"/>
        <v>0</v>
      </c>
      <c r="S205" s="248">
        <f t="shared" si="192"/>
        <v>0</v>
      </c>
      <c r="T205" s="248">
        <f t="shared" si="192"/>
        <v>0</v>
      </c>
      <c r="U205" s="248">
        <f t="shared" si="192"/>
        <v>0</v>
      </c>
      <c r="V205" s="248">
        <f t="shared" si="192"/>
        <v>0</v>
      </c>
      <c r="W205" s="248">
        <f t="shared" si="192"/>
        <v>0</v>
      </c>
      <c r="X205" s="248">
        <f t="shared" si="192"/>
        <v>0</v>
      </c>
      <c r="Y205" s="248">
        <f t="shared" si="192"/>
        <v>600</v>
      </c>
      <c r="Z205" s="248">
        <f t="shared" si="192"/>
        <v>0</v>
      </c>
      <c r="AA205" s="248">
        <f t="shared" si="192"/>
        <v>0</v>
      </c>
      <c r="AB205" s="248">
        <f t="shared" si="192"/>
        <v>600</v>
      </c>
    </row>
    <row r="206" spans="1:111" s="247" customFormat="1" ht="18.75" customHeight="1" x14ac:dyDescent="0.25">
      <c r="A206" s="131" t="s">
        <v>205</v>
      </c>
      <c r="B206" s="131" t="s">
        <v>205</v>
      </c>
      <c r="C206" s="131" t="s">
        <v>205</v>
      </c>
      <c r="D206" s="131" t="s">
        <v>205</v>
      </c>
      <c r="E206" s="131" t="s">
        <v>205</v>
      </c>
      <c r="F206" s="131" t="s">
        <v>205</v>
      </c>
      <c r="G206" s="131" t="s">
        <v>205</v>
      </c>
      <c r="H206" s="126"/>
      <c r="I206" s="132" t="s">
        <v>205</v>
      </c>
      <c r="J206" s="132" t="s">
        <v>205</v>
      </c>
      <c r="K206" s="246" t="s">
        <v>205</v>
      </c>
      <c r="L206" s="133" t="s">
        <v>205</v>
      </c>
      <c r="M206" s="128" t="s">
        <v>205</v>
      </c>
      <c r="N206" s="128" t="s">
        <v>205</v>
      </c>
      <c r="O206" s="128" t="s">
        <v>205</v>
      </c>
      <c r="P206" s="128" t="s">
        <v>205</v>
      </c>
      <c r="Q206" s="128" t="s">
        <v>205</v>
      </c>
      <c r="R206" s="128" t="s">
        <v>205</v>
      </c>
      <c r="S206" s="128" t="s">
        <v>205</v>
      </c>
      <c r="T206" s="128" t="s">
        <v>205</v>
      </c>
      <c r="U206" s="128" t="s">
        <v>205</v>
      </c>
      <c r="V206" s="128" t="s">
        <v>205</v>
      </c>
      <c r="W206" s="128" t="s">
        <v>205</v>
      </c>
      <c r="X206" s="128" t="s">
        <v>205</v>
      </c>
      <c r="Y206" s="128" t="s">
        <v>205</v>
      </c>
      <c r="Z206" s="133" t="s">
        <v>205</v>
      </c>
      <c r="AA206" s="133" t="s">
        <v>205</v>
      </c>
      <c r="AB206" s="128" t="s">
        <v>205</v>
      </c>
    </row>
    <row r="207" spans="1:111" ht="33" customHeight="1" x14ac:dyDescent="0.25">
      <c r="A207" s="172" t="s">
        <v>217</v>
      </c>
      <c r="B207" s="173" t="s">
        <v>216</v>
      </c>
      <c r="C207" s="173" t="s">
        <v>216</v>
      </c>
      <c r="D207" s="173">
        <v>13333</v>
      </c>
      <c r="E207" s="173" t="s">
        <v>216</v>
      </c>
      <c r="F207" s="173" t="s">
        <v>295</v>
      </c>
      <c r="G207" s="173" t="s">
        <v>216</v>
      </c>
      <c r="H207" s="174">
        <v>13</v>
      </c>
      <c r="I207" s="175" t="s">
        <v>373</v>
      </c>
      <c r="J207" s="245"/>
      <c r="K207" s="176">
        <f t="shared" ref="K207:AB207" si="193">SUMIF($A$217:$A$225,"ИТОГ ОСНОВНОЙ",K$217:K$225)</f>
        <v>6</v>
      </c>
      <c r="L207" s="177">
        <f t="shared" si="193"/>
        <v>60000</v>
      </c>
      <c r="M207" s="177">
        <f t="shared" si="193"/>
        <v>500</v>
      </c>
      <c r="N207" s="177">
        <f t="shared" si="193"/>
        <v>100</v>
      </c>
      <c r="O207" s="177">
        <f t="shared" si="193"/>
        <v>0</v>
      </c>
      <c r="P207" s="177">
        <f t="shared" si="193"/>
        <v>0</v>
      </c>
      <c r="Q207" s="177">
        <f t="shared" si="193"/>
        <v>0</v>
      </c>
      <c r="R207" s="177">
        <f t="shared" si="193"/>
        <v>0</v>
      </c>
      <c r="S207" s="177">
        <f t="shared" si="193"/>
        <v>0</v>
      </c>
      <c r="T207" s="177">
        <f t="shared" si="193"/>
        <v>0</v>
      </c>
      <c r="U207" s="177">
        <f t="shared" si="193"/>
        <v>0</v>
      </c>
      <c r="V207" s="177">
        <f t="shared" si="193"/>
        <v>0</v>
      </c>
      <c r="W207" s="177">
        <f t="shared" si="193"/>
        <v>0</v>
      </c>
      <c r="X207" s="177">
        <f t="shared" si="193"/>
        <v>0</v>
      </c>
      <c r="Y207" s="177">
        <f t="shared" si="193"/>
        <v>600</v>
      </c>
      <c r="Z207" s="177">
        <f t="shared" si="193"/>
        <v>0</v>
      </c>
      <c r="AA207" s="177">
        <f t="shared" si="193"/>
        <v>0</v>
      </c>
      <c r="AB207" s="177">
        <f t="shared" si="193"/>
        <v>600</v>
      </c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  <c r="BJ207" s="122"/>
      <c r="BK207" s="122"/>
      <c r="BL207" s="122"/>
      <c r="BM207" s="122"/>
      <c r="BN207" s="122"/>
      <c r="BO207" s="122"/>
      <c r="BP207" s="122"/>
      <c r="BQ207" s="122"/>
      <c r="BR207" s="122"/>
      <c r="BS207" s="122"/>
      <c r="BT207" s="122"/>
      <c r="BU207" s="122"/>
      <c r="BV207" s="122"/>
      <c r="BW207" s="122"/>
      <c r="BX207" s="122"/>
      <c r="BY207" s="122"/>
      <c r="BZ207" s="122"/>
      <c r="CA207" s="122"/>
      <c r="CB207" s="122"/>
      <c r="CC207" s="122"/>
      <c r="CD207" s="122"/>
      <c r="CE207" s="122"/>
      <c r="CF207" s="122"/>
      <c r="CG207" s="122"/>
      <c r="CH207" s="122"/>
      <c r="CI207" s="122"/>
      <c r="CJ207" s="122"/>
      <c r="CK207" s="122"/>
      <c r="CL207" s="122"/>
      <c r="CM207" s="122"/>
      <c r="CN207" s="122"/>
      <c r="CO207" s="122"/>
      <c r="CP207" s="122"/>
      <c r="CQ207" s="122"/>
      <c r="CR207" s="122"/>
      <c r="CS207" s="122"/>
      <c r="CT207" s="122"/>
      <c r="CU207" s="122"/>
      <c r="CV207" s="122"/>
      <c r="CW207" s="122"/>
      <c r="CX207" s="122"/>
      <c r="CY207" s="122"/>
      <c r="CZ207" s="122"/>
      <c r="DA207" s="122"/>
      <c r="DB207" s="122"/>
      <c r="DC207" s="122"/>
      <c r="DD207" s="122"/>
      <c r="DE207" s="122"/>
      <c r="DF207" s="122"/>
      <c r="DG207" s="122"/>
    </row>
    <row r="208" spans="1:111" s="247" customFormat="1" ht="18.75" customHeight="1" x14ac:dyDescent="0.25">
      <c r="A208" s="131" t="s">
        <v>205</v>
      </c>
      <c r="B208" s="131" t="s">
        <v>205</v>
      </c>
      <c r="C208" s="131" t="s">
        <v>205</v>
      </c>
      <c r="D208" s="131" t="s">
        <v>205</v>
      </c>
      <c r="E208" s="131" t="s">
        <v>205</v>
      </c>
      <c r="F208" s="131" t="s">
        <v>205</v>
      </c>
      <c r="G208" s="131" t="s">
        <v>205</v>
      </c>
      <c r="H208" s="119" t="s">
        <v>205</v>
      </c>
      <c r="I208" s="132" t="s">
        <v>205</v>
      </c>
      <c r="J208" s="132" t="s">
        <v>205</v>
      </c>
      <c r="K208" s="246">
        <f>K207-SUM(K209:K216)</f>
        <v>0</v>
      </c>
      <c r="L208" s="133">
        <f>L207-SUM(L209:L216)</f>
        <v>0</v>
      </c>
      <c r="M208" s="128">
        <f>M207-SUM(M209:M216)</f>
        <v>0</v>
      </c>
      <c r="N208" s="128">
        <f t="shared" ref="N208:T208" si="194">N207-SUM(N209:N216)</f>
        <v>0</v>
      </c>
      <c r="O208" s="128">
        <f t="shared" si="194"/>
        <v>0</v>
      </c>
      <c r="P208" s="128">
        <f>P207-SUM(P209:P216)</f>
        <v>0</v>
      </c>
      <c r="Q208" s="128">
        <f>Q207-SUM(Q209:Q216)</f>
        <v>0</v>
      </c>
      <c r="R208" s="128">
        <f>R207-SUM(R209:R216)</f>
        <v>0</v>
      </c>
      <c r="S208" s="128">
        <f>S207-SUM(S209:S216)</f>
        <v>0</v>
      </c>
      <c r="T208" s="128">
        <f t="shared" si="194"/>
        <v>0</v>
      </c>
      <c r="U208" s="128">
        <f t="shared" ref="U208:AB208" si="195">U207-SUM(U209:U216)</f>
        <v>0</v>
      </c>
      <c r="V208" s="128">
        <f t="shared" si="195"/>
        <v>0</v>
      </c>
      <c r="W208" s="128">
        <f t="shared" si="195"/>
        <v>0</v>
      </c>
      <c r="X208" s="128">
        <f t="shared" si="195"/>
        <v>0</v>
      </c>
      <c r="Y208" s="128">
        <f t="shared" si="195"/>
        <v>0</v>
      </c>
      <c r="Z208" s="133">
        <f t="shared" si="195"/>
        <v>0</v>
      </c>
      <c r="AA208" s="133">
        <f t="shared" si="195"/>
        <v>0</v>
      </c>
      <c r="AB208" s="128">
        <f t="shared" si="195"/>
        <v>0</v>
      </c>
    </row>
    <row r="209" spans="1:111" s="247" customFormat="1" ht="50.1" customHeight="1" x14ac:dyDescent="0.25">
      <c r="A209" s="124" t="s">
        <v>245</v>
      </c>
      <c r="B209" s="124" t="s">
        <v>348</v>
      </c>
      <c r="C209" s="124" t="s">
        <v>216</v>
      </c>
      <c r="D209" s="124">
        <v>13333</v>
      </c>
      <c r="E209" s="124" t="s">
        <v>216</v>
      </c>
      <c r="F209" s="124" t="s">
        <v>295</v>
      </c>
      <c r="G209" s="124" t="s">
        <v>216</v>
      </c>
      <c r="H209" s="125" t="s">
        <v>244</v>
      </c>
      <c r="I209" s="255" t="s">
        <v>349</v>
      </c>
      <c r="J209" s="255" t="s">
        <v>374</v>
      </c>
      <c r="K209" s="256">
        <f t="shared" ref="K209:AB209" si="196">SUMIFS(K$217:K$225,$B$217:$B$225,"ЦЕНТР")</f>
        <v>6</v>
      </c>
      <c r="L209" s="257">
        <f t="shared" si="196"/>
        <v>60000</v>
      </c>
      <c r="M209" s="257">
        <f t="shared" si="196"/>
        <v>500</v>
      </c>
      <c r="N209" s="257">
        <f t="shared" si="196"/>
        <v>100</v>
      </c>
      <c r="O209" s="257">
        <f t="shared" si="196"/>
        <v>0</v>
      </c>
      <c r="P209" s="257">
        <f t="shared" si="196"/>
        <v>0</v>
      </c>
      <c r="Q209" s="257">
        <f t="shared" si="196"/>
        <v>0</v>
      </c>
      <c r="R209" s="257">
        <f t="shared" si="196"/>
        <v>0</v>
      </c>
      <c r="S209" s="257">
        <f t="shared" si="196"/>
        <v>0</v>
      </c>
      <c r="T209" s="257">
        <f t="shared" si="196"/>
        <v>0</v>
      </c>
      <c r="U209" s="257">
        <f t="shared" si="196"/>
        <v>0</v>
      </c>
      <c r="V209" s="257">
        <f t="shared" si="196"/>
        <v>0</v>
      </c>
      <c r="W209" s="257">
        <f t="shared" si="196"/>
        <v>0</v>
      </c>
      <c r="X209" s="257">
        <f t="shared" si="196"/>
        <v>0</v>
      </c>
      <c r="Y209" s="257">
        <f t="shared" si="196"/>
        <v>600</v>
      </c>
      <c r="Z209" s="257">
        <f t="shared" si="196"/>
        <v>0</v>
      </c>
      <c r="AA209" s="257">
        <f t="shared" si="196"/>
        <v>0</v>
      </c>
      <c r="AB209" s="257">
        <f t="shared" si="196"/>
        <v>600</v>
      </c>
      <c r="AC209" s="262"/>
      <c r="AD209" s="262"/>
      <c r="AE209" s="262"/>
      <c r="AF209" s="262"/>
      <c r="AG209" s="262"/>
      <c r="AH209" s="262"/>
      <c r="AI209" s="262"/>
      <c r="AJ209" s="262"/>
      <c r="AK209" s="262"/>
      <c r="AL209" s="262"/>
      <c r="AM209" s="262"/>
      <c r="AN209" s="262"/>
      <c r="AO209" s="262"/>
      <c r="AP209" s="262"/>
      <c r="AQ209" s="262"/>
      <c r="AR209" s="262"/>
      <c r="AS209" s="262"/>
      <c r="AT209" s="262"/>
      <c r="AU209" s="262"/>
      <c r="AV209" s="262"/>
      <c r="AW209" s="262"/>
      <c r="AX209" s="262"/>
      <c r="AY209" s="262"/>
      <c r="AZ209" s="262"/>
      <c r="BA209" s="262"/>
      <c r="BB209" s="262"/>
      <c r="BC209" s="262"/>
      <c r="BD209" s="262"/>
      <c r="BE209" s="262"/>
      <c r="BF209" s="262"/>
      <c r="BG209" s="262"/>
      <c r="BH209" s="262"/>
      <c r="BI209" s="262"/>
      <c r="BJ209" s="262"/>
      <c r="BK209" s="262"/>
      <c r="BL209" s="262"/>
      <c r="BM209" s="262"/>
      <c r="BN209" s="262"/>
      <c r="BO209" s="262"/>
      <c r="BP209" s="262"/>
      <c r="BQ209" s="262"/>
      <c r="BR209" s="262"/>
      <c r="BS209" s="262"/>
      <c r="BT209" s="262"/>
      <c r="BU209" s="262"/>
      <c r="BV209" s="262"/>
      <c r="BW209" s="262"/>
      <c r="BX209" s="262"/>
      <c r="BY209" s="262"/>
      <c r="BZ209" s="262"/>
      <c r="CA209" s="262"/>
      <c r="CB209" s="262"/>
      <c r="CC209" s="262"/>
      <c r="CD209" s="262"/>
      <c r="CE209" s="262"/>
      <c r="CF209" s="262"/>
      <c r="CG209" s="262"/>
      <c r="CH209" s="262"/>
      <c r="CI209" s="262"/>
      <c r="CJ209" s="262"/>
      <c r="CK209" s="262"/>
      <c r="CL209" s="262"/>
      <c r="CM209" s="262"/>
      <c r="CN209" s="262"/>
      <c r="CO209" s="262"/>
      <c r="CP209" s="262"/>
      <c r="CQ209" s="262"/>
      <c r="CR209" s="262"/>
      <c r="CS209" s="262"/>
      <c r="CT209" s="262"/>
      <c r="CU209" s="262"/>
      <c r="CV209" s="262"/>
      <c r="CW209" s="262"/>
      <c r="CX209" s="262"/>
      <c r="CY209" s="262"/>
      <c r="CZ209" s="262"/>
      <c r="DA209" s="262"/>
      <c r="DB209" s="262"/>
      <c r="DC209" s="262"/>
      <c r="DD209" s="262"/>
      <c r="DE209" s="262"/>
      <c r="DF209" s="262"/>
      <c r="DG209" s="262"/>
    </row>
    <row r="210" spans="1:111" s="247" customFormat="1" ht="50.1" customHeight="1" x14ac:dyDescent="0.25">
      <c r="A210" s="124" t="s">
        <v>245</v>
      </c>
      <c r="B210" s="124" t="s">
        <v>345</v>
      </c>
      <c r="C210" s="124" t="s">
        <v>216</v>
      </c>
      <c r="D210" s="124">
        <v>13333</v>
      </c>
      <c r="E210" s="124" t="s">
        <v>216</v>
      </c>
      <c r="F210" s="124" t="s">
        <v>295</v>
      </c>
      <c r="G210" s="124" t="s">
        <v>216</v>
      </c>
      <c r="H210" s="125" t="s">
        <v>244</v>
      </c>
      <c r="I210" s="255" t="s">
        <v>380</v>
      </c>
      <c r="J210" s="255" t="s">
        <v>374</v>
      </c>
      <c r="K210" s="256">
        <f t="shared" ref="K210:AB210" si="197">SUMIFS(K$217:K$225,$B$217:$B$225,"СЕВЕР")</f>
        <v>0</v>
      </c>
      <c r="L210" s="257">
        <f t="shared" si="197"/>
        <v>0</v>
      </c>
      <c r="M210" s="257">
        <f t="shared" si="197"/>
        <v>0</v>
      </c>
      <c r="N210" s="257">
        <f t="shared" si="197"/>
        <v>0</v>
      </c>
      <c r="O210" s="257">
        <f t="shared" si="197"/>
        <v>0</v>
      </c>
      <c r="P210" s="257">
        <f t="shared" si="197"/>
        <v>0</v>
      </c>
      <c r="Q210" s="257">
        <f t="shared" si="197"/>
        <v>0</v>
      </c>
      <c r="R210" s="257">
        <f t="shared" si="197"/>
        <v>0</v>
      </c>
      <c r="S210" s="257">
        <f t="shared" si="197"/>
        <v>0</v>
      </c>
      <c r="T210" s="257">
        <f t="shared" si="197"/>
        <v>0</v>
      </c>
      <c r="U210" s="257">
        <f t="shared" si="197"/>
        <v>0</v>
      </c>
      <c r="V210" s="257">
        <f t="shared" si="197"/>
        <v>0</v>
      </c>
      <c r="W210" s="257">
        <f t="shared" si="197"/>
        <v>0</v>
      </c>
      <c r="X210" s="257">
        <f t="shared" si="197"/>
        <v>0</v>
      </c>
      <c r="Y210" s="257">
        <f t="shared" si="197"/>
        <v>0</v>
      </c>
      <c r="Z210" s="257">
        <f t="shared" si="197"/>
        <v>0</v>
      </c>
      <c r="AA210" s="257">
        <f t="shared" si="197"/>
        <v>0</v>
      </c>
      <c r="AB210" s="257">
        <f t="shared" si="197"/>
        <v>0</v>
      </c>
    </row>
    <row r="211" spans="1:111" s="247" customFormat="1" ht="50.1" customHeight="1" x14ac:dyDescent="0.25">
      <c r="A211" s="124" t="s">
        <v>245</v>
      </c>
      <c r="B211" s="124" t="s">
        <v>352</v>
      </c>
      <c r="C211" s="124" t="s">
        <v>216</v>
      </c>
      <c r="D211" s="124">
        <v>13333</v>
      </c>
      <c r="E211" s="124" t="s">
        <v>216</v>
      </c>
      <c r="F211" s="124" t="s">
        <v>295</v>
      </c>
      <c r="G211" s="124" t="s">
        <v>216</v>
      </c>
      <c r="H211" s="125" t="s">
        <v>244</v>
      </c>
      <c r="I211" s="255" t="s">
        <v>381</v>
      </c>
      <c r="J211" s="255" t="s">
        <v>374</v>
      </c>
      <c r="K211" s="256">
        <f t="shared" ref="K211:AB211" si="198">SUMIFS(K$217:K$225,$B$217:$B$225,"ПРиволжье")</f>
        <v>0</v>
      </c>
      <c r="L211" s="257">
        <f t="shared" si="198"/>
        <v>0</v>
      </c>
      <c r="M211" s="257">
        <f t="shared" si="198"/>
        <v>0</v>
      </c>
      <c r="N211" s="257">
        <f t="shared" si="198"/>
        <v>0</v>
      </c>
      <c r="O211" s="257">
        <f t="shared" si="198"/>
        <v>0</v>
      </c>
      <c r="P211" s="257">
        <f t="shared" si="198"/>
        <v>0</v>
      </c>
      <c r="Q211" s="257">
        <f t="shared" si="198"/>
        <v>0</v>
      </c>
      <c r="R211" s="257">
        <f t="shared" si="198"/>
        <v>0</v>
      </c>
      <c r="S211" s="257">
        <f t="shared" si="198"/>
        <v>0</v>
      </c>
      <c r="T211" s="257">
        <f t="shared" si="198"/>
        <v>0</v>
      </c>
      <c r="U211" s="257">
        <f t="shared" si="198"/>
        <v>0</v>
      </c>
      <c r="V211" s="257">
        <f t="shared" si="198"/>
        <v>0</v>
      </c>
      <c r="W211" s="257">
        <f t="shared" si="198"/>
        <v>0</v>
      </c>
      <c r="X211" s="257">
        <f t="shared" si="198"/>
        <v>0</v>
      </c>
      <c r="Y211" s="257">
        <f t="shared" si="198"/>
        <v>0</v>
      </c>
      <c r="Z211" s="257">
        <f t="shared" si="198"/>
        <v>0</v>
      </c>
      <c r="AA211" s="257">
        <f t="shared" si="198"/>
        <v>0</v>
      </c>
      <c r="AB211" s="257">
        <f t="shared" si="198"/>
        <v>0</v>
      </c>
      <c r="AC211" s="262"/>
      <c r="AD211" s="262"/>
      <c r="AE211" s="262"/>
      <c r="AF211" s="262"/>
      <c r="AG211" s="262"/>
      <c r="AH211" s="262"/>
      <c r="AI211" s="262"/>
      <c r="AJ211" s="262"/>
      <c r="AK211" s="262"/>
      <c r="AL211" s="262"/>
      <c r="AM211" s="262"/>
      <c r="AN211" s="262"/>
      <c r="AO211" s="262"/>
      <c r="AP211" s="262"/>
      <c r="AQ211" s="262"/>
      <c r="AR211" s="262"/>
      <c r="AS211" s="262"/>
      <c r="AT211" s="262"/>
      <c r="AU211" s="262"/>
      <c r="AV211" s="262"/>
      <c r="AW211" s="262"/>
      <c r="AX211" s="262"/>
      <c r="AY211" s="262"/>
      <c r="AZ211" s="262"/>
      <c r="BA211" s="262"/>
      <c r="BB211" s="262"/>
      <c r="BC211" s="262"/>
      <c r="BD211" s="262"/>
      <c r="BE211" s="262"/>
      <c r="BF211" s="262"/>
      <c r="BG211" s="262"/>
      <c r="BH211" s="262"/>
      <c r="BI211" s="262"/>
      <c r="BJ211" s="262"/>
      <c r="BK211" s="262"/>
      <c r="BL211" s="262"/>
      <c r="BM211" s="262"/>
      <c r="BN211" s="262"/>
      <c r="BO211" s="262"/>
      <c r="BP211" s="262"/>
      <c r="BQ211" s="262"/>
      <c r="BR211" s="262"/>
      <c r="BS211" s="262"/>
      <c r="BT211" s="262"/>
      <c r="BU211" s="262"/>
      <c r="BV211" s="262"/>
      <c r="BW211" s="262"/>
      <c r="BX211" s="262"/>
      <c r="BY211" s="262"/>
      <c r="BZ211" s="262"/>
      <c r="CA211" s="262"/>
      <c r="CB211" s="262"/>
      <c r="CC211" s="262"/>
      <c r="CD211" s="262"/>
      <c r="CE211" s="262"/>
      <c r="CF211" s="262"/>
      <c r="CG211" s="262"/>
      <c r="CH211" s="262"/>
      <c r="CI211" s="262"/>
      <c r="CJ211" s="262"/>
      <c r="CK211" s="262"/>
      <c r="CL211" s="262"/>
      <c r="CM211" s="262"/>
      <c r="CN211" s="262"/>
      <c r="CO211" s="262"/>
      <c r="CP211" s="262"/>
      <c r="CQ211" s="262"/>
      <c r="CR211" s="262"/>
      <c r="CS211" s="262"/>
      <c r="CT211" s="262"/>
      <c r="CU211" s="262"/>
      <c r="CV211" s="262"/>
      <c r="CW211" s="262"/>
      <c r="CX211" s="262"/>
      <c r="CY211" s="262"/>
      <c r="CZ211" s="262"/>
      <c r="DA211" s="262"/>
      <c r="DB211" s="262"/>
      <c r="DC211" s="262"/>
      <c r="DD211" s="262"/>
      <c r="DE211" s="262"/>
      <c r="DF211" s="262"/>
      <c r="DG211" s="262"/>
    </row>
    <row r="212" spans="1:111" s="247" customFormat="1" ht="50.1" customHeight="1" x14ac:dyDescent="0.25">
      <c r="A212" s="124" t="s">
        <v>245</v>
      </c>
      <c r="B212" s="124" t="s">
        <v>355</v>
      </c>
      <c r="C212" s="124" t="s">
        <v>216</v>
      </c>
      <c r="D212" s="124">
        <v>13333</v>
      </c>
      <c r="E212" s="124" t="s">
        <v>216</v>
      </c>
      <c r="F212" s="124" t="s">
        <v>295</v>
      </c>
      <c r="G212" s="124" t="s">
        <v>216</v>
      </c>
      <c r="H212" s="125" t="s">
        <v>244</v>
      </c>
      <c r="I212" s="255" t="s">
        <v>382</v>
      </c>
      <c r="J212" s="255" t="s">
        <v>374</v>
      </c>
      <c r="K212" s="256">
        <f t="shared" ref="K212:AB212" si="199">SUMIFS(K$217:K$225,$B$217:$B$225,"ЮГ")</f>
        <v>0</v>
      </c>
      <c r="L212" s="257">
        <f t="shared" si="199"/>
        <v>0</v>
      </c>
      <c r="M212" s="257">
        <f t="shared" si="199"/>
        <v>0</v>
      </c>
      <c r="N212" s="257">
        <f t="shared" si="199"/>
        <v>0</v>
      </c>
      <c r="O212" s="257">
        <f t="shared" si="199"/>
        <v>0</v>
      </c>
      <c r="P212" s="257">
        <f t="shared" si="199"/>
        <v>0</v>
      </c>
      <c r="Q212" s="257">
        <f t="shared" si="199"/>
        <v>0</v>
      </c>
      <c r="R212" s="257">
        <f t="shared" si="199"/>
        <v>0</v>
      </c>
      <c r="S212" s="257">
        <f t="shared" si="199"/>
        <v>0</v>
      </c>
      <c r="T212" s="257">
        <f t="shared" si="199"/>
        <v>0</v>
      </c>
      <c r="U212" s="257">
        <f t="shared" si="199"/>
        <v>0</v>
      </c>
      <c r="V212" s="257">
        <f t="shared" si="199"/>
        <v>0</v>
      </c>
      <c r="W212" s="257">
        <f t="shared" si="199"/>
        <v>0</v>
      </c>
      <c r="X212" s="257">
        <f t="shared" si="199"/>
        <v>0</v>
      </c>
      <c r="Y212" s="257">
        <f t="shared" si="199"/>
        <v>0</v>
      </c>
      <c r="Z212" s="257">
        <f t="shared" si="199"/>
        <v>0</v>
      </c>
      <c r="AA212" s="257">
        <f t="shared" si="199"/>
        <v>0</v>
      </c>
      <c r="AB212" s="257">
        <f t="shared" si="199"/>
        <v>0</v>
      </c>
    </row>
    <row r="213" spans="1:111" s="247" customFormat="1" ht="50.1" customHeight="1" x14ac:dyDescent="0.25">
      <c r="A213" s="124" t="s">
        <v>245</v>
      </c>
      <c r="B213" s="124" t="s">
        <v>358</v>
      </c>
      <c r="C213" s="124" t="s">
        <v>216</v>
      </c>
      <c r="D213" s="124">
        <v>13333</v>
      </c>
      <c r="E213" s="124" t="s">
        <v>216</v>
      </c>
      <c r="F213" s="124" t="s">
        <v>295</v>
      </c>
      <c r="G213" s="124" t="s">
        <v>216</v>
      </c>
      <c r="H213" s="125" t="s">
        <v>244</v>
      </c>
      <c r="I213" s="255" t="s">
        <v>383</v>
      </c>
      <c r="J213" s="255" t="s">
        <v>374</v>
      </c>
      <c r="K213" s="256">
        <f t="shared" ref="K213:AB213" si="200">SUMIFS(K$217:K$225,$B$217:$B$225,"Урал")</f>
        <v>0</v>
      </c>
      <c r="L213" s="257">
        <f t="shared" si="200"/>
        <v>0</v>
      </c>
      <c r="M213" s="257">
        <f t="shared" si="200"/>
        <v>0</v>
      </c>
      <c r="N213" s="257">
        <f t="shared" si="200"/>
        <v>0</v>
      </c>
      <c r="O213" s="257">
        <f t="shared" si="200"/>
        <v>0</v>
      </c>
      <c r="P213" s="257">
        <f t="shared" si="200"/>
        <v>0</v>
      </c>
      <c r="Q213" s="257">
        <f t="shared" si="200"/>
        <v>0</v>
      </c>
      <c r="R213" s="257">
        <f t="shared" si="200"/>
        <v>0</v>
      </c>
      <c r="S213" s="257">
        <f t="shared" si="200"/>
        <v>0</v>
      </c>
      <c r="T213" s="257">
        <f t="shared" si="200"/>
        <v>0</v>
      </c>
      <c r="U213" s="257">
        <f t="shared" si="200"/>
        <v>0</v>
      </c>
      <c r="V213" s="257">
        <f t="shared" si="200"/>
        <v>0</v>
      </c>
      <c r="W213" s="257">
        <f t="shared" si="200"/>
        <v>0</v>
      </c>
      <c r="X213" s="257">
        <f t="shared" si="200"/>
        <v>0</v>
      </c>
      <c r="Y213" s="257">
        <f t="shared" si="200"/>
        <v>0</v>
      </c>
      <c r="Z213" s="257">
        <f t="shared" si="200"/>
        <v>0</v>
      </c>
      <c r="AA213" s="257">
        <f t="shared" si="200"/>
        <v>0</v>
      </c>
      <c r="AB213" s="257">
        <f t="shared" si="200"/>
        <v>0</v>
      </c>
    </row>
    <row r="214" spans="1:111" s="247" customFormat="1" ht="50.1" customHeight="1" x14ac:dyDescent="0.25">
      <c r="A214" s="124" t="s">
        <v>245</v>
      </c>
      <c r="B214" s="124" t="s">
        <v>370</v>
      </c>
      <c r="C214" s="124" t="s">
        <v>216</v>
      </c>
      <c r="D214" s="124">
        <v>13333</v>
      </c>
      <c r="E214" s="124" t="s">
        <v>216</v>
      </c>
      <c r="F214" s="124" t="s">
        <v>295</v>
      </c>
      <c r="G214" s="124" t="s">
        <v>216</v>
      </c>
      <c r="H214" s="125" t="s">
        <v>244</v>
      </c>
      <c r="I214" s="255" t="s">
        <v>384</v>
      </c>
      <c r="J214" s="255" t="s">
        <v>374</v>
      </c>
      <c r="K214" s="256">
        <f t="shared" ref="K214:AB214" si="201">SUMIFS(K$217:K$225,$B$217:$B$225,"Сибирь")</f>
        <v>0</v>
      </c>
      <c r="L214" s="257">
        <f t="shared" si="201"/>
        <v>0</v>
      </c>
      <c r="M214" s="257">
        <f t="shared" si="201"/>
        <v>0</v>
      </c>
      <c r="N214" s="257">
        <f t="shared" si="201"/>
        <v>0</v>
      </c>
      <c r="O214" s="257">
        <f t="shared" si="201"/>
        <v>0</v>
      </c>
      <c r="P214" s="257">
        <f t="shared" si="201"/>
        <v>0</v>
      </c>
      <c r="Q214" s="257">
        <f t="shared" si="201"/>
        <v>0</v>
      </c>
      <c r="R214" s="257">
        <f t="shared" si="201"/>
        <v>0</v>
      </c>
      <c r="S214" s="257">
        <f t="shared" si="201"/>
        <v>0</v>
      </c>
      <c r="T214" s="257">
        <f t="shared" si="201"/>
        <v>0</v>
      </c>
      <c r="U214" s="257">
        <f t="shared" si="201"/>
        <v>0</v>
      </c>
      <c r="V214" s="257">
        <f t="shared" si="201"/>
        <v>0</v>
      </c>
      <c r="W214" s="257">
        <f t="shared" si="201"/>
        <v>0</v>
      </c>
      <c r="X214" s="257">
        <f t="shared" si="201"/>
        <v>0</v>
      </c>
      <c r="Y214" s="257">
        <f t="shared" si="201"/>
        <v>0</v>
      </c>
      <c r="Z214" s="257">
        <f t="shared" si="201"/>
        <v>0</v>
      </c>
      <c r="AA214" s="257">
        <f t="shared" si="201"/>
        <v>0</v>
      </c>
      <c r="AB214" s="257">
        <f t="shared" si="201"/>
        <v>0</v>
      </c>
    </row>
    <row r="215" spans="1:111" s="247" customFormat="1" ht="50.1" customHeight="1" x14ac:dyDescent="0.25">
      <c r="A215" s="124" t="s">
        <v>245</v>
      </c>
      <c r="B215" s="124" t="s">
        <v>367</v>
      </c>
      <c r="C215" s="124" t="s">
        <v>216</v>
      </c>
      <c r="D215" s="124">
        <v>13333</v>
      </c>
      <c r="E215" s="124" t="s">
        <v>216</v>
      </c>
      <c r="F215" s="124" t="s">
        <v>295</v>
      </c>
      <c r="G215" s="124" t="s">
        <v>216</v>
      </c>
      <c r="H215" s="125" t="s">
        <v>244</v>
      </c>
      <c r="I215" s="255" t="s">
        <v>385</v>
      </c>
      <c r="J215" s="255" t="s">
        <v>374</v>
      </c>
      <c r="K215" s="256">
        <f t="shared" ref="K215:AB215" si="202">SUMIFS(K$217:K$225,$B$217:$B$225,"ДАЛЬНИЙ")</f>
        <v>0</v>
      </c>
      <c r="L215" s="257">
        <f t="shared" si="202"/>
        <v>0</v>
      </c>
      <c r="M215" s="257">
        <f t="shared" si="202"/>
        <v>0</v>
      </c>
      <c r="N215" s="257">
        <f t="shared" si="202"/>
        <v>0</v>
      </c>
      <c r="O215" s="257">
        <f t="shared" si="202"/>
        <v>0</v>
      </c>
      <c r="P215" s="257">
        <f t="shared" si="202"/>
        <v>0</v>
      </c>
      <c r="Q215" s="257">
        <f t="shared" si="202"/>
        <v>0</v>
      </c>
      <c r="R215" s="257">
        <f t="shared" si="202"/>
        <v>0</v>
      </c>
      <c r="S215" s="257">
        <f t="shared" si="202"/>
        <v>0</v>
      </c>
      <c r="T215" s="257">
        <f t="shared" si="202"/>
        <v>0</v>
      </c>
      <c r="U215" s="257">
        <f t="shared" si="202"/>
        <v>0</v>
      </c>
      <c r="V215" s="257">
        <f t="shared" si="202"/>
        <v>0</v>
      </c>
      <c r="W215" s="257">
        <f t="shared" si="202"/>
        <v>0</v>
      </c>
      <c r="X215" s="257">
        <f t="shared" si="202"/>
        <v>0</v>
      </c>
      <c r="Y215" s="257">
        <f t="shared" si="202"/>
        <v>0</v>
      </c>
      <c r="Z215" s="257">
        <f t="shared" si="202"/>
        <v>0</v>
      </c>
      <c r="AA215" s="257">
        <f t="shared" si="202"/>
        <v>0</v>
      </c>
      <c r="AB215" s="257">
        <f t="shared" si="202"/>
        <v>0</v>
      </c>
    </row>
    <row r="216" spans="1:111" s="247" customFormat="1" ht="50.1" customHeight="1" x14ac:dyDescent="0.25">
      <c r="A216" s="124" t="s">
        <v>245</v>
      </c>
      <c r="B216" s="124" t="s">
        <v>230</v>
      </c>
      <c r="C216" s="124" t="s">
        <v>216</v>
      </c>
      <c r="D216" s="124">
        <v>13333</v>
      </c>
      <c r="E216" s="124" t="s">
        <v>216</v>
      </c>
      <c r="F216" s="124" t="s">
        <v>295</v>
      </c>
      <c r="G216" s="124" t="s">
        <v>216</v>
      </c>
      <c r="H216" s="125" t="s">
        <v>244</v>
      </c>
      <c r="I216" s="255" t="s">
        <v>386</v>
      </c>
      <c r="J216" s="255" t="s">
        <v>374</v>
      </c>
      <c r="K216" s="256">
        <f t="shared" ref="K216:AB216" si="203">SUMIFS(K$217:K$225,$B$217:$B$225,"ТО")</f>
        <v>0</v>
      </c>
      <c r="L216" s="257">
        <f t="shared" si="203"/>
        <v>0</v>
      </c>
      <c r="M216" s="257">
        <f t="shared" si="203"/>
        <v>0</v>
      </c>
      <c r="N216" s="257">
        <f t="shared" si="203"/>
        <v>0</v>
      </c>
      <c r="O216" s="257">
        <f t="shared" si="203"/>
        <v>0</v>
      </c>
      <c r="P216" s="257">
        <f t="shared" si="203"/>
        <v>0</v>
      </c>
      <c r="Q216" s="257">
        <f t="shared" si="203"/>
        <v>0</v>
      </c>
      <c r="R216" s="257">
        <f t="shared" si="203"/>
        <v>0</v>
      </c>
      <c r="S216" s="257">
        <f t="shared" si="203"/>
        <v>0</v>
      </c>
      <c r="T216" s="257">
        <f t="shared" si="203"/>
        <v>0</v>
      </c>
      <c r="U216" s="257">
        <f t="shared" si="203"/>
        <v>0</v>
      </c>
      <c r="V216" s="257">
        <f t="shared" si="203"/>
        <v>0</v>
      </c>
      <c r="W216" s="257">
        <f t="shared" si="203"/>
        <v>0</v>
      </c>
      <c r="X216" s="257">
        <f t="shared" si="203"/>
        <v>0</v>
      </c>
      <c r="Y216" s="257">
        <f t="shared" si="203"/>
        <v>0</v>
      </c>
      <c r="Z216" s="257">
        <f t="shared" si="203"/>
        <v>0</v>
      </c>
      <c r="AA216" s="257">
        <f t="shared" si="203"/>
        <v>0</v>
      </c>
      <c r="AB216" s="257">
        <f t="shared" si="203"/>
        <v>0</v>
      </c>
    </row>
    <row r="217" spans="1:111" s="247" customFormat="1" ht="18.75" customHeight="1" x14ac:dyDescent="0.25">
      <c r="A217" s="131" t="s">
        <v>205</v>
      </c>
      <c r="B217" s="131" t="s">
        <v>205</v>
      </c>
      <c r="C217" s="131" t="s">
        <v>205</v>
      </c>
      <c r="D217" s="131" t="s">
        <v>205</v>
      </c>
      <c r="E217" s="131" t="s">
        <v>205</v>
      </c>
      <c r="F217" s="131" t="s">
        <v>205</v>
      </c>
      <c r="G217" s="131" t="s">
        <v>205</v>
      </c>
      <c r="H217" s="119" t="s">
        <v>205</v>
      </c>
      <c r="I217" s="132" t="s">
        <v>205</v>
      </c>
      <c r="J217" s="132" t="s">
        <v>205</v>
      </c>
      <c r="K217" s="246" t="s">
        <v>205</v>
      </c>
      <c r="L217" s="133" t="s">
        <v>205</v>
      </c>
      <c r="M217" s="128" t="s">
        <v>205</v>
      </c>
      <c r="N217" s="128" t="s">
        <v>205</v>
      </c>
      <c r="O217" s="128" t="s">
        <v>205</v>
      </c>
      <c r="P217" s="128" t="s">
        <v>205</v>
      </c>
      <c r="Q217" s="128" t="s">
        <v>205</v>
      </c>
      <c r="R217" s="128" t="s">
        <v>205</v>
      </c>
      <c r="S217" s="128" t="s">
        <v>205</v>
      </c>
      <c r="T217" s="128" t="s">
        <v>205</v>
      </c>
      <c r="U217" s="128" t="s">
        <v>205</v>
      </c>
      <c r="V217" s="128" t="s">
        <v>205</v>
      </c>
      <c r="W217" s="128" t="s">
        <v>205</v>
      </c>
      <c r="X217" s="128" t="s">
        <v>205</v>
      </c>
      <c r="Y217" s="128" t="s">
        <v>205</v>
      </c>
      <c r="Z217" s="133" t="s">
        <v>205</v>
      </c>
      <c r="AA217" s="133" t="s">
        <v>205</v>
      </c>
      <c r="AB217" s="128" t="s">
        <v>205</v>
      </c>
    </row>
    <row r="218" spans="1:111" ht="85.5" customHeight="1" x14ac:dyDescent="0.25">
      <c r="A218" s="119" t="s">
        <v>344</v>
      </c>
      <c r="B218" s="119" t="s">
        <v>216</v>
      </c>
      <c r="C218" s="119" t="s">
        <v>216</v>
      </c>
      <c r="D218" s="119">
        <v>13333</v>
      </c>
      <c r="E218" s="119" t="s">
        <v>218</v>
      </c>
      <c r="F218" s="119" t="s">
        <v>295</v>
      </c>
      <c r="G218" s="119" t="s">
        <v>216</v>
      </c>
      <c r="H218" s="174" t="s">
        <v>231</v>
      </c>
      <c r="I218" s="184" t="s">
        <v>423</v>
      </c>
      <c r="J218" s="263"/>
      <c r="K218" s="186">
        <f t="shared" ref="K218:AB218" si="204">SUM(K219:K224)</f>
        <v>6</v>
      </c>
      <c r="L218" s="264">
        <f t="shared" si="204"/>
        <v>60000</v>
      </c>
      <c r="M218" s="264">
        <f t="shared" si="204"/>
        <v>500</v>
      </c>
      <c r="N218" s="264">
        <f t="shared" si="204"/>
        <v>100</v>
      </c>
      <c r="O218" s="264">
        <f t="shared" si="204"/>
        <v>0</v>
      </c>
      <c r="P218" s="264">
        <f t="shared" si="204"/>
        <v>0</v>
      </c>
      <c r="Q218" s="264">
        <f t="shared" si="204"/>
        <v>0</v>
      </c>
      <c r="R218" s="264">
        <f t="shared" si="204"/>
        <v>0</v>
      </c>
      <c r="S218" s="264">
        <f t="shared" si="204"/>
        <v>0</v>
      </c>
      <c r="T218" s="264">
        <f t="shared" si="204"/>
        <v>0</v>
      </c>
      <c r="U218" s="264">
        <f t="shared" si="204"/>
        <v>0</v>
      </c>
      <c r="V218" s="264">
        <f t="shared" si="204"/>
        <v>0</v>
      </c>
      <c r="W218" s="264">
        <f t="shared" si="204"/>
        <v>0</v>
      </c>
      <c r="X218" s="264">
        <f t="shared" si="204"/>
        <v>0</v>
      </c>
      <c r="Y218" s="264">
        <f t="shared" si="204"/>
        <v>600</v>
      </c>
      <c r="Z218" s="264">
        <f t="shared" si="204"/>
        <v>0</v>
      </c>
      <c r="AA218" s="264">
        <f t="shared" si="204"/>
        <v>0</v>
      </c>
      <c r="AB218" s="264">
        <f t="shared" si="204"/>
        <v>600</v>
      </c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  <c r="AV218" s="122"/>
      <c r="AW218" s="122"/>
      <c r="AX218" s="122"/>
      <c r="AY218" s="122"/>
      <c r="AZ218" s="122"/>
      <c r="BA218" s="122"/>
      <c r="BB218" s="122"/>
      <c r="BC218" s="122"/>
      <c r="BD218" s="122"/>
      <c r="BE218" s="122"/>
      <c r="BF218" s="122"/>
      <c r="BG218" s="122"/>
      <c r="BH218" s="122"/>
      <c r="BI218" s="122"/>
      <c r="BJ218" s="122"/>
      <c r="BK218" s="122"/>
      <c r="BL218" s="122"/>
      <c r="BM218" s="122"/>
      <c r="BN218" s="122"/>
      <c r="BO218" s="122"/>
      <c r="BP218" s="122"/>
      <c r="BQ218" s="122"/>
      <c r="BR218" s="122"/>
      <c r="BS218" s="122"/>
      <c r="BT218" s="122"/>
      <c r="BU218" s="122"/>
      <c r="BV218" s="122"/>
      <c r="BW218" s="122"/>
      <c r="BX218" s="122"/>
      <c r="BY218" s="122"/>
      <c r="BZ218" s="122"/>
      <c r="CA218" s="122"/>
      <c r="CB218" s="122"/>
      <c r="CC218" s="122"/>
      <c r="CD218" s="122"/>
      <c r="CE218" s="122"/>
      <c r="CF218" s="122"/>
      <c r="CG218" s="122"/>
      <c r="CH218" s="122"/>
      <c r="CI218" s="122"/>
      <c r="CJ218" s="122"/>
      <c r="CK218" s="122"/>
      <c r="CL218" s="122"/>
      <c r="CM218" s="122"/>
      <c r="CN218" s="122"/>
      <c r="CO218" s="122"/>
      <c r="CP218" s="122"/>
      <c r="CQ218" s="122"/>
      <c r="CR218" s="122"/>
      <c r="CS218" s="122"/>
      <c r="CT218" s="122"/>
      <c r="CU218" s="122"/>
      <c r="CV218" s="122"/>
      <c r="CW218" s="122"/>
      <c r="CX218" s="122"/>
      <c r="CY218" s="122"/>
      <c r="CZ218" s="122"/>
      <c r="DA218" s="122"/>
      <c r="DB218" s="122"/>
      <c r="DC218" s="122"/>
      <c r="DD218" s="122"/>
      <c r="DE218" s="122"/>
      <c r="DF218" s="122"/>
      <c r="DG218" s="122"/>
    </row>
    <row r="219" spans="1:111" ht="37.5" customHeight="1" x14ac:dyDescent="0.25">
      <c r="A219" s="119" t="s">
        <v>220</v>
      </c>
      <c r="B219" s="119" t="s">
        <v>348</v>
      </c>
      <c r="C219" s="119" t="s">
        <v>281</v>
      </c>
      <c r="D219" s="119">
        <v>13333</v>
      </c>
      <c r="E219" s="119" t="s">
        <v>218</v>
      </c>
      <c r="F219" s="119" t="s">
        <v>295</v>
      </c>
      <c r="G219" s="119" t="s">
        <v>393</v>
      </c>
      <c r="H219" s="118" t="s">
        <v>232</v>
      </c>
      <c r="I219" s="117" t="s">
        <v>424</v>
      </c>
      <c r="J219" s="179"/>
      <c r="K219" s="123">
        <v>1</v>
      </c>
      <c r="L219" s="120">
        <v>10000</v>
      </c>
      <c r="M219" s="181">
        <v>100</v>
      </c>
      <c r="N219" s="181">
        <v>100</v>
      </c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>
        <f t="shared" ref="Y219:Y224" si="205">SUBTOTAL(9,M219:X219)</f>
        <v>200</v>
      </c>
      <c r="Z219" s="121"/>
      <c r="AA219" s="121"/>
      <c r="AB219" s="181">
        <f t="shared" ref="AB219:AB224" si="206">SUM(Y219:AA219)</f>
        <v>200</v>
      </c>
    </row>
    <row r="220" spans="1:111" ht="37.5" customHeight="1" x14ac:dyDescent="0.25">
      <c r="A220" s="119" t="s">
        <v>220</v>
      </c>
      <c r="B220" s="119" t="s">
        <v>348</v>
      </c>
      <c r="C220" s="119" t="s">
        <v>281</v>
      </c>
      <c r="D220" s="119">
        <v>13333</v>
      </c>
      <c r="E220" s="119" t="s">
        <v>218</v>
      </c>
      <c r="F220" s="119" t="s">
        <v>295</v>
      </c>
      <c r="G220" s="119" t="s">
        <v>393</v>
      </c>
      <c r="H220" s="118" t="s">
        <v>233</v>
      </c>
      <c r="I220" s="117" t="s">
        <v>425</v>
      </c>
      <c r="J220" s="179"/>
      <c r="K220" s="123">
        <v>1</v>
      </c>
      <c r="L220" s="120">
        <v>10000</v>
      </c>
      <c r="M220" s="181">
        <v>100</v>
      </c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>
        <f t="shared" si="205"/>
        <v>100</v>
      </c>
      <c r="Z220" s="120"/>
      <c r="AA220" s="120"/>
      <c r="AB220" s="181">
        <f t="shared" si="206"/>
        <v>100</v>
      </c>
    </row>
    <row r="221" spans="1:111" ht="37.5" customHeight="1" x14ac:dyDescent="0.25">
      <c r="A221" s="119" t="s">
        <v>220</v>
      </c>
      <c r="B221" s="119" t="s">
        <v>348</v>
      </c>
      <c r="C221" s="119" t="s">
        <v>281</v>
      </c>
      <c r="D221" s="119">
        <v>13333</v>
      </c>
      <c r="E221" s="119" t="s">
        <v>218</v>
      </c>
      <c r="F221" s="119" t="s">
        <v>295</v>
      </c>
      <c r="G221" s="119" t="s">
        <v>393</v>
      </c>
      <c r="H221" s="118" t="s">
        <v>234</v>
      </c>
      <c r="I221" s="117" t="s">
        <v>426</v>
      </c>
      <c r="J221" s="179"/>
      <c r="K221" s="123">
        <v>1</v>
      </c>
      <c r="L221" s="120">
        <v>10000</v>
      </c>
      <c r="M221" s="181">
        <v>100</v>
      </c>
      <c r="N221" s="181"/>
      <c r="O221" s="181"/>
      <c r="P221" s="181"/>
      <c r="Q221" s="181"/>
      <c r="R221" s="181"/>
      <c r="S221" s="181"/>
      <c r="T221" s="181"/>
      <c r="U221" s="181"/>
      <c r="V221" s="181"/>
      <c r="W221" s="181"/>
      <c r="X221" s="181"/>
      <c r="Y221" s="181">
        <f t="shared" si="205"/>
        <v>100</v>
      </c>
      <c r="Z221" s="120"/>
      <c r="AA221" s="120"/>
      <c r="AB221" s="181">
        <f t="shared" si="206"/>
        <v>100</v>
      </c>
    </row>
    <row r="222" spans="1:111" ht="37.5" customHeight="1" x14ac:dyDescent="0.25">
      <c r="A222" s="119" t="s">
        <v>220</v>
      </c>
      <c r="B222" s="119" t="s">
        <v>348</v>
      </c>
      <c r="C222" s="119" t="s">
        <v>281</v>
      </c>
      <c r="D222" s="119">
        <v>13333</v>
      </c>
      <c r="E222" s="119" t="s">
        <v>218</v>
      </c>
      <c r="F222" s="119" t="s">
        <v>295</v>
      </c>
      <c r="G222" s="119" t="s">
        <v>393</v>
      </c>
      <c r="H222" s="118" t="s">
        <v>235</v>
      </c>
      <c r="I222" s="117" t="s">
        <v>427</v>
      </c>
      <c r="J222" s="179"/>
      <c r="K222" s="123">
        <v>1</v>
      </c>
      <c r="L222" s="120">
        <v>10000</v>
      </c>
      <c r="M222" s="181">
        <v>100</v>
      </c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  <c r="Y222" s="181">
        <f t="shared" si="205"/>
        <v>100</v>
      </c>
      <c r="Z222" s="120"/>
      <c r="AA222" s="120"/>
      <c r="AB222" s="181">
        <f t="shared" si="206"/>
        <v>100</v>
      </c>
    </row>
    <row r="223" spans="1:111" ht="37.5" customHeight="1" x14ac:dyDescent="0.25">
      <c r="A223" s="119" t="s">
        <v>220</v>
      </c>
      <c r="B223" s="119" t="s">
        <v>348</v>
      </c>
      <c r="C223" s="119" t="s">
        <v>281</v>
      </c>
      <c r="D223" s="119">
        <v>13333</v>
      </c>
      <c r="E223" s="119" t="s">
        <v>218</v>
      </c>
      <c r="F223" s="119" t="s">
        <v>295</v>
      </c>
      <c r="G223" s="119" t="s">
        <v>393</v>
      </c>
      <c r="H223" s="118" t="s">
        <v>236</v>
      </c>
      <c r="I223" s="117" t="s">
        <v>428</v>
      </c>
      <c r="J223" s="179"/>
      <c r="K223" s="123">
        <v>1</v>
      </c>
      <c r="L223" s="120">
        <v>10000</v>
      </c>
      <c r="M223" s="181">
        <v>100</v>
      </c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>
        <f t="shared" si="205"/>
        <v>100</v>
      </c>
      <c r="Z223" s="120"/>
      <c r="AA223" s="120"/>
      <c r="AB223" s="181">
        <f t="shared" si="206"/>
        <v>100</v>
      </c>
    </row>
    <row r="224" spans="1:111" ht="56.25" customHeight="1" x14ac:dyDescent="0.25">
      <c r="A224" s="119" t="s">
        <v>220</v>
      </c>
      <c r="B224" s="119" t="s">
        <v>348</v>
      </c>
      <c r="C224" s="119" t="s">
        <v>281</v>
      </c>
      <c r="D224" s="119">
        <v>13333</v>
      </c>
      <c r="E224" s="119" t="s">
        <v>218</v>
      </c>
      <c r="F224" s="119" t="s">
        <v>295</v>
      </c>
      <c r="G224" s="119" t="s">
        <v>393</v>
      </c>
      <c r="H224" s="118" t="s">
        <v>237</v>
      </c>
      <c r="I224" s="117" t="s">
        <v>429</v>
      </c>
      <c r="J224" s="179"/>
      <c r="K224" s="123">
        <v>1</v>
      </c>
      <c r="L224" s="120">
        <v>10000</v>
      </c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>
        <f t="shared" si="205"/>
        <v>0</v>
      </c>
      <c r="Z224" s="120"/>
      <c r="AA224" s="120"/>
      <c r="AB224" s="181">
        <f t="shared" si="206"/>
        <v>0</v>
      </c>
    </row>
    <row r="225" spans="1:111" ht="18.75" customHeight="1" x14ac:dyDescent="0.25">
      <c r="A225" s="131" t="s">
        <v>205</v>
      </c>
      <c r="B225" s="131" t="s">
        <v>205</v>
      </c>
      <c r="C225" s="131" t="s">
        <v>205</v>
      </c>
      <c r="D225" s="131" t="s">
        <v>205</v>
      </c>
      <c r="E225" s="131" t="s">
        <v>205</v>
      </c>
      <c r="F225" s="131" t="s">
        <v>205</v>
      </c>
      <c r="G225" s="131" t="s">
        <v>205</v>
      </c>
      <c r="H225" s="119" t="s">
        <v>205</v>
      </c>
      <c r="I225" s="132" t="s">
        <v>205</v>
      </c>
      <c r="J225" s="132" t="s">
        <v>205</v>
      </c>
      <c r="K225" s="246" t="s">
        <v>205</v>
      </c>
      <c r="L225" s="133" t="s">
        <v>205</v>
      </c>
      <c r="M225" s="128" t="s">
        <v>205</v>
      </c>
      <c r="N225" s="128" t="s">
        <v>205</v>
      </c>
      <c r="O225" s="128" t="s">
        <v>205</v>
      </c>
      <c r="P225" s="128" t="s">
        <v>205</v>
      </c>
      <c r="Q225" s="128" t="s">
        <v>205</v>
      </c>
      <c r="R225" s="128" t="s">
        <v>205</v>
      </c>
      <c r="S225" s="128" t="s">
        <v>205</v>
      </c>
      <c r="T225" s="128" t="s">
        <v>205</v>
      </c>
      <c r="U225" s="128" t="s">
        <v>205</v>
      </c>
      <c r="V225" s="128" t="s">
        <v>205</v>
      </c>
      <c r="W225" s="128" t="s">
        <v>205</v>
      </c>
      <c r="X225" s="128" t="s">
        <v>205</v>
      </c>
      <c r="Y225" s="128" t="s">
        <v>205</v>
      </c>
      <c r="Z225" s="133" t="s">
        <v>205</v>
      </c>
      <c r="AA225" s="133" t="s">
        <v>205</v>
      </c>
      <c r="AB225" s="128" t="s">
        <v>205</v>
      </c>
    </row>
    <row r="226" spans="1:111" ht="58.5" customHeight="1" x14ac:dyDescent="0.25">
      <c r="A226" s="172" t="s">
        <v>217</v>
      </c>
      <c r="B226" s="173" t="s">
        <v>216</v>
      </c>
      <c r="C226" s="173" t="s">
        <v>216</v>
      </c>
      <c r="D226" s="173">
        <v>14444</v>
      </c>
      <c r="E226" s="173" t="s">
        <v>216</v>
      </c>
      <c r="F226" s="173" t="s">
        <v>295</v>
      </c>
      <c r="G226" s="173" t="s">
        <v>216</v>
      </c>
      <c r="H226" s="174">
        <v>14</v>
      </c>
      <c r="I226" s="175" t="s">
        <v>375</v>
      </c>
      <c r="J226" s="245"/>
      <c r="K226" s="176">
        <f t="shared" ref="K226:AB226" si="207">SUMIF($A$236:$A$242,"ИТОГ ОСНОВНОЙ",K$236:K$242)</f>
        <v>4</v>
      </c>
      <c r="L226" s="177">
        <f t="shared" si="207"/>
        <v>40000</v>
      </c>
      <c r="M226" s="177">
        <f t="shared" si="207"/>
        <v>0</v>
      </c>
      <c r="N226" s="177">
        <f t="shared" si="207"/>
        <v>0</v>
      </c>
      <c r="O226" s="177">
        <f t="shared" si="207"/>
        <v>0</v>
      </c>
      <c r="P226" s="177">
        <f t="shared" si="207"/>
        <v>0</v>
      </c>
      <c r="Q226" s="177">
        <f t="shared" si="207"/>
        <v>0</v>
      </c>
      <c r="R226" s="177">
        <f t="shared" si="207"/>
        <v>0</v>
      </c>
      <c r="S226" s="177">
        <f t="shared" si="207"/>
        <v>0</v>
      </c>
      <c r="T226" s="177">
        <f t="shared" si="207"/>
        <v>0</v>
      </c>
      <c r="U226" s="177">
        <f t="shared" si="207"/>
        <v>0</v>
      </c>
      <c r="V226" s="177">
        <f t="shared" si="207"/>
        <v>0</v>
      </c>
      <c r="W226" s="177">
        <f t="shared" si="207"/>
        <v>0</v>
      </c>
      <c r="X226" s="177">
        <f t="shared" si="207"/>
        <v>0</v>
      </c>
      <c r="Y226" s="177">
        <f t="shared" si="207"/>
        <v>0</v>
      </c>
      <c r="Z226" s="177">
        <f t="shared" si="207"/>
        <v>0</v>
      </c>
      <c r="AA226" s="177">
        <f t="shared" si="207"/>
        <v>0</v>
      </c>
      <c r="AB226" s="177">
        <f t="shared" si="207"/>
        <v>0</v>
      </c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22"/>
      <c r="AY226" s="122"/>
      <c r="AZ226" s="122"/>
      <c r="BA226" s="122"/>
      <c r="BB226" s="122"/>
      <c r="BC226" s="122"/>
      <c r="BD226" s="122"/>
      <c r="BE226" s="122"/>
      <c r="BF226" s="122"/>
      <c r="BG226" s="122"/>
      <c r="BH226" s="122"/>
      <c r="BI226" s="122"/>
      <c r="BJ226" s="122"/>
      <c r="BK226" s="122"/>
      <c r="BL226" s="122"/>
      <c r="BM226" s="122"/>
      <c r="BN226" s="122"/>
      <c r="BO226" s="122"/>
      <c r="BP226" s="122"/>
      <c r="BQ226" s="122"/>
      <c r="BR226" s="122"/>
      <c r="BS226" s="122"/>
      <c r="BT226" s="122"/>
      <c r="BU226" s="122"/>
      <c r="BV226" s="122"/>
      <c r="BW226" s="122"/>
      <c r="BX226" s="122"/>
      <c r="BY226" s="122"/>
      <c r="BZ226" s="122"/>
      <c r="CA226" s="122"/>
      <c r="CB226" s="122"/>
      <c r="CC226" s="122"/>
      <c r="CD226" s="122"/>
      <c r="CE226" s="122"/>
      <c r="CF226" s="122"/>
      <c r="CG226" s="122"/>
      <c r="CH226" s="122"/>
      <c r="CI226" s="122"/>
      <c r="CJ226" s="122"/>
      <c r="CK226" s="122"/>
      <c r="CL226" s="122"/>
      <c r="CM226" s="122"/>
      <c r="CN226" s="122"/>
      <c r="CO226" s="122"/>
      <c r="CP226" s="122"/>
      <c r="CQ226" s="122"/>
      <c r="CR226" s="122"/>
      <c r="CS226" s="122"/>
      <c r="CT226" s="122"/>
      <c r="CU226" s="122"/>
      <c r="CV226" s="122"/>
      <c r="CW226" s="122"/>
      <c r="CX226" s="122"/>
      <c r="CY226" s="122"/>
      <c r="CZ226" s="122"/>
      <c r="DA226" s="122"/>
      <c r="DB226" s="122"/>
      <c r="DC226" s="122"/>
      <c r="DD226" s="122"/>
      <c r="DE226" s="122"/>
      <c r="DF226" s="122"/>
      <c r="DG226" s="122"/>
    </row>
    <row r="227" spans="1:111" s="247" customFormat="1" ht="20.25" customHeight="1" x14ac:dyDescent="0.25">
      <c r="A227" s="131" t="s">
        <v>205</v>
      </c>
      <c r="B227" s="131" t="s">
        <v>205</v>
      </c>
      <c r="C227" s="131" t="s">
        <v>205</v>
      </c>
      <c r="D227" s="131" t="s">
        <v>205</v>
      </c>
      <c r="E227" s="131" t="s">
        <v>205</v>
      </c>
      <c r="F227" s="131" t="s">
        <v>205</v>
      </c>
      <c r="G227" s="131" t="s">
        <v>205</v>
      </c>
      <c r="H227" s="119" t="s">
        <v>205</v>
      </c>
      <c r="I227" s="132" t="s">
        <v>205</v>
      </c>
      <c r="J227" s="132" t="s">
        <v>205</v>
      </c>
      <c r="K227" s="246">
        <f>K226-SUM(K228:K235)</f>
        <v>0</v>
      </c>
      <c r="L227" s="133">
        <f>L226-SUM(L228:L235)</f>
        <v>0</v>
      </c>
      <c r="M227" s="128">
        <f>M226-SUM(M228:M235)</f>
        <v>0</v>
      </c>
      <c r="N227" s="128">
        <f t="shared" ref="N227:T227" si="208">N226-SUM(N228:N235)</f>
        <v>0</v>
      </c>
      <c r="O227" s="128">
        <f t="shared" si="208"/>
        <v>0</v>
      </c>
      <c r="P227" s="128">
        <f>P226-SUM(P228:P235)</f>
        <v>0</v>
      </c>
      <c r="Q227" s="128">
        <f>Q226-SUM(Q228:Q235)</f>
        <v>0</v>
      </c>
      <c r="R227" s="128">
        <f>R226-SUM(R228:R235)</f>
        <v>0</v>
      </c>
      <c r="S227" s="128">
        <f>S226-SUM(S228:S235)</f>
        <v>0</v>
      </c>
      <c r="T227" s="128">
        <f t="shared" si="208"/>
        <v>0</v>
      </c>
      <c r="U227" s="128">
        <f t="shared" ref="U227:AB227" si="209">U226-SUM(U228:U235)</f>
        <v>0</v>
      </c>
      <c r="V227" s="128">
        <f t="shared" si="209"/>
        <v>0</v>
      </c>
      <c r="W227" s="128">
        <f t="shared" si="209"/>
        <v>0</v>
      </c>
      <c r="X227" s="128">
        <f t="shared" si="209"/>
        <v>0</v>
      </c>
      <c r="Y227" s="128">
        <f t="shared" si="209"/>
        <v>0</v>
      </c>
      <c r="Z227" s="133">
        <f t="shared" si="209"/>
        <v>0</v>
      </c>
      <c r="AA227" s="133">
        <f t="shared" si="209"/>
        <v>0</v>
      </c>
      <c r="AB227" s="128">
        <f t="shared" si="209"/>
        <v>0</v>
      </c>
    </row>
    <row r="228" spans="1:111" s="247" customFormat="1" ht="50.1" customHeight="1" x14ac:dyDescent="0.25">
      <c r="A228" s="124" t="s">
        <v>245</v>
      </c>
      <c r="B228" s="124" t="s">
        <v>348</v>
      </c>
      <c r="C228" s="124" t="s">
        <v>216</v>
      </c>
      <c r="D228" s="124">
        <v>14444</v>
      </c>
      <c r="E228" s="124" t="s">
        <v>216</v>
      </c>
      <c r="F228" s="124" t="s">
        <v>295</v>
      </c>
      <c r="G228" s="124" t="s">
        <v>216</v>
      </c>
      <c r="H228" s="125" t="s">
        <v>244</v>
      </c>
      <c r="I228" s="255" t="s">
        <v>349</v>
      </c>
      <c r="J228" s="255" t="s">
        <v>376</v>
      </c>
      <c r="K228" s="256">
        <f t="shared" ref="K228:AB228" si="210">SUMIFS(K$236:K$242,$B$236:$B$242,"ЦЕНТР")</f>
        <v>4</v>
      </c>
      <c r="L228" s="257">
        <f t="shared" si="210"/>
        <v>40000</v>
      </c>
      <c r="M228" s="257">
        <f t="shared" si="210"/>
        <v>0</v>
      </c>
      <c r="N228" s="257">
        <f t="shared" si="210"/>
        <v>0</v>
      </c>
      <c r="O228" s="257">
        <f t="shared" si="210"/>
        <v>0</v>
      </c>
      <c r="P228" s="257">
        <f t="shared" si="210"/>
        <v>0</v>
      </c>
      <c r="Q228" s="257">
        <f t="shared" si="210"/>
        <v>0</v>
      </c>
      <c r="R228" s="257">
        <f t="shared" si="210"/>
        <v>0</v>
      </c>
      <c r="S228" s="257">
        <f t="shared" si="210"/>
        <v>0</v>
      </c>
      <c r="T228" s="257">
        <f t="shared" si="210"/>
        <v>0</v>
      </c>
      <c r="U228" s="257">
        <f t="shared" si="210"/>
        <v>0</v>
      </c>
      <c r="V228" s="257">
        <f t="shared" si="210"/>
        <v>0</v>
      </c>
      <c r="W228" s="257">
        <f t="shared" si="210"/>
        <v>0</v>
      </c>
      <c r="X228" s="257">
        <f t="shared" si="210"/>
        <v>0</v>
      </c>
      <c r="Y228" s="257">
        <f t="shared" si="210"/>
        <v>0</v>
      </c>
      <c r="Z228" s="257">
        <f t="shared" si="210"/>
        <v>0</v>
      </c>
      <c r="AA228" s="257">
        <f t="shared" si="210"/>
        <v>0</v>
      </c>
      <c r="AB228" s="257">
        <f t="shared" si="210"/>
        <v>0</v>
      </c>
      <c r="AC228" s="262"/>
      <c r="AD228" s="262"/>
      <c r="AE228" s="262"/>
      <c r="AF228" s="262"/>
      <c r="AG228" s="262"/>
      <c r="AH228" s="262"/>
      <c r="AI228" s="262"/>
      <c r="AJ228" s="262"/>
      <c r="AK228" s="262"/>
      <c r="AL228" s="262"/>
      <c r="AM228" s="262"/>
      <c r="AN228" s="262"/>
      <c r="AO228" s="262"/>
      <c r="AP228" s="262"/>
      <c r="AQ228" s="262"/>
      <c r="AR228" s="262"/>
      <c r="AS228" s="262"/>
      <c r="AT228" s="262"/>
      <c r="AU228" s="262"/>
      <c r="AV228" s="262"/>
      <c r="AW228" s="262"/>
      <c r="AX228" s="262"/>
      <c r="AY228" s="262"/>
      <c r="AZ228" s="262"/>
      <c r="BA228" s="262"/>
      <c r="BB228" s="262"/>
      <c r="BC228" s="262"/>
      <c r="BD228" s="262"/>
      <c r="BE228" s="262"/>
      <c r="BF228" s="262"/>
      <c r="BG228" s="262"/>
      <c r="BH228" s="262"/>
      <c r="BI228" s="262"/>
      <c r="BJ228" s="262"/>
      <c r="BK228" s="262"/>
      <c r="BL228" s="262"/>
      <c r="BM228" s="262"/>
      <c r="BN228" s="262"/>
      <c r="BO228" s="262"/>
      <c r="BP228" s="262"/>
      <c r="BQ228" s="262"/>
      <c r="BR228" s="262"/>
      <c r="BS228" s="262"/>
      <c r="BT228" s="262"/>
      <c r="BU228" s="262"/>
      <c r="BV228" s="262"/>
      <c r="BW228" s="262"/>
      <c r="BX228" s="262"/>
      <c r="BY228" s="262"/>
      <c r="BZ228" s="262"/>
      <c r="CA228" s="262"/>
      <c r="CB228" s="262"/>
      <c r="CC228" s="262"/>
      <c r="CD228" s="262"/>
      <c r="CE228" s="262"/>
      <c r="CF228" s="262"/>
      <c r="CG228" s="262"/>
      <c r="CH228" s="262"/>
      <c r="CI228" s="262"/>
      <c r="CJ228" s="262"/>
      <c r="CK228" s="262"/>
      <c r="CL228" s="262"/>
      <c r="CM228" s="262"/>
      <c r="CN228" s="262"/>
      <c r="CO228" s="262"/>
      <c r="CP228" s="262"/>
      <c r="CQ228" s="262"/>
      <c r="CR228" s="262"/>
      <c r="CS228" s="262"/>
      <c r="CT228" s="262"/>
      <c r="CU228" s="262"/>
      <c r="CV228" s="262"/>
      <c r="CW228" s="262"/>
      <c r="CX228" s="262"/>
      <c r="CY228" s="262"/>
      <c r="CZ228" s="262"/>
      <c r="DA228" s="262"/>
      <c r="DB228" s="262"/>
      <c r="DC228" s="262"/>
      <c r="DD228" s="262"/>
      <c r="DE228" s="262"/>
      <c r="DF228" s="262"/>
      <c r="DG228" s="262"/>
    </row>
    <row r="229" spans="1:111" s="247" customFormat="1" ht="50.1" customHeight="1" x14ac:dyDescent="0.25">
      <c r="A229" s="124" t="s">
        <v>245</v>
      </c>
      <c r="B229" s="124" t="s">
        <v>345</v>
      </c>
      <c r="C229" s="124" t="s">
        <v>216</v>
      </c>
      <c r="D229" s="124">
        <v>14444</v>
      </c>
      <c r="E229" s="124" t="s">
        <v>216</v>
      </c>
      <c r="F229" s="124" t="s">
        <v>295</v>
      </c>
      <c r="G229" s="124" t="s">
        <v>216</v>
      </c>
      <c r="H229" s="125" t="s">
        <v>244</v>
      </c>
      <c r="I229" s="255" t="s">
        <v>380</v>
      </c>
      <c r="J229" s="255" t="s">
        <v>376</v>
      </c>
      <c r="K229" s="256">
        <f t="shared" ref="K229:AB229" si="211">SUMIFS(K$236:K$242,$B$236:$B$242,"СЕВЕР")</f>
        <v>0</v>
      </c>
      <c r="L229" s="257">
        <f t="shared" si="211"/>
        <v>0</v>
      </c>
      <c r="M229" s="257">
        <f t="shared" si="211"/>
        <v>0</v>
      </c>
      <c r="N229" s="257">
        <f t="shared" si="211"/>
        <v>0</v>
      </c>
      <c r="O229" s="257">
        <f t="shared" si="211"/>
        <v>0</v>
      </c>
      <c r="P229" s="257">
        <f t="shared" si="211"/>
        <v>0</v>
      </c>
      <c r="Q229" s="257">
        <f t="shared" si="211"/>
        <v>0</v>
      </c>
      <c r="R229" s="257">
        <f t="shared" si="211"/>
        <v>0</v>
      </c>
      <c r="S229" s="257">
        <f t="shared" si="211"/>
        <v>0</v>
      </c>
      <c r="T229" s="257">
        <f t="shared" si="211"/>
        <v>0</v>
      </c>
      <c r="U229" s="257">
        <f t="shared" si="211"/>
        <v>0</v>
      </c>
      <c r="V229" s="257">
        <f t="shared" si="211"/>
        <v>0</v>
      </c>
      <c r="W229" s="257">
        <f t="shared" si="211"/>
        <v>0</v>
      </c>
      <c r="X229" s="257">
        <f t="shared" si="211"/>
        <v>0</v>
      </c>
      <c r="Y229" s="257">
        <f t="shared" si="211"/>
        <v>0</v>
      </c>
      <c r="Z229" s="257">
        <f t="shared" si="211"/>
        <v>0</v>
      </c>
      <c r="AA229" s="257">
        <f t="shared" si="211"/>
        <v>0</v>
      </c>
      <c r="AB229" s="257">
        <f t="shared" si="211"/>
        <v>0</v>
      </c>
    </row>
    <row r="230" spans="1:111" s="247" customFormat="1" ht="50.1" customHeight="1" x14ac:dyDescent="0.25">
      <c r="A230" s="124" t="s">
        <v>245</v>
      </c>
      <c r="B230" s="124" t="s">
        <v>352</v>
      </c>
      <c r="C230" s="124" t="s">
        <v>216</v>
      </c>
      <c r="D230" s="124">
        <v>14444</v>
      </c>
      <c r="E230" s="124" t="s">
        <v>216</v>
      </c>
      <c r="F230" s="124" t="s">
        <v>295</v>
      </c>
      <c r="G230" s="124" t="s">
        <v>216</v>
      </c>
      <c r="H230" s="125" t="s">
        <v>244</v>
      </c>
      <c r="I230" s="255" t="s">
        <v>381</v>
      </c>
      <c r="J230" s="255" t="s">
        <v>376</v>
      </c>
      <c r="K230" s="256">
        <f t="shared" ref="K230:AB230" si="212">SUMIFS(K$236:K$242,$B$236:$B$242,"ПРиволжье")</f>
        <v>0</v>
      </c>
      <c r="L230" s="257">
        <f t="shared" si="212"/>
        <v>0</v>
      </c>
      <c r="M230" s="257">
        <f t="shared" si="212"/>
        <v>0</v>
      </c>
      <c r="N230" s="257">
        <f t="shared" si="212"/>
        <v>0</v>
      </c>
      <c r="O230" s="257">
        <f t="shared" si="212"/>
        <v>0</v>
      </c>
      <c r="P230" s="257">
        <f t="shared" si="212"/>
        <v>0</v>
      </c>
      <c r="Q230" s="257">
        <f t="shared" si="212"/>
        <v>0</v>
      </c>
      <c r="R230" s="257">
        <f t="shared" si="212"/>
        <v>0</v>
      </c>
      <c r="S230" s="257">
        <f t="shared" si="212"/>
        <v>0</v>
      </c>
      <c r="T230" s="257">
        <f t="shared" si="212"/>
        <v>0</v>
      </c>
      <c r="U230" s="257">
        <f t="shared" si="212"/>
        <v>0</v>
      </c>
      <c r="V230" s="257">
        <f t="shared" si="212"/>
        <v>0</v>
      </c>
      <c r="W230" s="257">
        <f t="shared" si="212"/>
        <v>0</v>
      </c>
      <c r="X230" s="257">
        <f t="shared" si="212"/>
        <v>0</v>
      </c>
      <c r="Y230" s="257">
        <f t="shared" si="212"/>
        <v>0</v>
      </c>
      <c r="Z230" s="257">
        <f t="shared" si="212"/>
        <v>0</v>
      </c>
      <c r="AA230" s="257">
        <f t="shared" si="212"/>
        <v>0</v>
      </c>
      <c r="AB230" s="257">
        <f t="shared" si="212"/>
        <v>0</v>
      </c>
    </row>
    <row r="231" spans="1:111" s="247" customFormat="1" ht="50.1" customHeight="1" x14ac:dyDescent="0.25">
      <c r="A231" s="124" t="s">
        <v>245</v>
      </c>
      <c r="B231" s="124" t="s">
        <v>355</v>
      </c>
      <c r="C231" s="124" t="s">
        <v>216</v>
      </c>
      <c r="D231" s="124">
        <v>14444</v>
      </c>
      <c r="E231" s="124" t="s">
        <v>216</v>
      </c>
      <c r="F231" s="124" t="s">
        <v>295</v>
      </c>
      <c r="G231" s="124" t="s">
        <v>216</v>
      </c>
      <c r="H231" s="125" t="s">
        <v>244</v>
      </c>
      <c r="I231" s="255" t="s">
        <v>382</v>
      </c>
      <c r="J231" s="255" t="s">
        <v>376</v>
      </c>
      <c r="K231" s="256">
        <f t="shared" ref="K231:AB231" si="213">SUMIFS(K$236:K$242,$B$236:$B$242,"ЮГ")</f>
        <v>0</v>
      </c>
      <c r="L231" s="257">
        <f t="shared" si="213"/>
        <v>0</v>
      </c>
      <c r="M231" s="257">
        <f t="shared" si="213"/>
        <v>0</v>
      </c>
      <c r="N231" s="257">
        <f t="shared" si="213"/>
        <v>0</v>
      </c>
      <c r="O231" s="257">
        <f t="shared" si="213"/>
        <v>0</v>
      </c>
      <c r="P231" s="257">
        <f t="shared" si="213"/>
        <v>0</v>
      </c>
      <c r="Q231" s="257">
        <f t="shared" si="213"/>
        <v>0</v>
      </c>
      <c r="R231" s="257">
        <f t="shared" si="213"/>
        <v>0</v>
      </c>
      <c r="S231" s="257">
        <f t="shared" si="213"/>
        <v>0</v>
      </c>
      <c r="T231" s="257">
        <f t="shared" si="213"/>
        <v>0</v>
      </c>
      <c r="U231" s="257">
        <f t="shared" si="213"/>
        <v>0</v>
      </c>
      <c r="V231" s="257">
        <f t="shared" si="213"/>
        <v>0</v>
      </c>
      <c r="W231" s="257">
        <f t="shared" si="213"/>
        <v>0</v>
      </c>
      <c r="X231" s="257">
        <f t="shared" si="213"/>
        <v>0</v>
      </c>
      <c r="Y231" s="257">
        <f t="shared" si="213"/>
        <v>0</v>
      </c>
      <c r="Z231" s="257">
        <f t="shared" si="213"/>
        <v>0</v>
      </c>
      <c r="AA231" s="257">
        <f t="shared" si="213"/>
        <v>0</v>
      </c>
      <c r="AB231" s="257">
        <f t="shared" si="213"/>
        <v>0</v>
      </c>
    </row>
    <row r="232" spans="1:111" s="247" customFormat="1" ht="50.1" customHeight="1" x14ac:dyDescent="0.25">
      <c r="A232" s="124" t="s">
        <v>245</v>
      </c>
      <c r="B232" s="124" t="s">
        <v>358</v>
      </c>
      <c r="C232" s="124" t="s">
        <v>216</v>
      </c>
      <c r="D232" s="124">
        <v>14444</v>
      </c>
      <c r="E232" s="124" t="s">
        <v>216</v>
      </c>
      <c r="F232" s="124" t="s">
        <v>295</v>
      </c>
      <c r="G232" s="124" t="s">
        <v>216</v>
      </c>
      <c r="H232" s="125" t="s">
        <v>244</v>
      </c>
      <c r="I232" s="255" t="s">
        <v>383</v>
      </c>
      <c r="J232" s="255" t="s">
        <v>376</v>
      </c>
      <c r="K232" s="256">
        <f t="shared" ref="K232:AB232" si="214">SUMIFS(K$236:K$242,$B$236:$B$242,"Урал")</f>
        <v>0</v>
      </c>
      <c r="L232" s="257">
        <f t="shared" si="214"/>
        <v>0</v>
      </c>
      <c r="M232" s="257">
        <f t="shared" si="214"/>
        <v>0</v>
      </c>
      <c r="N232" s="257">
        <f t="shared" si="214"/>
        <v>0</v>
      </c>
      <c r="O232" s="257">
        <f t="shared" si="214"/>
        <v>0</v>
      </c>
      <c r="P232" s="257">
        <f t="shared" si="214"/>
        <v>0</v>
      </c>
      <c r="Q232" s="257">
        <f t="shared" si="214"/>
        <v>0</v>
      </c>
      <c r="R232" s="257">
        <f t="shared" si="214"/>
        <v>0</v>
      </c>
      <c r="S232" s="257">
        <f t="shared" si="214"/>
        <v>0</v>
      </c>
      <c r="T232" s="257">
        <f t="shared" si="214"/>
        <v>0</v>
      </c>
      <c r="U232" s="257">
        <f t="shared" si="214"/>
        <v>0</v>
      </c>
      <c r="V232" s="257">
        <f t="shared" si="214"/>
        <v>0</v>
      </c>
      <c r="W232" s="257">
        <f t="shared" si="214"/>
        <v>0</v>
      </c>
      <c r="X232" s="257">
        <f t="shared" si="214"/>
        <v>0</v>
      </c>
      <c r="Y232" s="257">
        <f t="shared" si="214"/>
        <v>0</v>
      </c>
      <c r="Z232" s="257">
        <f t="shared" si="214"/>
        <v>0</v>
      </c>
      <c r="AA232" s="257">
        <f t="shared" si="214"/>
        <v>0</v>
      </c>
      <c r="AB232" s="257">
        <f t="shared" si="214"/>
        <v>0</v>
      </c>
    </row>
    <row r="233" spans="1:111" s="247" customFormat="1" ht="50.1" customHeight="1" x14ac:dyDescent="0.25">
      <c r="A233" s="124" t="s">
        <v>245</v>
      </c>
      <c r="B233" s="124" t="s">
        <v>370</v>
      </c>
      <c r="C233" s="124" t="s">
        <v>216</v>
      </c>
      <c r="D233" s="124">
        <v>14444</v>
      </c>
      <c r="E233" s="124" t="s">
        <v>216</v>
      </c>
      <c r="F233" s="124" t="s">
        <v>295</v>
      </c>
      <c r="G233" s="124" t="s">
        <v>216</v>
      </c>
      <c r="H233" s="125" t="s">
        <v>244</v>
      </c>
      <c r="I233" s="255" t="s">
        <v>384</v>
      </c>
      <c r="J233" s="255" t="s">
        <v>376</v>
      </c>
      <c r="K233" s="256">
        <f t="shared" ref="K233:AB233" si="215">SUMIFS(K$236:K$242,$B$236:$B$242,"Сибирь")</f>
        <v>0</v>
      </c>
      <c r="L233" s="257">
        <f t="shared" si="215"/>
        <v>0</v>
      </c>
      <c r="M233" s="257">
        <f t="shared" si="215"/>
        <v>0</v>
      </c>
      <c r="N233" s="257">
        <f t="shared" si="215"/>
        <v>0</v>
      </c>
      <c r="O233" s="257">
        <f t="shared" si="215"/>
        <v>0</v>
      </c>
      <c r="P233" s="257">
        <f t="shared" si="215"/>
        <v>0</v>
      </c>
      <c r="Q233" s="257">
        <f t="shared" si="215"/>
        <v>0</v>
      </c>
      <c r="R233" s="257">
        <f t="shared" si="215"/>
        <v>0</v>
      </c>
      <c r="S233" s="257">
        <f t="shared" si="215"/>
        <v>0</v>
      </c>
      <c r="T233" s="257">
        <f t="shared" si="215"/>
        <v>0</v>
      </c>
      <c r="U233" s="257">
        <f t="shared" si="215"/>
        <v>0</v>
      </c>
      <c r="V233" s="257">
        <f t="shared" si="215"/>
        <v>0</v>
      </c>
      <c r="W233" s="257">
        <f t="shared" si="215"/>
        <v>0</v>
      </c>
      <c r="X233" s="257">
        <f t="shared" si="215"/>
        <v>0</v>
      </c>
      <c r="Y233" s="257">
        <f t="shared" si="215"/>
        <v>0</v>
      </c>
      <c r="Z233" s="257">
        <f t="shared" si="215"/>
        <v>0</v>
      </c>
      <c r="AA233" s="257">
        <f t="shared" si="215"/>
        <v>0</v>
      </c>
      <c r="AB233" s="257">
        <f t="shared" si="215"/>
        <v>0</v>
      </c>
    </row>
    <row r="234" spans="1:111" s="247" customFormat="1" ht="50.1" customHeight="1" x14ac:dyDescent="0.25">
      <c r="A234" s="124" t="s">
        <v>245</v>
      </c>
      <c r="B234" s="124" t="s">
        <v>367</v>
      </c>
      <c r="C234" s="124" t="s">
        <v>216</v>
      </c>
      <c r="D234" s="124">
        <v>14444</v>
      </c>
      <c r="E234" s="124" t="s">
        <v>216</v>
      </c>
      <c r="F234" s="124" t="s">
        <v>295</v>
      </c>
      <c r="G234" s="124" t="s">
        <v>216</v>
      </c>
      <c r="H234" s="125" t="s">
        <v>244</v>
      </c>
      <c r="I234" s="255" t="s">
        <v>385</v>
      </c>
      <c r="J234" s="255" t="s">
        <v>376</v>
      </c>
      <c r="K234" s="256">
        <f t="shared" ref="K234:AB234" si="216">SUMIFS(K$236:K$242,$B$236:$B$242,"ДАЛЬНИЙ")</f>
        <v>0</v>
      </c>
      <c r="L234" s="257">
        <f t="shared" si="216"/>
        <v>0</v>
      </c>
      <c r="M234" s="257">
        <f t="shared" si="216"/>
        <v>0</v>
      </c>
      <c r="N234" s="257">
        <f t="shared" si="216"/>
        <v>0</v>
      </c>
      <c r="O234" s="257">
        <f t="shared" si="216"/>
        <v>0</v>
      </c>
      <c r="P234" s="257">
        <f t="shared" si="216"/>
        <v>0</v>
      </c>
      <c r="Q234" s="257">
        <f t="shared" si="216"/>
        <v>0</v>
      </c>
      <c r="R234" s="257">
        <f t="shared" si="216"/>
        <v>0</v>
      </c>
      <c r="S234" s="257">
        <f t="shared" si="216"/>
        <v>0</v>
      </c>
      <c r="T234" s="257">
        <f t="shared" si="216"/>
        <v>0</v>
      </c>
      <c r="U234" s="257">
        <f t="shared" si="216"/>
        <v>0</v>
      </c>
      <c r="V234" s="257">
        <f t="shared" si="216"/>
        <v>0</v>
      </c>
      <c r="W234" s="257">
        <f t="shared" si="216"/>
        <v>0</v>
      </c>
      <c r="X234" s="257">
        <f t="shared" si="216"/>
        <v>0</v>
      </c>
      <c r="Y234" s="257">
        <f t="shared" si="216"/>
        <v>0</v>
      </c>
      <c r="Z234" s="257">
        <f t="shared" si="216"/>
        <v>0</v>
      </c>
      <c r="AA234" s="257">
        <f t="shared" si="216"/>
        <v>0</v>
      </c>
      <c r="AB234" s="257">
        <f t="shared" si="216"/>
        <v>0</v>
      </c>
    </row>
    <row r="235" spans="1:111" s="247" customFormat="1" ht="50.1" customHeight="1" x14ac:dyDescent="0.25">
      <c r="A235" s="124" t="s">
        <v>245</v>
      </c>
      <c r="B235" s="124" t="s">
        <v>230</v>
      </c>
      <c r="C235" s="124" t="s">
        <v>216</v>
      </c>
      <c r="D235" s="124">
        <v>14444</v>
      </c>
      <c r="E235" s="124" t="s">
        <v>216</v>
      </c>
      <c r="F235" s="124" t="s">
        <v>295</v>
      </c>
      <c r="G235" s="124" t="s">
        <v>216</v>
      </c>
      <c r="H235" s="125" t="s">
        <v>244</v>
      </c>
      <c r="I235" s="255" t="s">
        <v>386</v>
      </c>
      <c r="J235" s="255" t="s">
        <v>376</v>
      </c>
      <c r="K235" s="256">
        <f t="shared" ref="K235:AB235" si="217">SUMIFS(K$236:K$242,$B$236:$B$242,"ТО")</f>
        <v>0</v>
      </c>
      <c r="L235" s="257">
        <f t="shared" si="217"/>
        <v>0</v>
      </c>
      <c r="M235" s="257">
        <f t="shared" si="217"/>
        <v>0</v>
      </c>
      <c r="N235" s="257">
        <f t="shared" si="217"/>
        <v>0</v>
      </c>
      <c r="O235" s="257">
        <f t="shared" si="217"/>
        <v>0</v>
      </c>
      <c r="P235" s="257">
        <f t="shared" si="217"/>
        <v>0</v>
      </c>
      <c r="Q235" s="257">
        <f t="shared" si="217"/>
        <v>0</v>
      </c>
      <c r="R235" s="257">
        <f t="shared" si="217"/>
        <v>0</v>
      </c>
      <c r="S235" s="257">
        <f t="shared" si="217"/>
        <v>0</v>
      </c>
      <c r="T235" s="257">
        <f t="shared" si="217"/>
        <v>0</v>
      </c>
      <c r="U235" s="257">
        <f t="shared" si="217"/>
        <v>0</v>
      </c>
      <c r="V235" s="257">
        <f t="shared" si="217"/>
        <v>0</v>
      </c>
      <c r="W235" s="257">
        <f t="shared" si="217"/>
        <v>0</v>
      </c>
      <c r="X235" s="257">
        <f t="shared" si="217"/>
        <v>0</v>
      </c>
      <c r="Y235" s="257">
        <f t="shared" si="217"/>
        <v>0</v>
      </c>
      <c r="Z235" s="257">
        <f t="shared" si="217"/>
        <v>0</v>
      </c>
      <c r="AA235" s="257">
        <f t="shared" si="217"/>
        <v>0</v>
      </c>
      <c r="AB235" s="257">
        <f t="shared" si="217"/>
        <v>0</v>
      </c>
    </row>
    <row r="236" spans="1:111" s="247" customFormat="1" ht="20.25" customHeight="1" x14ac:dyDescent="0.25">
      <c r="A236" s="131" t="s">
        <v>205</v>
      </c>
      <c r="B236" s="131" t="s">
        <v>205</v>
      </c>
      <c r="C236" s="131" t="s">
        <v>205</v>
      </c>
      <c r="D236" s="131" t="s">
        <v>205</v>
      </c>
      <c r="E236" s="131" t="s">
        <v>205</v>
      </c>
      <c r="F236" s="131" t="s">
        <v>205</v>
      </c>
      <c r="G236" s="131" t="s">
        <v>205</v>
      </c>
      <c r="H236" s="119" t="s">
        <v>205</v>
      </c>
      <c r="I236" s="131" t="s">
        <v>205</v>
      </c>
      <c r="J236" s="132" t="s">
        <v>205</v>
      </c>
      <c r="K236" s="246" t="s">
        <v>205</v>
      </c>
      <c r="L236" s="133" t="s">
        <v>205</v>
      </c>
      <c r="M236" s="128" t="s">
        <v>205</v>
      </c>
      <c r="N236" s="128" t="s">
        <v>205</v>
      </c>
      <c r="O236" s="128" t="s">
        <v>205</v>
      </c>
      <c r="P236" s="128" t="s">
        <v>205</v>
      </c>
      <c r="Q236" s="128" t="s">
        <v>205</v>
      </c>
      <c r="R236" s="128" t="s">
        <v>205</v>
      </c>
      <c r="S236" s="128" t="s">
        <v>205</v>
      </c>
      <c r="T236" s="128" t="s">
        <v>205</v>
      </c>
      <c r="U236" s="128" t="s">
        <v>205</v>
      </c>
      <c r="V236" s="128" t="s">
        <v>205</v>
      </c>
      <c r="W236" s="128" t="s">
        <v>205</v>
      </c>
      <c r="X236" s="128" t="s">
        <v>205</v>
      </c>
      <c r="Y236" s="128" t="s">
        <v>205</v>
      </c>
      <c r="Z236" s="133" t="s">
        <v>205</v>
      </c>
      <c r="AA236" s="133" t="s">
        <v>205</v>
      </c>
      <c r="AB236" s="128" t="s">
        <v>205</v>
      </c>
    </row>
    <row r="237" spans="1:111" ht="85.5" customHeight="1" x14ac:dyDescent="0.25">
      <c r="A237" s="119" t="s">
        <v>344</v>
      </c>
      <c r="B237" s="119" t="s">
        <v>216</v>
      </c>
      <c r="C237" s="119" t="s">
        <v>216</v>
      </c>
      <c r="D237" s="119">
        <v>14444</v>
      </c>
      <c r="E237" s="119" t="s">
        <v>229</v>
      </c>
      <c r="F237" s="119" t="s">
        <v>295</v>
      </c>
      <c r="G237" s="119" t="s">
        <v>216</v>
      </c>
      <c r="H237" s="174" t="s">
        <v>238</v>
      </c>
      <c r="I237" s="184" t="s">
        <v>430</v>
      </c>
      <c r="J237" s="263"/>
      <c r="K237" s="186">
        <f t="shared" ref="K237:AB237" si="218">SUM(K238:K241)</f>
        <v>4</v>
      </c>
      <c r="L237" s="264">
        <f t="shared" si="218"/>
        <v>40000</v>
      </c>
      <c r="M237" s="264">
        <f t="shared" si="218"/>
        <v>0</v>
      </c>
      <c r="N237" s="264">
        <f t="shared" si="218"/>
        <v>0</v>
      </c>
      <c r="O237" s="264">
        <f t="shared" si="218"/>
        <v>0</v>
      </c>
      <c r="P237" s="264">
        <f t="shared" si="218"/>
        <v>0</v>
      </c>
      <c r="Q237" s="264">
        <f t="shared" si="218"/>
        <v>0</v>
      </c>
      <c r="R237" s="264">
        <f t="shared" si="218"/>
        <v>0</v>
      </c>
      <c r="S237" s="264">
        <f t="shared" si="218"/>
        <v>0</v>
      </c>
      <c r="T237" s="264">
        <f t="shared" si="218"/>
        <v>0</v>
      </c>
      <c r="U237" s="264">
        <f t="shared" si="218"/>
        <v>0</v>
      </c>
      <c r="V237" s="264">
        <f t="shared" si="218"/>
        <v>0</v>
      </c>
      <c r="W237" s="264">
        <f t="shared" si="218"/>
        <v>0</v>
      </c>
      <c r="X237" s="264">
        <f t="shared" si="218"/>
        <v>0</v>
      </c>
      <c r="Y237" s="264">
        <f t="shared" si="218"/>
        <v>0</v>
      </c>
      <c r="Z237" s="264">
        <f t="shared" si="218"/>
        <v>0</v>
      </c>
      <c r="AA237" s="264">
        <f t="shared" si="218"/>
        <v>0</v>
      </c>
      <c r="AB237" s="264">
        <f t="shared" si="218"/>
        <v>0</v>
      </c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22"/>
      <c r="AZ237" s="122"/>
      <c r="BA237" s="122"/>
      <c r="BB237" s="122"/>
      <c r="BC237" s="122"/>
      <c r="BD237" s="122"/>
      <c r="BE237" s="122"/>
      <c r="BF237" s="122"/>
      <c r="BG237" s="122"/>
      <c r="BH237" s="122"/>
      <c r="BI237" s="122"/>
      <c r="BJ237" s="122"/>
      <c r="BK237" s="122"/>
      <c r="BL237" s="122"/>
      <c r="BM237" s="122"/>
      <c r="BN237" s="122"/>
      <c r="BO237" s="122"/>
      <c r="BP237" s="122"/>
      <c r="BQ237" s="122"/>
      <c r="BR237" s="122"/>
      <c r="BS237" s="122"/>
      <c r="BT237" s="122"/>
      <c r="BU237" s="122"/>
      <c r="BV237" s="122"/>
      <c r="BW237" s="122"/>
      <c r="BX237" s="122"/>
      <c r="BY237" s="122"/>
      <c r="BZ237" s="122"/>
      <c r="CA237" s="122"/>
      <c r="CB237" s="122"/>
      <c r="CC237" s="122"/>
      <c r="CD237" s="122"/>
      <c r="CE237" s="122"/>
      <c r="CF237" s="122"/>
      <c r="CG237" s="122"/>
      <c r="CH237" s="122"/>
      <c r="CI237" s="122"/>
      <c r="CJ237" s="122"/>
      <c r="CK237" s="122"/>
      <c r="CL237" s="122"/>
      <c r="CM237" s="122"/>
      <c r="CN237" s="122"/>
      <c r="CO237" s="122"/>
      <c r="CP237" s="122"/>
      <c r="CQ237" s="122"/>
      <c r="CR237" s="122"/>
      <c r="CS237" s="122"/>
      <c r="CT237" s="122"/>
      <c r="CU237" s="122"/>
      <c r="CV237" s="122"/>
      <c r="CW237" s="122"/>
      <c r="CX237" s="122"/>
      <c r="CY237" s="122"/>
      <c r="CZ237" s="122"/>
      <c r="DA237" s="122"/>
      <c r="DB237" s="122"/>
      <c r="DC237" s="122"/>
      <c r="DD237" s="122"/>
      <c r="DE237" s="122"/>
      <c r="DF237" s="122"/>
      <c r="DG237" s="122"/>
    </row>
    <row r="238" spans="1:111" ht="56.25" customHeight="1" x14ac:dyDescent="0.25">
      <c r="A238" s="119" t="s">
        <v>220</v>
      </c>
      <c r="B238" s="119" t="s">
        <v>348</v>
      </c>
      <c r="C238" s="119" t="s">
        <v>281</v>
      </c>
      <c r="D238" s="119">
        <v>14444</v>
      </c>
      <c r="E238" s="119" t="s">
        <v>229</v>
      </c>
      <c r="F238" s="119" t="s">
        <v>295</v>
      </c>
      <c r="G238" s="119" t="s">
        <v>307</v>
      </c>
      <c r="H238" s="118" t="s">
        <v>239</v>
      </c>
      <c r="I238" s="117" t="s">
        <v>431</v>
      </c>
      <c r="J238" s="179"/>
      <c r="K238" s="123">
        <v>1</v>
      </c>
      <c r="L238" s="120">
        <v>10000</v>
      </c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1"/>
      <c r="X238" s="181"/>
      <c r="Y238" s="181">
        <f>SUBTOTAL(9,M238:X238)</f>
        <v>0</v>
      </c>
      <c r="Z238" s="120"/>
      <c r="AA238" s="120"/>
      <c r="AB238" s="181">
        <f>SUM(Y238:AA238)</f>
        <v>0</v>
      </c>
    </row>
    <row r="239" spans="1:111" ht="56.25" customHeight="1" x14ac:dyDescent="0.25">
      <c r="A239" s="119" t="s">
        <v>220</v>
      </c>
      <c r="B239" s="119" t="s">
        <v>348</v>
      </c>
      <c r="C239" s="119" t="s">
        <v>281</v>
      </c>
      <c r="D239" s="119">
        <v>14444</v>
      </c>
      <c r="E239" s="119" t="s">
        <v>229</v>
      </c>
      <c r="F239" s="119" t="s">
        <v>295</v>
      </c>
      <c r="G239" s="119" t="s">
        <v>307</v>
      </c>
      <c r="H239" s="118" t="s">
        <v>240</v>
      </c>
      <c r="I239" s="117" t="s">
        <v>432</v>
      </c>
      <c r="J239" s="179"/>
      <c r="K239" s="123">
        <v>1</v>
      </c>
      <c r="L239" s="120">
        <v>10000</v>
      </c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  <c r="Y239" s="181">
        <f>SUBTOTAL(9,M239:X239)</f>
        <v>0</v>
      </c>
      <c r="Z239" s="120"/>
      <c r="AA239" s="120"/>
      <c r="AB239" s="181">
        <f>SUM(Y239:AA239)</f>
        <v>0</v>
      </c>
    </row>
    <row r="240" spans="1:111" ht="56.25" customHeight="1" x14ac:dyDescent="0.25">
      <c r="A240" s="119" t="s">
        <v>220</v>
      </c>
      <c r="B240" s="119" t="s">
        <v>348</v>
      </c>
      <c r="C240" s="119" t="s">
        <v>281</v>
      </c>
      <c r="D240" s="119">
        <v>14444</v>
      </c>
      <c r="E240" s="119" t="s">
        <v>229</v>
      </c>
      <c r="F240" s="119" t="s">
        <v>295</v>
      </c>
      <c r="G240" s="119" t="s">
        <v>307</v>
      </c>
      <c r="H240" s="118" t="s">
        <v>241</v>
      </c>
      <c r="I240" s="117" t="s">
        <v>433</v>
      </c>
      <c r="J240" s="179"/>
      <c r="K240" s="123">
        <v>1</v>
      </c>
      <c r="L240" s="120">
        <v>10000</v>
      </c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1">
        <f>SUBTOTAL(9,M240:X240)</f>
        <v>0</v>
      </c>
      <c r="Z240" s="120"/>
      <c r="AA240" s="120"/>
      <c r="AB240" s="181">
        <f>SUM(Y240:AA240)</f>
        <v>0</v>
      </c>
    </row>
    <row r="241" spans="1:111" ht="56.25" customHeight="1" x14ac:dyDescent="0.25">
      <c r="A241" s="119" t="s">
        <v>220</v>
      </c>
      <c r="B241" s="119" t="s">
        <v>348</v>
      </c>
      <c r="C241" s="119" t="s">
        <v>281</v>
      </c>
      <c r="D241" s="119">
        <v>14444</v>
      </c>
      <c r="E241" s="119" t="s">
        <v>229</v>
      </c>
      <c r="F241" s="119" t="s">
        <v>295</v>
      </c>
      <c r="G241" s="119" t="s">
        <v>307</v>
      </c>
      <c r="H241" s="118" t="s">
        <v>242</v>
      </c>
      <c r="I241" s="117" t="s">
        <v>434</v>
      </c>
      <c r="J241" s="179"/>
      <c r="K241" s="123">
        <v>1</v>
      </c>
      <c r="L241" s="120">
        <v>10000</v>
      </c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>
        <f>SUBTOTAL(9,M241:X241)</f>
        <v>0</v>
      </c>
      <c r="Z241" s="120"/>
      <c r="AA241" s="120"/>
      <c r="AB241" s="181">
        <f>SUM(Y241:AA241)</f>
        <v>0</v>
      </c>
    </row>
    <row r="242" spans="1:111" s="247" customFormat="1" ht="18.75" customHeight="1" x14ac:dyDescent="0.25">
      <c r="A242" s="131" t="s">
        <v>205</v>
      </c>
      <c r="B242" s="131" t="s">
        <v>205</v>
      </c>
      <c r="C242" s="131" t="s">
        <v>205</v>
      </c>
      <c r="D242" s="131" t="s">
        <v>205</v>
      </c>
      <c r="E242" s="131" t="s">
        <v>205</v>
      </c>
      <c r="F242" s="131" t="s">
        <v>205</v>
      </c>
      <c r="G242" s="131" t="s">
        <v>205</v>
      </c>
      <c r="H242" s="119" t="s">
        <v>205</v>
      </c>
      <c r="I242" s="132" t="s">
        <v>205</v>
      </c>
      <c r="J242" s="132" t="s">
        <v>205</v>
      </c>
      <c r="K242" s="246" t="s">
        <v>205</v>
      </c>
      <c r="L242" s="133" t="s">
        <v>205</v>
      </c>
      <c r="M242" s="128" t="s">
        <v>205</v>
      </c>
      <c r="N242" s="128" t="s">
        <v>205</v>
      </c>
      <c r="O242" s="128" t="s">
        <v>205</v>
      </c>
      <c r="P242" s="128" t="s">
        <v>205</v>
      </c>
      <c r="Q242" s="128" t="s">
        <v>205</v>
      </c>
      <c r="R242" s="128" t="s">
        <v>205</v>
      </c>
      <c r="S242" s="128" t="s">
        <v>205</v>
      </c>
      <c r="T242" s="128" t="s">
        <v>205</v>
      </c>
      <c r="U242" s="128" t="s">
        <v>205</v>
      </c>
      <c r="V242" s="128" t="s">
        <v>205</v>
      </c>
      <c r="W242" s="128" t="s">
        <v>205</v>
      </c>
      <c r="X242" s="128" t="s">
        <v>205</v>
      </c>
      <c r="Y242" s="128" t="s">
        <v>205</v>
      </c>
      <c r="Z242" s="133" t="s">
        <v>205</v>
      </c>
      <c r="AA242" s="133" t="s">
        <v>205</v>
      </c>
      <c r="AB242" s="128" t="s">
        <v>205</v>
      </c>
    </row>
    <row r="243" spans="1:111" ht="49.5" customHeight="1" x14ac:dyDescent="0.25">
      <c r="A243" s="172" t="s">
        <v>217</v>
      </c>
      <c r="B243" s="173" t="s">
        <v>216</v>
      </c>
      <c r="C243" s="173" t="s">
        <v>216</v>
      </c>
      <c r="D243" s="172">
        <v>15555</v>
      </c>
      <c r="E243" s="173" t="s">
        <v>216</v>
      </c>
      <c r="F243" s="173" t="s">
        <v>295</v>
      </c>
      <c r="G243" s="173" t="s">
        <v>216</v>
      </c>
      <c r="H243" s="174">
        <v>15</v>
      </c>
      <c r="I243" s="175" t="s">
        <v>377</v>
      </c>
      <c r="J243" s="245"/>
      <c r="K243" s="176">
        <f t="shared" ref="K243:AB243" si="219">SUMIF($A$253:$A$255,"ИТОГ ОСНОВНОЙ",K$253:K$255)</f>
        <v>0</v>
      </c>
      <c r="L243" s="177">
        <f t="shared" si="219"/>
        <v>10000</v>
      </c>
      <c r="M243" s="177">
        <f t="shared" si="219"/>
        <v>200</v>
      </c>
      <c r="N243" s="177">
        <f t="shared" si="219"/>
        <v>100</v>
      </c>
      <c r="O243" s="177">
        <f t="shared" si="219"/>
        <v>0</v>
      </c>
      <c r="P243" s="177">
        <f t="shared" si="219"/>
        <v>0</v>
      </c>
      <c r="Q243" s="177">
        <f t="shared" si="219"/>
        <v>0</v>
      </c>
      <c r="R243" s="177">
        <f t="shared" si="219"/>
        <v>0</v>
      </c>
      <c r="S243" s="177">
        <f t="shared" si="219"/>
        <v>0</v>
      </c>
      <c r="T243" s="177">
        <f t="shared" si="219"/>
        <v>0</v>
      </c>
      <c r="U243" s="177">
        <f t="shared" si="219"/>
        <v>0</v>
      </c>
      <c r="V243" s="177">
        <f t="shared" si="219"/>
        <v>0</v>
      </c>
      <c r="W243" s="177">
        <f t="shared" si="219"/>
        <v>0</v>
      </c>
      <c r="X243" s="177">
        <f t="shared" si="219"/>
        <v>0</v>
      </c>
      <c r="Y243" s="177">
        <f t="shared" si="219"/>
        <v>300</v>
      </c>
      <c r="Z243" s="177">
        <f t="shared" si="219"/>
        <v>0</v>
      </c>
      <c r="AA243" s="177">
        <f t="shared" si="219"/>
        <v>0</v>
      </c>
      <c r="AB243" s="177">
        <f t="shared" si="219"/>
        <v>300</v>
      </c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2"/>
      <c r="AY243" s="122"/>
      <c r="AZ243" s="122"/>
      <c r="BA243" s="122"/>
      <c r="BB243" s="122"/>
      <c r="BC243" s="122"/>
      <c r="BD243" s="122"/>
      <c r="BE243" s="122"/>
      <c r="BF243" s="122"/>
      <c r="BG243" s="122"/>
      <c r="BH243" s="122"/>
      <c r="BI243" s="122"/>
      <c r="BJ243" s="122"/>
      <c r="BK243" s="122"/>
      <c r="BL243" s="122"/>
      <c r="BM243" s="122"/>
      <c r="BN243" s="122"/>
      <c r="BO243" s="122"/>
      <c r="BP243" s="122"/>
      <c r="BQ243" s="122"/>
      <c r="BR243" s="122"/>
      <c r="BS243" s="122"/>
      <c r="BT243" s="122"/>
      <c r="BU243" s="122"/>
      <c r="BV243" s="122"/>
      <c r="BW243" s="122"/>
      <c r="BX243" s="122"/>
      <c r="BY243" s="122"/>
      <c r="BZ243" s="122"/>
      <c r="CA243" s="122"/>
      <c r="CB243" s="122"/>
      <c r="CC243" s="122"/>
      <c r="CD243" s="122"/>
      <c r="CE243" s="122"/>
      <c r="CF243" s="122"/>
      <c r="CG243" s="122"/>
      <c r="CH243" s="122"/>
      <c r="CI243" s="122"/>
      <c r="CJ243" s="122"/>
      <c r="CK243" s="122"/>
      <c r="CL243" s="122"/>
      <c r="CM243" s="122"/>
      <c r="CN243" s="122"/>
      <c r="CO243" s="122"/>
      <c r="CP243" s="122"/>
      <c r="CQ243" s="122"/>
      <c r="CR243" s="122"/>
      <c r="CS243" s="122"/>
      <c r="CT243" s="122"/>
      <c r="CU243" s="122"/>
      <c r="CV243" s="122"/>
      <c r="CW243" s="122"/>
      <c r="CX243" s="122"/>
      <c r="CY243" s="122"/>
      <c r="CZ243" s="122"/>
      <c r="DA243" s="122"/>
      <c r="DB243" s="122"/>
      <c r="DC243" s="122"/>
      <c r="DD243" s="122"/>
      <c r="DE243" s="122"/>
      <c r="DF243" s="122"/>
      <c r="DG243" s="122"/>
    </row>
    <row r="244" spans="1:111" s="247" customFormat="1" ht="18.75" customHeight="1" x14ac:dyDescent="0.25">
      <c r="A244" s="131" t="s">
        <v>205</v>
      </c>
      <c r="B244" s="131" t="s">
        <v>205</v>
      </c>
      <c r="C244" s="131" t="s">
        <v>205</v>
      </c>
      <c r="D244" s="185" t="s">
        <v>205</v>
      </c>
      <c r="E244" s="131" t="s">
        <v>205</v>
      </c>
      <c r="F244" s="131" t="s">
        <v>205</v>
      </c>
      <c r="G244" s="131" t="s">
        <v>205</v>
      </c>
      <c r="H244" s="119" t="s">
        <v>205</v>
      </c>
      <c r="I244" s="132" t="s">
        <v>205</v>
      </c>
      <c r="J244" s="132" t="s">
        <v>205</v>
      </c>
      <c r="K244" s="246">
        <f>K243-SUM(K245:K252)</f>
        <v>0</v>
      </c>
      <c r="L244" s="133">
        <f>L243-SUM(L245:L252)</f>
        <v>0</v>
      </c>
      <c r="M244" s="128">
        <f>M243-SUM(M245:M252)</f>
        <v>0</v>
      </c>
      <c r="N244" s="128">
        <f t="shared" ref="N244:T244" si="220">N243-SUM(N245:N252)</f>
        <v>0</v>
      </c>
      <c r="O244" s="128">
        <f t="shared" si="220"/>
        <v>0</v>
      </c>
      <c r="P244" s="128">
        <f>P243-SUM(P245:P252)</f>
        <v>0</v>
      </c>
      <c r="Q244" s="128">
        <f>Q243-SUM(Q245:Q252)</f>
        <v>0</v>
      </c>
      <c r="R244" s="128">
        <f>R243-SUM(R245:R252)</f>
        <v>0</v>
      </c>
      <c r="S244" s="128">
        <f>S243-SUM(S245:S252)</f>
        <v>0</v>
      </c>
      <c r="T244" s="128">
        <f t="shared" si="220"/>
        <v>0</v>
      </c>
      <c r="U244" s="128">
        <f t="shared" ref="U244:AB244" si="221">U243-SUM(U245:U252)</f>
        <v>0</v>
      </c>
      <c r="V244" s="128">
        <f t="shared" si="221"/>
        <v>0</v>
      </c>
      <c r="W244" s="128">
        <f t="shared" si="221"/>
        <v>0</v>
      </c>
      <c r="X244" s="128">
        <f t="shared" si="221"/>
        <v>0</v>
      </c>
      <c r="Y244" s="128">
        <f t="shared" si="221"/>
        <v>0</v>
      </c>
      <c r="Z244" s="133">
        <f t="shared" si="221"/>
        <v>0</v>
      </c>
      <c r="AA244" s="133">
        <f t="shared" si="221"/>
        <v>0</v>
      </c>
      <c r="AB244" s="128">
        <f t="shared" si="221"/>
        <v>0</v>
      </c>
    </row>
    <row r="245" spans="1:111" s="247" customFormat="1" ht="50.1" customHeight="1" x14ac:dyDescent="0.25">
      <c r="A245" s="124" t="s">
        <v>245</v>
      </c>
      <c r="B245" s="124" t="s">
        <v>348</v>
      </c>
      <c r="C245" s="124" t="s">
        <v>216</v>
      </c>
      <c r="D245" s="125">
        <v>15555</v>
      </c>
      <c r="E245" s="124" t="s">
        <v>216</v>
      </c>
      <c r="F245" s="124" t="s">
        <v>295</v>
      </c>
      <c r="G245" s="124" t="s">
        <v>216</v>
      </c>
      <c r="H245" s="125" t="s">
        <v>244</v>
      </c>
      <c r="I245" s="255" t="s">
        <v>349</v>
      </c>
      <c r="J245" s="255" t="s">
        <v>378</v>
      </c>
      <c r="K245" s="256">
        <f t="shared" ref="K245:AB245" si="222">SUMIFS(K$253:K$255,$B$253:$B$255,"ЦЕНТР")</f>
        <v>0</v>
      </c>
      <c r="L245" s="257">
        <f t="shared" si="222"/>
        <v>0</v>
      </c>
      <c r="M245" s="257">
        <f t="shared" si="222"/>
        <v>0</v>
      </c>
      <c r="N245" s="257">
        <f t="shared" si="222"/>
        <v>0</v>
      </c>
      <c r="O245" s="257">
        <f t="shared" si="222"/>
        <v>0</v>
      </c>
      <c r="P245" s="257">
        <f t="shared" si="222"/>
        <v>0</v>
      </c>
      <c r="Q245" s="257">
        <f t="shared" si="222"/>
        <v>0</v>
      </c>
      <c r="R245" s="257">
        <f t="shared" si="222"/>
        <v>0</v>
      </c>
      <c r="S245" s="257">
        <f t="shared" si="222"/>
        <v>0</v>
      </c>
      <c r="T245" s="257">
        <f t="shared" si="222"/>
        <v>0</v>
      </c>
      <c r="U245" s="257">
        <f t="shared" si="222"/>
        <v>0</v>
      </c>
      <c r="V245" s="257">
        <f t="shared" si="222"/>
        <v>0</v>
      </c>
      <c r="W245" s="257">
        <f t="shared" si="222"/>
        <v>0</v>
      </c>
      <c r="X245" s="257">
        <f t="shared" si="222"/>
        <v>0</v>
      </c>
      <c r="Y245" s="257">
        <f t="shared" si="222"/>
        <v>0</v>
      </c>
      <c r="Z245" s="257">
        <f t="shared" si="222"/>
        <v>0</v>
      </c>
      <c r="AA245" s="257">
        <f t="shared" si="222"/>
        <v>0</v>
      </c>
      <c r="AB245" s="257">
        <f t="shared" si="222"/>
        <v>0</v>
      </c>
    </row>
    <row r="246" spans="1:111" s="247" customFormat="1" ht="50.1" customHeight="1" x14ac:dyDescent="0.25">
      <c r="A246" s="124" t="s">
        <v>245</v>
      </c>
      <c r="B246" s="124" t="s">
        <v>345</v>
      </c>
      <c r="C246" s="124" t="s">
        <v>216</v>
      </c>
      <c r="D246" s="125">
        <v>15555</v>
      </c>
      <c r="E246" s="124" t="s">
        <v>216</v>
      </c>
      <c r="F246" s="124" t="s">
        <v>295</v>
      </c>
      <c r="G246" s="124" t="s">
        <v>216</v>
      </c>
      <c r="H246" s="125" t="s">
        <v>244</v>
      </c>
      <c r="I246" s="255" t="s">
        <v>380</v>
      </c>
      <c r="J246" s="255" t="s">
        <v>378</v>
      </c>
      <c r="K246" s="256">
        <f t="shared" ref="K246:AB246" si="223">SUMIFS(K$253:K$255,$B$253:$B$255,"СЕВЕР")</f>
        <v>0</v>
      </c>
      <c r="L246" s="257">
        <f t="shared" si="223"/>
        <v>0</v>
      </c>
      <c r="M246" s="257">
        <f t="shared" si="223"/>
        <v>0</v>
      </c>
      <c r="N246" s="257">
        <f t="shared" si="223"/>
        <v>0</v>
      </c>
      <c r="O246" s="257">
        <f t="shared" si="223"/>
        <v>0</v>
      </c>
      <c r="P246" s="257">
        <f t="shared" si="223"/>
        <v>0</v>
      </c>
      <c r="Q246" s="257">
        <f t="shared" si="223"/>
        <v>0</v>
      </c>
      <c r="R246" s="257">
        <f t="shared" si="223"/>
        <v>0</v>
      </c>
      <c r="S246" s="257">
        <f t="shared" si="223"/>
        <v>0</v>
      </c>
      <c r="T246" s="257">
        <f t="shared" si="223"/>
        <v>0</v>
      </c>
      <c r="U246" s="257">
        <f t="shared" si="223"/>
        <v>0</v>
      </c>
      <c r="V246" s="257">
        <f t="shared" si="223"/>
        <v>0</v>
      </c>
      <c r="W246" s="257">
        <f t="shared" si="223"/>
        <v>0</v>
      </c>
      <c r="X246" s="257">
        <f t="shared" si="223"/>
        <v>0</v>
      </c>
      <c r="Y246" s="257">
        <f t="shared" si="223"/>
        <v>0</v>
      </c>
      <c r="Z246" s="257">
        <f t="shared" si="223"/>
        <v>0</v>
      </c>
      <c r="AA246" s="257">
        <f t="shared" si="223"/>
        <v>0</v>
      </c>
      <c r="AB246" s="257">
        <f t="shared" si="223"/>
        <v>0</v>
      </c>
    </row>
    <row r="247" spans="1:111" s="247" customFormat="1" ht="50.1" customHeight="1" x14ac:dyDescent="0.25">
      <c r="A247" s="124" t="s">
        <v>245</v>
      </c>
      <c r="B247" s="124" t="s">
        <v>352</v>
      </c>
      <c r="C247" s="124" t="s">
        <v>216</v>
      </c>
      <c r="D247" s="125">
        <v>15555</v>
      </c>
      <c r="E247" s="124" t="s">
        <v>216</v>
      </c>
      <c r="F247" s="124" t="s">
        <v>295</v>
      </c>
      <c r="G247" s="124" t="s">
        <v>216</v>
      </c>
      <c r="H247" s="125" t="s">
        <v>244</v>
      </c>
      <c r="I247" s="255" t="s">
        <v>381</v>
      </c>
      <c r="J247" s="255" t="s">
        <v>378</v>
      </c>
      <c r="K247" s="256">
        <f t="shared" ref="K247:AB247" si="224">SUMIFS(K$253:K$255,$B$253:$B$255,"ПРиволжье")</f>
        <v>0</v>
      </c>
      <c r="L247" s="257">
        <f t="shared" si="224"/>
        <v>0</v>
      </c>
      <c r="M247" s="257">
        <f t="shared" si="224"/>
        <v>0</v>
      </c>
      <c r="N247" s="257">
        <f t="shared" si="224"/>
        <v>0</v>
      </c>
      <c r="O247" s="257">
        <f t="shared" si="224"/>
        <v>0</v>
      </c>
      <c r="P247" s="257">
        <f t="shared" si="224"/>
        <v>0</v>
      </c>
      <c r="Q247" s="257">
        <f t="shared" si="224"/>
        <v>0</v>
      </c>
      <c r="R247" s="257">
        <f t="shared" si="224"/>
        <v>0</v>
      </c>
      <c r="S247" s="257">
        <f t="shared" si="224"/>
        <v>0</v>
      </c>
      <c r="T247" s="257">
        <f t="shared" si="224"/>
        <v>0</v>
      </c>
      <c r="U247" s="257">
        <f t="shared" si="224"/>
        <v>0</v>
      </c>
      <c r="V247" s="257">
        <f t="shared" si="224"/>
        <v>0</v>
      </c>
      <c r="W247" s="257">
        <f t="shared" si="224"/>
        <v>0</v>
      </c>
      <c r="X247" s="257">
        <f t="shared" si="224"/>
        <v>0</v>
      </c>
      <c r="Y247" s="257">
        <f t="shared" si="224"/>
        <v>0</v>
      </c>
      <c r="Z247" s="257">
        <f t="shared" si="224"/>
        <v>0</v>
      </c>
      <c r="AA247" s="257">
        <f t="shared" si="224"/>
        <v>0</v>
      </c>
      <c r="AB247" s="257">
        <f t="shared" si="224"/>
        <v>0</v>
      </c>
    </row>
    <row r="248" spans="1:111" s="247" customFormat="1" ht="50.1" customHeight="1" x14ac:dyDescent="0.25">
      <c r="A248" s="124" t="s">
        <v>245</v>
      </c>
      <c r="B248" s="124" t="s">
        <v>355</v>
      </c>
      <c r="C248" s="124" t="s">
        <v>216</v>
      </c>
      <c r="D248" s="125">
        <v>15555</v>
      </c>
      <c r="E248" s="124" t="s">
        <v>216</v>
      </c>
      <c r="F248" s="124" t="s">
        <v>295</v>
      </c>
      <c r="G248" s="124" t="s">
        <v>216</v>
      </c>
      <c r="H248" s="125" t="s">
        <v>244</v>
      </c>
      <c r="I248" s="255" t="s">
        <v>382</v>
      </c>
      <c r="J248" s="255" t="s">
        <v>378</v>
      </c>
      <c r="K248" s="256">
        <f t="shared" ref="K248:AB248" si="225">SUMIFS(K$253:K$255,$B$253:$B$255,"ЮГ")</f>
        <v>0</v>
      </c>
      <c r="L248" s="257">
        <f t="shared" si="225"/>
        <v>10000</v>
      </c>
      <c r="M248" s="257">
        <f t="shared" si="225"/>
        <v>200</v>
      </c>
      <c r="N248" s="257">
        <f t="shared" si="225"/>
        <v>100</v>
      </c>
      <c r="O248" s="257">
        <f t="shared" si="225"/>
        <v>0</v>
      </c>
      <c r="P248" s="257">
        <f t="shared" si="225"/>
        <v>0</v>
      </c>
      <c r="Q248" s="257">
        <f t="shared" si="225"/>
        <v>0</v>
      </c>
      <c r="R248" s="257">
        <f t="shared" si="225"/>
        <v>0</v>
      </c>
      <c r="S248" s="257">
        <f t="shared" si="225"/>
        <v>0</v>
      </c>
      <c r="T248" s="257">
        <f t="shared" si="225"/>
        <v>0</v>
      </c>
      <c r="U248" s="257">
        <f t="shared" si="225"/>
        <v>0</v>
      </c>
      <c r="V248" s="257">
        <f t="shared" si="225"/>
        <v>0</v>
      </c>
      <c r="W248" s="257">
        <f t="shared" si="225"/>
        <v>0</v>
      </c>
      <c r="X248" s="257">
        <f t="shared" si="225"/>
        <v>0</v>
      </c>
      <c r="Y248" s="257">
        <f t="shared" si="225"/>
        <v>300</v>
      </c>
      <c r="Z248" s="257">
        <f t="shared" si="225"/>
        <v>0</v>
      </c>
      <c r="AA248" s="257">
        <f t="shared" si="225"/>
        <v>0</v>
      </c>
      <c r="AB248" s="257">
        <f t="shared" si="225"/>
        <v>300</v>
      </c>
      <c r="AC248" s="262"/>
      <c r="AD248" s="262"/>
      <c r="AE248" s="262"/>
      <c r="AF248" s="262"/>
      <c r="AG248" s="262"/>
      <c r="AH248" s="262"/>
      <c r="AI248" s="262"/>
      <c r="AJ248" s="262"/>
      <c r="AK248" s="262"/>
      <c r="AL248" s="262"/>
      <c r="AM248" s="262"/>
      <c r="AN248" s="262"/>
      <c r="AO248" s="262"/>
      <c r="AP248" s="262"/>
      <c r="AQ248" s="262"/>
      <c r="AR248" s="262"/>
      <c r="AS248" s="262"/>
      <c r="AT248" s="262"/>
      <c r="AU248" s="262"/>
      <c r="AV248" s="262"/>
      <c r="AW248" s="262"/>
      <c r="AX248" s="262"/>
      <c r="AY248" s="262"/>
      <c r="AZ248" s="262"/>
      <c r="BA248" s="262"/>
      <c r="BB248" s="262"/>
      <c r="BC248" s="262"/>
      <c r="BD248" s="262"/>
      <c r="BE248" s="262"/>
      <c r="BF248" s="262"/>
      <c r="BG248" s="262"/>
      <c r="BH248" s="262"/>
      <c r="BI248" s="262"/>
      <c r="BJ248" s="262"/>
      <c r="BK248" s="262"/>
      <c r="BL248" s="262"/>
      <c r="BM248" s="262"/>
      <c r="BN248" s="262"/>
      <c r="BO248" s="262"/>
      <c r="BP248" s="262"/>
      <c r="BQ248" s="262"/>
      <c r="BR248" s="262"/>
      <c r="BS248" s="262"/>
      <c r="BT248" s="262"/>
      <c r="BU248" s="262"/>
      <c r="BV248" s="262"/>
      <c r="BW248" s="262"/>
      <c r="BX248" s="262"/>
      <c r="BY248" s="262"/>
      <c r="BZ248" s="262"/>
      <c r="CA248" s="262"/>
      <c r="CB248" s="262"/>
      <c r="CC248" s="262"/>
      <c r="CD248" s="262"/>
      <c r="CE248" s="262"/>
      <c r="CF248" s="262"/>
      <c r="CG248" s="262"/>
      <c r="CH248" s="262"/>
      <c r="CI248" s="262"/>
      <c r="CJ248" s="262"/>
      <c r="CK248" s="262"/>
      <c r="CL248" s="262"/>
      <c r="CM248" s="262"/>
      <c r="CN248" s="262"/>
      <c r="CO248" s="262"/>
      <c r="CP248" s="262"/>
      <c r="CQ248" s="262"/>
      <c r="CR248" s="262"/>
      <c r="CS248" s="262"/>
      <c r="CT248" s="262"/>
      <c r="CU248" s="262"/>
      <c r="CV248" s="262"/>
      <c r="CW248" s="262"/>
      <c r="CX248" s="262"/>
      <c r="CY248" s="262"/>
      <c r="CZ248" s="262"/>
      <c r="DA248" s="262"/>
      <c r="DB248" s="262"/>
      <c r="DC248" s="262"/>
      <c r="DD248" s="262"/>
      <c r="DE248" s="262"/>
      <c r="DF248" s="262"/>
      <c r="DG248" s="262"/>
    </row>
    <row r="249" spans="1:111" s="247" customFormat="1" ht="50.1" customHeight="1" x14ac:dyDescent="0.25">
      <c r="A249" s="124" t="s">
        <v>245</v>
      </c>
      <c r="B249" s="124" t="s">
        <v>358</v>
      </c>
      <c r="C249" s="124" t="s">
        <v>216</v>
      </c>
      <c r="D249" s="125">
        <v>15555</v>
      </c>
      <c r="E249" s="124" t="s">
        <v>216</v>
      </c>
      <c r="F249" s="124" t="s">
        <v>295</v>
      </c>
      <c r="G249" s="124" t="s">
        <v>216</v>
      </c>
      <c r="H249" s="125" t="s">
        <v>244</v>
      </c>
      <c r="I249" s="255" t="s">
        <v>383</v>
      </c>
      <c r="J249" s="255" t="s">
        <v>378</v>
      </c>
      <c r="K249" s="256">
        <f t="shared" ref="K249:AB249" si="226">SUMIFS(K$253:K$255,$B$253:$B$255,"Урал")</f>
        <v>0</v>
      </c>
      <c r="L249" s="257">
        <f t="shared" si="226"/>
        <v>0</v>
      </c>
      <c r="M249" s="257">
        <f t="shared" si="226"/>
        <v>0</v>
      </c>
      <c r="N249" s="257">
        <f t="shared" si="226"/>
        <v>0</v>
      </c>
      <c r="O249" s="257">
        <f t="shared" si="226"/>
        <v>0</v>
      </c>
      <c r="P249" s="257">
        <f t="shared" si="226"/>
        <v>0</v>
      </c>
      <c r="Q249" s="257">
        <f t="shared" si="226"/>
        <v>0</v>
      </c>
      <c r="R249" s="257">
        <f t="shared" si="226"/>
        <v>0</v>
      </c>
      <c r="S249" s="257">
        <f t="shared" si="226"/>
        <v>0</v>
      </c>
      <c r="T249" s="257">
        <f t="shared" si="226"/>
        <v>0</v>
      </c>
      <c r="U249" s="257">
        <f t="shared" si="226"/>
        <v>0</v>
      </c>
      <c r="V249" s="257">
        <f t="shared" si="226"/>
        <v>0</v>
      </c>
      <c r="W249" s="257">
        <f t="shared" si="226"/>
        <v>0</v>
      </c>
      <c r="X249" s="257">
        <f t="shared" si="226"/>
        <v>0</v>
      </c>
      <c r="Y249" s="257">
        <f t="shared" si="226"/>
        <v>0</v>
      </c>
      <c r="Z249" s="257">
        <f t="shared" si="226"/>
        <v>0</v>
      </c>
      <c r="AA249" s="257">
        <f t="shared" si="226"/>
        <v>0</v>
      </c>
      <c r="AB249" s="257">
        <f t="shared" si="226"/>
        <v>0</v>
      </c>
    </row>
    <row r="250" spans="1:111" s="247" customFormat="1" ht="50.1" customHeight="1" x14ac:dyDescent="0.25">
      <c r="A250" s="124" t="s">
        <v>245</v>
      </c>
      <c r="B250" s="124" t="s">
        <v>370</v>
      </c>
      <c r="C250" s="124" t="s">
        <v>216</v>
      </c>
      <c r="D250" s="125">
        <v>15555</v>
      </c>
      <c r="E250" s="124" t="s">
        <v>216</v>
      </c>
      <c r="F250" s="124" t="s">
        <v>295</v>
      </c>
      <c r="G250" s="124" t="s">
        <v>216</v>
      </c>
      <c r="H250" s="125" t="s">
        <v>244</v>
      </c>
      <c r="I250" s="255" t="s">
        <v>384</v>
      </c>
      <c r="J250" s="255" t="s">
        <v>378</v>
      </c>
      <c r="K250" s="256">
        <f t="shared" ref="K250:AB250" si="227">SUMIFS(K$253:K$255,$B$253:$B$255,"Сибирь")</f>
        <v>0</v>
      </c>
      <c r="L250" s="257">
        <f t="shared" si="227"/>
        <v>0</v>
      </c>
      <c r="M250" s="257">
        <f t="shared" si="227"/>
        <v>0</v>
      </c>
      <c r="N250" s="257">
        <f t="shared" si="227"/>
        <v>0</v>
      </c>
      <c r="O250" s="257">
        <f t="shared" si="227"/>
        <v>0</v>
      </c>
      <c r="P250" s="257">
        <f t="shared" si="227"/>
        <v>0</v>
      </c>
      <c r="Q250" s="257">
        <f t="shared" si="227"/>
        <v>0</v>
      </c>
      <c r="R250" s="257">
        <f t="shared" si="227"/>
        <v>0</v>
      </c>
      <c r="S250" s="257">
        <f t="shared" si="227"/>
        <v>0</v>
      </c>
      <c r="T250" s="257">
        <f t="shared" si="227"/>
        <v>0</v>
      </c>
      <c r="U250" s="257">
        <f t="shared" si="227"/>
        <v>0</v>
      </c>
      <c r="V250" s="257">
        <f t="shared" si="227"/>
        <v>0</v>
      </c>
      <c r="W250" s="257">
        <f t="shared" si="227"/>
        <v>0</v>
      </c>
      <c r="X250" s="257">
        <f t="shared" si="227"/>
        <v>0</v>
      </c>
      <c r="Y250" s="257">
        <f t="shared" si="227"/>
        <v>0</v>
      </c>
      <c r="Z250" s="257">
        <f t="shared" si="227"/>
        <v>0</v>
      </c>
      <c r="AA250" s="257">
        <f t="shared" si="227"/>
        <v>0</v>
      </c>
      <c r="AB250" s="257">
        <f t="shared" si="227"/>
        <v>0</v>
      </c>
    </row>
    <row r="251" spans="1:111" s="247" customFormat="1" ht="50.1" customHeight="1" x14ac:dyDescent="0.25">
      <c r="A251" s="124" t="s">
        <v>245</v>
      </c>
      <c r="B251" s="124" t="s">
        <v>367</v>
      </c>
      <c r="C251" s="124" t="s">
        <v>216</v>
      </c>
      <c r="D251" s="125">
        <v>15555</v>
      </c>
      <c r="E251" s="124" t="s">
        <v>216</v>
      </c>
      <c r="F251" s="124" t="s">
        <v>295</v>
      </c>
      <c r="G251" s="124" t="s">
        <v>216</v>
      </c>
      <c r="H251" s="125" t="s">
        <v>244</v>
      </c>
      <c r="I251" s="255" t="s">
        <v>385</v>
      </c>
      <c r="J251" s="255" t="s">
        <v>378</v>
      </c>
      <c r="K251" s="256">
        <f t="shared" ref="K251:AB251" si="228">SUMIFS(K$253:K$255,$B$253:$B$255,"ДАЛЬНИЙ")</f>
        <v>0</v>
      </c>
      <c r="L251" s="257">
        <f t="shared" si="228"/>
        <v>0</v>
      </c>
      <c r="M251" s="257">
        <f t="shared" si="228"/>
        <v>0</v>
      </c>
      <c r="N251" s="257">
        <f t="shared" si="228"/>
        <v>0</v>
      </c>
      <c r="O251" s="257">
        <f t="shared" si="228"/>
        <v>0</v>
      </c>
      <c r="P251" s="257">
        <f t="shared" si="228"/>
        <v>0</v>
      </c>
      <c r="Q251" s="257">
        <f t="shared" si="228"/>
        <v>0</v>
      </c>
      <c r="R251" s="257">
        <f t="shared" si="228"/>
        <v>0</v>
      </c>
      <c r="S251" s="257">
        <f t="shared" si="228"/>
        <v>0</v>
      </c>
      <c r="T251" s="257">
        <f t="shared" si="228"/>
        <v>0</v>
      </c>
      <c r="U251" s="257">
        <f t="shared" si="228"/>
        <v>0</v>
      </c>
      <c r="V251" s="257">
        <f t="shared" si="228"/>
        <v>0</v>
      </c>
      <c r="W251" s="257">
        <f t="shared" si="228"/>
        <v>0</v>
      </c>
      <c r="X251" s="257">
        <f t="shared" si="228"/>
        <v>0</v>
      </c>
      <c r="Y251" s="257">
        <f t="shared" si="228"/>
        <v>0</v>
      </c>
      <c r="Z251" s="257">
        <f t="shared" si="228"/>
        <v>0</v>
      </c>
      <c r="AA251" s="257">
        <f t="shared" si="228"/>
        <v>0</v>
      </c>
      <c r="AB251" s="257">
        <f t="shared" si="228"/>
        <v>0</v>
      </c>
    </row>
    <row r="252" spans="1:111" s="247" customFormat="1" ht="50.1" customHeight="1" x14ac:dyDescent="0.25">
      <c r="A252" s="124" t="s">
        <v>245</v>
      </c>
      <c r="B252" s="124" t="s">
        <v>230</v>
      </c>
      <c r="C252" s="124" t="s">
        <v>216</v>
      </c>
      <c r="D252" s="125">
        <v>15555</v>
      </c>
      <c r="E252" s="124" t="s">
        <v>216</v>
      </c>
      <c r="F252" s="124" t="s">
        <v>295</v>
      </c>
      <c r="G252" s="124" t="s">
        <v>216</v>
      </c>
      <c r="H252" s="125" t="s">
        <v>244</v>
      </c>
      <c r="I252" s="255" t="s">
        <v>386</v>
      </c>
      <c r="J252" s="255" t="s">
        <v>378</v>
      </c>
      <c r="K252" s="256">
        <f t="shared" ref="K252:AB252" si="229">SUMIFS(K$253:K$255,$B$253:$B$255,"ТО")</f>
        <v>0</v>
      </c>
      <c r="L252" s="257">
        <f t="shared" si="229"/>
        <v>0</v>
      </c>
      <c r="M252" s="257">
        <f t="shared" si="229"/>
        <v>0</v>
      </c>
      <c r="N252" s="257">
        <f t="shared" si="229"/>
        <v>0</v>
      </c>
      <c r="O252" s="257">
        <f t="shared" si="229"/>
        <v>0</v>
      </c>
      <c r="P252" s="257">
        <f t="shared" si="229"/>
        <v>0</v>
      </c>
      <c r="Q252" s="257">
        <f t="shared" si="229"/>
        <v>0</v>
      </c>
      <c r="R252" s="257">
        <f t="shared" si="229"/>
        <v>0</v>
      </c>
      <c r="S252" s="257">
        <f t="shared" si="229"/>
        <v>0</v>
      </c>
      <c r="T252" s="257">
        <f t="shared" si="229"/>
        <v>0</v>
      </c>
      <c r="U252" s="257">
        <f t="shared" si="229"/>
        <v>0</v>
      </c>
      <c r="V252" s="257">
        <f t="shared" si="229"/>
        <v>0</v>
      </c>
      <c r="W252" s="257">
        <f t="shared" si="229"/>
        <v>0</v>
      </c>
      <c r="X252" s="257">
        <f t="shared" si="229"/>
        <v>0</v>
      </c>
      <c r="Y252" s="257">
        <f t="shared" si="229"/>
        <v>0</v>
      </c>
      <c r="Z252" s="257">
        <f t="shared" si="229"/>
        <v>0</v>
      </c>
      <c r="AA252" s="257">
        <f t="shared" si="229"/>
        <v>0</v>
      </c>
      <c r="AB252" s="257">
        <f t="shared" si="229"/>
        <v>0</v>
      </c>
    </row>
    <row r="253" spans="1:111" s="247" customFormat="1" ht="18.75" customHeight="1" x14ac:dyDescent="0.25">
      <c r="A253" s="131" t="s">
        <v>205</v>
      </c>
      <c r="B253" s="131" t="s">
        <v>205</v>
      </c>
      <c r="C253" s="131" t="s">
        <v>205</v>
      </c>
      <c r="D253" s="131" t="s">
        <v>205</v>
      </c>
      <c r="E253" s="131" t="s">
        <v>205</v>
      </c>
      <c r="F253" s="131" t="s">
        <v>205</v>
      </c>
      <c r="G253" s="131" t="s">
        <v>205</v>
      </c>
      <c r="H253" s="119" t="s">
        <v>205</v>
      </c>
      <c r="I253" s="132" t="s">
        <v>205</v>
      </c>
      <c r="J253" s="132" t="s">
        <v>205</v>
      </c>
      <c r="K253" s="246" t="s">
        <v>205</v>
      </c>
      <c r="L253" s="133" t="s">
        <v>205</v>
      </c>
      <c r="M253" s="128" t="s">
        <v>205</v>
      </c>
      <c r="N253" s="128" t="s">
        <v>205</v>
      </c>
      <c r="O253" s="128" t="s">
        <v>205</v>
      </c>
      <c r="P253" s="128" t="s">
        <v>205</v>
      </c>
      <c r="Q253" s="128" t="s">
        <v>205</v>
      </c>
      <c r="R253" s="128" t="s">
        <v>205</v>
      </c>
      <c r="S253" s="128" t="s">
        <v>205</v>
      </c>
      <c r="T253" s="128" t="s">
        <v>205</v>
      </c>
      <c r="U253" s="128" t="s">
        <v>205</v>
      </c>
      <c r="V253" s="128" t="s">
        <v>205</v>
      </c>
      <c r="W253" s="128" t="s">
        <v>205</v>
      </c>
      <c r="X253" s="128" t="s">
        <v>205</v>
      </c>
      <c r="Y253" s="128" t="s">
        <v>205</v>
      </c>
      <c r="Z253" s="133" t="s">
        <v>205</v>
      </c>
      <c r="AA253" s="133" t="s">
        <v>205</v>
      </c>
      <c r="AB253" s="128" t="s">
        <v>205</v>
      </c>
    </row>
    <row r="254" spans="1:111" s="190" customFormat="1" ht="153.75" customHeight="1" x14ac:dyDescent="0.25">
      <c r="A254" s="119" t="s">
        <v>344</v>
      </c>
      <c r="B254" s="119" t="s">
        <v>355</v>
      </c>
      <c r="C254" s="119" t="s">
        <v>285</v>
      </c>
      <c r="D254" s="119">
        <v>15555</v>
      </c>
      <c r="E254" s="119" t="s">
        <v>218</v>
      </c>
      <c r="F254" s="119" t="s">
        <v>295</v>
      </c>
      <c r="G254" s="119" t="s">
        <v>320</v>
      </c>
      <c r="H254" s="174" t="s">
        <v>243</v>
      </c>
      <c r="I254" s="172">
        <v>12563</v>
      </c>
      <c r="J254" s="263"/>
      <c r="K254" s="186"/>
      <c r="L254" s="187">
        <v>10000</v>
      </c>
      <c r="M254" s="181">
        <v>200</v>
      </c>
      <c r="N254" s="181">
        <v>100</v>
      </c>
      <c r="O254" s="181"/>
      <c r="P254" s="181"/>
      <c r="Q254" s="181"/>
      <c r="R254" s="181"/>
      <c r="S254" s="181"/>
      <c r="T254" s="181"/>
      <c r="U254" s="181"/>
      <c r="V254" s="181"/>
      <c r="W254" s="181"/>
      <c r="X254" s="181"/>
      <c r="Y254" s="181">
        <f>SUBTOTAL(9,M254:X254)</f>
        <v>300</v>
      </c>
      <c r="Z254" s="188"/>
      <c r="AA254" s="188"/>
      <c r="AB254" s="187">
        <f>SUM(Y254:AA254)</f>
        <v>300</v>
      </c>
      <c r="AC254" s="189"/>
      <c r="AD254" s="189"/>
      <c r="AE254" s="189"/>
      <c r="AF254" s="189"/>
      <c r="AG254" s="189"/>
      <c r="AH254" s="189"/>
      <c r="AI254" s="189"/>
      <c r="AJ254" s="189"/>
      <c r="AK254" s="189"/>
      <c r="AL254" s="189"/>
      <c r="AM254" s="189"/>
      <c r="AN254" s="189"/>
      <c r="AO254" s="189"/>
      <c r="AP254" s="189"/>
      <c r="AQ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89"/>
      <c r="BQ254" s="189"/>
      <c r="BR254" s="189"/>
      <c r="BS254" s="189"/>
      <c r="BT254" s="189"/>
      <c r="BU254" s="189"/>
      <c r="BV254" s="189"/>
      <c r="BW254" s="189"/>
      <c r="BX254" s="189"/>
      <c r="BY254" s="189"/>
      <c r="BZ254" s="189"/>
      <c r="CA254" s="189"/>
      <c r="CB254" s="189"/>
      <c r="CC254" s="189"/>
      <c r="CD254" s="189"/>
      <c r="CE254" s="189"/>
      <c r="CF254" s="189"/>
      <c r="CG254" s="189"/>
      <c r="CH254" s="189"/>
      <c r="CI254" s="189"/>
      <c r="CJ254" s="189"/>
      <c r="CK254" s="189"/>
      <c r="CL254" s="189"/>
      <c r="CM254" s="189"/>
      <c r="CN254" s="189"/>
      <c r="CO254" s="189"/>
      <c r="CP254" s="189"/>
      <c r="CQ254" s="189"/>
      <c r="CR254" s="189"/>
      <c r="CS254" s="189"/>
      <c r="CT254" s="189"/>
      <c r="CU254" s="189"/>
      <c r="CV254" s="189"/>
      <c r="CW254" s="189"/>
      <c r="CX254" s="189"/>
      <c r="CY254" s="189"/>
      <c r="CZ254" s="189"/>
      <c r="DA254" s="189"/>
      <c r="DB254" s="189"/>
      <c r="DC254" s="189"/>
      <c r="DD254" s="189"/>
      <c r="DE254" s="189"/>
      <c r="DF254" s="189"/>
      <c r="DG254" s="189"/>
    </row>
    <row r="255" spans="1:111" s="247" customFormat="1" ht="20.25" customHeight="1" x14ac:dyDescent="0.25">
      <c r="A255" s="131" t="s">
        <v>205</v>
      </c>
      <c r="B255" s="131" t="s">
        <v>205</v>
      </c>
      <c r="C255" s="131" t="s">
        <v>205</v>
      </c>
      <c r="D255" s="131" t="s">
        <v>205</v>
      </c>
      <c r="E255" s="131" t="s">
        <v>205</v>
      </c>
      <c r="F255" s="131" t="s">
        <v>205</v>
      </c>
      <c r="G255" s="131" t="s">
        <v>205</v>
      </c>
      <c r="H255" s="119" t="s">
        <v>205</v>
      </c>
      <c r="I255" s="132" t="s">
        <v>205</v>
      </c>
      <c r="J255" s="132" t="s">
        <v>205</v>
      </c>
      <c r="K255" s="246" t="s">
        <v>205</v>
      </c>
      <c r="L255" s="133" t="s">
        <v>205</v>
      </c>
      <c r="M255" s="128" t="s">
        <v>205</v>
      </c>
      <c r="N255" s="128" t="s">
        <v>205</v>
      </c>
      <c r="O255" s="128" t="s">
        <v>205</v>
      </c>
      <c r="P255" s="128" t="s">
        <v>205</v>
      </c>
      <c r="Q255" s="128" t="s">
        <v>205</v>
      </c>
      <c r="R255" s="128" t="s">
        <v>205</v>
      </c>
      <c r="S255" s="128" t="s">
        <v>205</v>
      </c>
      <c r="T255" s="128" t="s">
        <v>205</v>
      </c>
      <c r="U255" s="128" t="s">
        <v>205</v>
      </c>
      <c r="V255" s="128" t="s">
        <v>205</v>
      </c>
      <c r="W255" s="128" t="s">
        <v>205</v>
      </c>
      <c r="X255" s="128" t="s">
        <v>205</v>
      </c>
      <c r="Y255" s="128" t="s">
        <v>205</v>
      </c>
      <c r="Z255" s="133" t="s">
        <v>205</v>
      </c>
      <c r="AA255" s="133" t="s">
        <v>205</v>
      </c>
      <c r="AB255" s="128" t="s">
        <v>205</v>
      </c>
    </row>
    <row r="256" spans="1:111" ht="20.25" x14ac:dyDescent="0.25">
      <c r="A256" s="185" t="s">
        <v>274</v>
      </c>
      <c r="B256" s="131" t="s">
        <v>216</v>
      </c>
      <c r="C256" s="131" t="s">
        <v>216</v>
      </c>
      <c r="D256" s="131">
        <v>14949</v>
      </c>
      <c r="E256" s="131" t="s">
        <v>216</v>
      </c>
      <c r="F256" s="131" t="s">
        <v>275</v>
      </c>
      <c r="G256" s="131" t="s">
        <v>216</v>
      </c>
      <c r="H256" s="174" t="s">
        <v>269</v>
      </c>
      <c r="I256" s="175" t="s">
        <v>379</v>
      </c>
      <c r="J256" s="245"/>
      <c r="K256" s="176">
        <f t="shared" ref="K256:AB256" si="230">SUMIF($A$266:$A$268,"ИТОГ ОСНОВНОЙ",K$266:K$268)</f>
        <v>0</v>
      </c>
      <c r="L256" s="177">
        <f t="shared" si="230"/>
        <v>12000</v>
      </c>
      <c r="M256" s="177">
        <f t="shared" si="230"/>
        <v>100</v>
      </c>
      <c r="N256" s="177">
        <f t="shared" si="230"/>
        <v>150</v>
      </c>
      <c r="O256" s="177">
        <f t="shared" si="230"/>
        <v>180</v>
      </c>
      <c r="P256" s="177">
        <f t="shared" si="230"/>
        <v>0</v>
      </c>
      <c r="Q256" s="177">
        <f t="shared" si="230"/>
        <v>0</v>
      </c>
      <c r="R256" s="177">
        <f t="shared" si="230"/>
        <v>0</v>
      </c>
      <c r="S256" s="177">
        <f t="shared" si="230"/>
        <v>0</v>
      </c>
      <c r="T256" s="177">
        <f t="shared" si="230"/>
        <v>0</v>
      </c>
      <c r="U256" s="177">
        <f t="shared" si="230"/>
        <v>0</v>
      </c>
      <c r="V256" s="177">
        <f t="shared" si="230"/>
        <v>0</v>
      </c>
      <c r="W256" s="177">
        <f t="shared" si="230"/>
        <v>0</v>
      </c>
      <c r="X256" s="177">
        <f t="shared" si="230"/>
        <v>0</v>
      </c>
      <c r="Y256" s="177">
        <f t="shared" si="230"/>
        <v>430</v>
      </c>
      <c r="Z256" s="177">
        <f t="shared" si="230"/>
        <v>0</v>
      </c>
      <c r="AA256" s="177">
        <f t="shared" si="230"/>
        <v>0</v>
      </c>
      <c r="AB256" s="177">
        <f t="shared" si="230"/>
        <v>430</v>
      </c>
    </row>
    <row r="257" spans="1:111" s="247" customFormat="1" ht="18.75" customHeight="1" x14ac:dyDescent="0.25">
      <c r="A257" s="131" t="s">
        <v>205</v>
      </c>
      <c r="B257" s="131" t="s">
        <v>205</v>
      </c>
      <c r="C257" s="131" t="s">
        <v>205</v>
      </c>
      <c r="D257" s="131" t="s">
        <v>205</v>
      </c>
      <c r="E257" s="131" t="s">
        <v>205</v>
      </c>
      <c r="F257" s="131" t="s">
        <v>205</v>
      </c>
      <c r="G257" s="131" t="s">
        <v>205</v>
      </c>
      <c r="H257" s="119" t="s">
        <v>205</v>
      </c>
      <c r="I257" s="132" t="s">
        <v>205</v>
      </c>
      <c r="J257" s="132" t="s">
        <v>205</v>
      </c>
      <c r="K257" s="246">
        <f>K256-SUM(K258:K265)</f>
        <v>0</v>
      </c>
      <c r="L257" s="133">
        <f>L256-SUM(L258:L265)</f>
        <v>0</v>
      </c>
      <c r="M257" s="128">
        <f>M256-SUM(M258:M265)</f>
        <v>0</v>
      </c>
      <c r="N257" s="128">
        <f t="shared" ref="N257:T257" si="231">N256-SUM(N258:N265)</f>
        <v>0</v>
      </c>
      <c r="O257" s="128">
        <f t="shared" si="231"/>
        <v>0</v>
      </c>
      <c r="P257" s="128">
        <f>P256-SUM(P258:P265)</f>
        <v>0</v>
      </c>
      <c r="Q257" s="128">
        <f>Q256-SUM(Q258:Q265)</f>
        <v>0</v>
      </c>
      <c r="R257" s="128">
        <f>R256-SUM(R258:R265)</f>
        <v>0</v>
      </c>
      <c r="S257" s="128">
        <f>S256-SUM(S258:S265)</f>
        <v>0</v>
      </c>
      <c r="T257" s="128">
        <f t="shared" si="231"/>
        <v>0</v>
      </c>
      <c r="U257" s="128">
        <f t="shared" ref="U257:AB257" si="232">U256-SUM(U258:U265)</f>
        <v>0</v>
      </c>
      <c r="V257" s="128">
        <f t="shared" si="232"/>
        <v>0</v>
      </c>
      <c r="W257" s="128">
        <f t="shared" si="232"/>
        <v>0</v>
      </c>
      <c r="X257" s="128">
        <f t="shared" si="232"/>
        <v>0</v>
      </c>
      <c r="Y257" s="128">
        <f t="shared" si="232"/>
        <v>0</v>
      </c>
      <c r="Z257" s="133">
        <f t="shared" si="232"/>
        <v>0</v>
      </c>
      <c r="AA257" s="133">
        <f t="shared" si="232"/>
        <v>0</v>
      </c>
      <c r="AB257" s="128">
        <f t="shared" si="232"/>
        <v>0</v>
      </c>
    </row>
    <row r="258" spans="1:111" s="247" customFormat="1" ht="50.1" customHeight="1" x14ac:dyDescent="0.25">
      <c r="A258" s="124" t="s">
        <v>245</v>
      </c>
      <c r="B258" s="124" t="s">
        <v>348</v>
      </c>
      <c r="C258" s="124" t="s">
        <v>216</v>
      </c>
      <c r="D258" s="125">
        <v>14949</v>
      </c>
      <c r="E258" s="124" t="s">
        <v>216</v>
      </c>
      <c r="F258" s="124" t="s">
        <v>295</v>
      </c>
      <c r="G258" s="124" t="s">
        <v>216</v>
      </c>
      <c r="H258" s="125" t="s">
        <v>244</v>
      </c>
      <c r="I258" s="255" t="s">
        <v>349</v>
      </c>
      <c r="J258" s="255">
        <v>14949</v>
      </c>
      <c r="K258" s="256">
        <f t="shared" ref="K258:AB258" si="233">SUMIFS(K$266:K$268,$B$266:$B$268,"ЦЕНТР")</f>
        <v>0</v>
      </c>
      <c r="L258" s="257">
        <f t="shared" si="233"/>
        <v>0</v>
      </c>
      <c r="M258" s="257">
        <f t="shared" si="233"/>
        <v>0</v>
      </c>
      <c r="N258" s="257">
        <f t="shared" si="233"/>
        <v>0</v>
      </c>
      <c r="O258" s="257">
        <f t="shared" si="233"/>
        <v>0</v>
      </c>
      <c r="P258" s="257">
        <f t="shared" si="233"/>
        <v>0</v>
      </c>
      <c r="Q258" s="257">
        <f t="shared" si="233"/>
        <v>0</v>
      </c>
      <c r="R258" s="257">
        <f t="shared" si="233"/>
        <v>0</v>
      </c>
      <c r="S258" s="257">
        <f t="shared" si="233"/>
        <v>0</v>
      </c>
      <c r="T258" s="257">
        <f t="shared" si="233"/>
        <v>0</v>
      </c>
      <c r="U258" s="257">
        <f t="shared" si="233"/>
        <v>0</v>
      </c>
      <c r="V258" s="257">
        <f t="shared" si="233"/>
        <v>0</v>
      </c>
      <c r="W258" s="257">
        <f t="shared" si="233"/>
        <v>0</v>
      </c>
      <c r="X258" s="257">
        <f t="shared" si="233"/>
        <v>0</v>
      </c>
      <c r="Y258" s="257">
        <f t="shared" si="233"/>
        <v>0</v>
      </c>
      <c r="Z258" s="257">
        <f t="shared" si="233"/>
        <v>0</v>
      </c>
      <c r="AA258" s="257">
        <f t="shared" si="233"/>
        <v>0</v>
      </c>
      <c r="AB258" s="257">
        <f t="shared" si="233"/>
        <v>0</v>
      </c>
    </row>
    <row r="259" spans="1:111" s="247" customFormat="1" ht="50.1" customHeight="1" x14ac:dyDescent="0.25">
      <c r="A259" s="124" t="s">
        <v>245</v>
      </c>
      <c r="B259" s="124" t="s">
        <v>345</v>
      </c>
      <c r="C259" s="124" t="s">
        <v>216</v>
      </c>
      <c r="D259" s="125">
        <v>14949</v>
      </c>
      <c r="E259" s="124" t="s">
        <v>216</v>
      </c>
      <c r="F259" s="124" t="s">
        <v>295</v>
      </c>
      <c r="G259" s="124" t="s">
        <v>216</v>
      </c>
      <c r="H259" s="125" t="s">
        <v>244</v>
      </c>
      <c r="I259" s="255" t="s">
        <v>380</v>
      </c>
      <c r="J259" s="255">
        <v>14949</v>
      </c>
      <c r="K259" s="256">
        <f t="shared" ref="K259:AB259" si="234">SUMIFS(K$266:K$268,$B$266:$B$268,"СЕВЕР")</f>
        <v>0</v>
      </c>
      <c r="L259" s="257">
        <f t="shared" si="234"/>
        <v>0</v>
      </c>
      <c r="M259" s="257">
        <f t="shared" si="234"/>
        <v>0</v>
      </c>
      <c r="N259" s="257">
        <f t="shared" si="234"/>
        <v>0</v>
      </c>
      <c r="O259" s="257">
        <f t="shared" si="234"/>
        <v>0</v>
      </c>
      <c r="P259" s="257">
        <f t="shared" si="234"/>
        <v>0</v>
      </c>
      <c r="Q259" s="257">
        <f t="shared" si="234"/>
        <v>0</v>
      </c>
      <c r="R259" s="257">
        <f t="shared" si="234"/>
        <v>0</v>
      </c>
      <c r="S259" s="257">
        <f t="shared" si="234"/>
        <v>0</v>
      </c>
      <c r="T259" s="257">
        <f t="shared" si="234"/>
        <v>0</v>
      </c>
      <c r="U259" s="257">
        <f t="shared" si="234"/>
        <v>0</v>
      </c>
      <c r="V259" s="257">
        <f t="shared" si="234"/>
        <v>0</v>
      </c>
      <c r="W259" s="257">
        <f t="shared" si="234"/>
        <v>0</v>
      </c>
      <c r="X259" s="257">
        <f t="shared" si="234"/>
        <v>0</v>
      </c>
      <c r="Y259" s="257">
        <f t="shared" si="234"/>
        <v>0</v>
      </c>
      <c r="Z259" s="257">
        <f t="shared" si="234"/>
        <v>0</v>
      </c>
      <c r="AA259" s="257">
        <f t="shared" si="234"/>
        <v>0</v>
      </c>
      <c r="AB259" s="257">
        <f t="shared" si="234"/>
        <v>0</v>
      </c>
    </row>
    <row r="260" spans="1:111" s="247" customFormat="1" ht="50.1" customHeight="1" x14ac:dyDescent="0.25">
      <c r="A260" s="124" t="s">
        <v>245</v>
      </c>
      <c r="B260" s="124" t="s">
        <v>352</v>
      </c>
      <c r="C260" s="124" t="s">
        <v>216</v>
      </c>
      <c r="D260" s="125">
        <v>14949</v>
      </c>
      <c r="E260" s="124" t="s">
        <v>216</v>
      </c>
      <c r="F260" s="124" t="s">
        <v>295</v>
      </c>
      <c r="G260" s="124" t="s">
        <v>216</v>
      </c>
      <c r="H260" s="125" t="s">
        <v>244</v>
      </c>
      <c r="I260" s="255" t="s">
        <v>381</v>
      </c>
      <c r="J260" s="255">
        <v>14949</v>
      </c>
      <c r="K260" s="256">
        <f t="shared" ref="K260:AB260" si="235">SUMIFS(K$266:K$268,$B$266:$B$268,"ПРиволжье")</f>
        <v>0</v>
      </c>
      <c r="L260" s="257">
        <f t="shared" si="235"/>
        <v>0</v>
      </c>
      <c r="M260" s="257">
        <f t="shared" si="235"/>
        <v>0</v>
      </c>
      <c r="N260" s="257">
        <f t="shared" si="235"/>
        <v>0</v>
      </c>
      <c r="O260" s="257">
        <f t="shared" si="235"/>
        <v>0</v>
      </c>
      <c r="P260" s="257">
        <f t="shared" si="235"/>
        <v>0</v>
      </c>
      <c r="Q260" s="257">
        <f t="shared" si="235"/>
        <v>0</v>
      </c>
      <c r="R260" s="257">
        <f t="shared" si="235"/>
        <v>0</v>
      </c>
      <c r="S260" s="257">
        <f t="shared" si="235"/>
        <v>0</v>
      </c>
      <c r="T260" s="257">
        <f t="shared" si="235"/>
        <v>0</v>
      </c>
      <c r="U260" s="257">
        <f t="shared" si="235"/>
        <v>0</v>
      </c>
      <c r="V260" s="257">
        <f t="shared" si="235"/>
        <v>0</v>
      </c>
      <c r="W260" s="257">
        <f t="shared" si="235"/>
        <v>0</v>
      </c>
      <c r="X260" s="257">
        <f t="shared" si="235"/>
        <v>0</v>
      </c>
      <c r="Y260" s="257">
        <f t="shared" si="235"/>
        <v>0</v>
      </c>
      <c r="Z260" s="257">
        <f t="shared" si="235"/>
        <v>0</v>
      </c>
      <c r="AA260" s="257">
        <f t="shared" si="235"/>
        <v>0</v>
      </c>
      <c r="AB260" s="257">
        <f t="shared" si="235"/>
        <v>0</v>
      </c>
    </row>
    <row r="261" spans="1:111" s="247" customFormat="1" ht="50.1" customHeight="1" x14ac:dyDescent="0.25">
      <c r="A261" s="124" t="s">
        <v>245</v>
      </c>
      <c r="B261" s="124" t="s">
        <v>355</v>
      </c>
      <c r="C261" s="124" t="s">
        <v>216</v>
      </c>
      <c r="D261" s="125">
        <v>14949</v>
      </c>
      <c r="E261" s="124" t="s">
        <v>216</v>
      </c>
      <c r="F261" s="124" t="s">
        <v>295</v>
      </c>
      <c r="G261" s="124" t="s">
        <v>216</v>
      </c>
      <c r="H261" s="125" t="s">
        <v>244</v>
      </c>
      <c r="I261" s="255" t="s">
        <v>382</v>
      </c>
      <c r="J261" s="255">
        <v>14949</v>
      </c>
      <c r="K261" s="256">
        <f t="shared" ref="K261:AB261" si="236">SUMIFS(K$266:K$268,$B$266:$B$268,"ЮГ")</f>
        <v>0</v>
      </c>
      <c r="L261" s="257">
        <f t="shared" si="236"/>
        <v>0</v>
      </c>
      <c r="M261" s="257">
        <f t="shared" si="236"/>
        <v>0</v>
      </c>
      <c r="N261" s="257">
        <f t="shared" si="236"/>
        <v>0</v>
      </c>
      <c r="O261" s="257">
        <f t="shared" si="236"/>
        <v>0</v>
      </c>
      <c r="P261" s="257">
        <f t="shared" si="236"/>
        <v>0</v>
      </c>
      <c r="Q261" s="257">
        <f t="shared" si="236"/>
        <v>0</v>
      </c>
      <c r="R261" s="257">
        <f t="shared" si="236"/>
        <v>0</v>
      </c>
      <c r="S261" s="257">
        <f t="shared" si="236"/>
        <v>0</v>
      </c>
      <c r="T261" s="257">
        <f t="shared" si="236"/>
        <v>0</v>
      </c>
      <c r="U261" s="257">
        <f t="shared" si="236"/>
        <v>0</v>
      </c>
      <c r="V261" s="257">
        <f t="shared" si="236"/>
        <v>0</v>
      </c>
      <c r="W261" s="257">
        <f t="shared" si="236"/>
        <v>0</v>
      </c>
      <c r="X261" s="257">
        <f t="shared" si="236"/>
        <v>0</v>
      </c>
      <c r="Y261" s="257">
        <f t="shared" si="236"/>
        <v>0</v>
      </c>
      <c r="Z261" s="257">
        <f t="shared" si="236"/>
        <v>0</v>
      </c>
      <c r="AA261" s="257">
        <f t="shared" si="236"/>
        <v>0</v>
      </c>
      <c r="AB261" s="257">
        <f t="shared" si="236"/>
        <v>0</v>
      </c>
    </row>
    <row r="262" spans="1:111" s="247" customFormat="1" ht="50.1" customHeight="1" x14ac:dyDescent="0.25">
      <c r="A262" s="124" t="s">
        <v>245</v>
      </c>
      <c r="B262" s="124" t="s">
        <v>358</v>
      </c>
      <c r="C262" s="124" t="s">
        <v>216</v>
      </c>
      <c r="D262" s="125">
        <v>14949</v>
      </c>
      <c r="E262" s="124" t="s">
        <v>216</v>
      </c>
      <c r="F262" s="124" t="s">
        <v>295</v>
      </c>
      <c r="G262" s="124" t="s">
        <v>216</v>
      </c>
      <c r="H262" s="125" t="s">
        <v>244</v>
      </c>
      <c r="I262" s="255" t="s">
        <v>383</v>
      </c>
      <c r="J262" s="255">
        <v>14949</v>
      </c>
      <c r="K262" s="256">
        <f t="shared" ref="K262:AB262" si="237">SUMIFS(K$266:K$268,$B$266:$B$268,"Урал")</f>
        <v>0</v>
      </c>
      <c r="L262" s="257">
        <f t="shared" si="237"/>
        <v>12000</v>
      </c>
      <c r="M262" s="257">
        <f t="shared" si="237"/>
        <v>100</v>
      </c>
      <c r="N262" s="257">
        <f t="shared" si="237"/>
        <v>150</v>
      </c>
      <c r="O262" s="257">
        <f t="shared" si="237"/>
        <v>180</v>
      </c>
      <c r="P262" s="257">
        <f t="shared" si="237"/>
        <v>0</v>
      </c>
      <c r="Q262" s="257">
        <f t="shared" si="237"/>
        <v>0</v>
      </c>
      <c r="R262" s="257">
        <f t="shared" si="237"/>
        <v>0</v>
      </c>
      <c r="S262" s="257">
        <f t="shared" si="237"/>
        <v>0</v>
      </c>
      <c r="T262" s="257">
        <f t="shared" si="237"/>
        <v>0</v>
      </c>
      <c r="U262" s="257">
        <f t="shared" si="237"/>
        <v>0</v>
      </c>
      <c r="V262" s="257">
        <f t="shared" si="237"/>
        <v>0</v>
      </c>
      <c r="W262" s="257">
        <f t="shared" si="237"/>
        <v>0</v>
      </c>
      <c r="X262" s="257">
        <f t="shared" si="237"/>
        <v>0</v>
      </c>
      <c r="Y262" s="257">
        <f t="shared" si="237"/>
        <v>430</v>
      </c>
      <c r="Z262" s="257">
        <f t="shared" si="237"/>
        <v>0</v>
      </c>
      <c r="AA262" s="257">
        <f t="shared" si="237"/>
        <v>0</v>
      </c>
      <c r="AB262" s="257">
        <f t="shared" si="237"/>
        <v>430</v>
      </c>
      <c r="AC262" s="262"/>
      <c r="AD262" s="262"/>
      <c r="AE262" s="262"/>
      <c r="AF262" s="262"/>
      <c r="AG262" s="262"/>
      <c r="AH262" s="262"/>
      <c r="AI262" s="262"/>
      <c r="AJ262" s="262"/>
      <c r="AK262" s="262"/>
      <c r="AL262" s="262"/>
      <c r="AM262" s="262"/>
      <c r="AN262" s="262"/>
      <c r="AO262" s="262"/>
      <c r="AP262" s="262"/>
      <c r="AQ262" s="262"/>
      <c r="AR262" s="262"/>
      <c r="AS262" s="262"/>
      <c r="AT262" s="262"/>
      <c r="AU262" s="262"/>
      <c r="AV262" s="262"/>
      <c r="AW262" s="262"/>
      <c r="AX262" s="262"/>
      <c r="AY262" s="262"/>
      <c r="AZ262" s="262"/>
      <c r="BA262" s="262"/>
      <c r="BB262" s="262"/>
      <c r="BC262" s="262"/>
      <c r="BD262" s="262"/>
      <c r="BE262" s="262"/>
      <c r="BF262" s="262"/>
      <c r="BG262" s="262"/>
      <c r="BH262" s="262"/>
      <c r="BI262" s="262"/>
      <c r="BJ262" s="262"/>
      <c r="BK262" s="262"/>
      <c r="BL262" s="262"/>
      <c r="BM262" s="262"/>
      <c r="BN262" s="262"/>
      <c r="BO262" s="262"/>
      <c r="BP262" s="262"/>
      <c r="BQ262" s="262"/>
      <c r="BR262" s="262"/>
      <c r="BS262" s="262"/>
      <c r="BT262" s="262"/>
      <c r="BU262" s="262"/>
      <c r="BV262" s="262"/>
      <c r="BW262" s="262"/>
      <c r="BX262" s="262"/>
      <c r="BY262" s="262"/>
      <c r="BZ262" s="262"/>
      <c r="CA262" s="262"/>
      <c r="CB262" s="262"/>
      <c r="CC262" s="262"/>
      <c r="CD262" s="262"/>
      <c r="CE262" s="262"/>
      <c r="CF262" s="262"/>
      <c r="CG262" s="262"/>
      <c r="CH262" s="262"/>
      <c r="CI262" s="262"/>
      <c r="CJ262" s="262"/>
      <c r="CK262" s="262"/>
      <c r="CL262" s="262"/>
      <c r="CM262" s="262"/>
      <c r="CN262" s="262"/>
      <c r="CO262" s="262"/>
      <c r="CP262" s="262"/>
      <c r="CQ262" s="262"/>
      <c r="CR262" s="262"/>
      <c r="CS262" s="262"/>
      <c r="CT262" s="262"/>
      <c r="CU262" s="262"/>
      <c r="CV262" s="262"/>
      <c r="CW262" s="262"/>
      <c r="CX262" s="262"/>
      <c r="CY262" s="262"/>
      <c r="CZ262" s="262"/>
      <c r="DA262" s="262"/>
      <c r="DB262" s="262"/>
      <c r="DC262" s="262"/>
      <c r="DD262" s="262"/>
      <c r="DE262" s="262"/>
      <c r="DF262" s="262"/>
      <c r="DG262" s="262"/>
    </row>
    <row r="263" spans="1:111" s="247" customFormat="1" ht="50.1" customHeight="1" x14ac:dyDescent="0.25">
      <c r="A263" s="124" t="s">
        <v>245</v>
      </c>
      <c r="B263" s="124" t="s">
        <v>370</v>
      </c>
      <c r="C263" s="124" t="s">
        <v>216</v>
      </c>
      <c r="D263" s="125">
        <v>14949</v>
      </c>
      <c r="E263" s="124" t="s">
        <v>216</v>
      </c>
      <c r="F263" s="124" t="s">
        <v>295</v>
      </c>
      <c r="G263" s="124" t="s">
        <v>216</v>
      </c>
      <c r="H263" s="125" t="s">
        <v>244</v>
      </c>
      <c r="I263" s="255" t="s">
        <v>384</v>
      </c>
      <c r="J263" s="255">
        <v>14949</v>
      </c>
      <c r="K263" s="256">
        <f t="shared" ref="K263:AB263" si="238">SUMIFS(K$266:K$268,$B$266:$B$268,"Сибирь")</f>
        <v>0</v>
      </c>
      <c r="L263" s="257">
        <f t="shared" si="238"/>
        <v>0</v>
      </c>
      <c r="M263" s="257">
        <f t="shared" si="238"/>
        <v>0</v>
      </c>
      <c r="N263" s="257">
        <f t="shared" si="238"/>
        <v>0</v>
      </c>
      <c r="O263" s="257">
        <f t="shared" si="238"/>
        <v>0</v>
      </c>
      <c r="P263" s="257">
        <f t="shared" si="238"/>
        <v>0</v>
      </c>
      <c r="Q263" s="257">
        <f t="shared" si="238"/>
        <v>0</v>
      </c>
      <c r="R263" s="257">
        <f t="shared" si="238"/>
        <v>0</v>
      </c>
      <c r="S263" s="257">
        <f t="shared" si="238"/>
        <v>0</v>
      </c>
      <c r="T263" s="257">
        <f t="shared" si="238"/>
        <v>0</v>
      </c>
      <c r="U263" s="257">
        <f t="shared" si="238"/>
        <v>0</v>
      </c>
      <c r="V263" s="257">
        <f t="shared" si="238"/>
        <v>0</v>
      </c>
      <c r="W263" s="257">
        <f t="shared" si="238"/>
        <v>0</v>
      </c>
      <c r="X263" s="257">
        <f t="shared" si="238"/>
        <v>0</v>
      </c>
      <c r="Y263" s="257">
        <f t="shared" si="238"/>
        <v>0</v>
      </c>
      <c r="Z263" s="257">
        <f t="shared" si="238"/>
        <v>0</v>
      </c>
      <c r="AA263" s="257">
        <f t="shared" si="238"/>
        <v>0</v>
      </c>
      <c r="AB263" s="257">
        <f t="shared" si="238"/>
        <v>0</v>
      </c>
    </row>
    <row r="264" spans="1:111" s="247" customFormat="1" ht="50.1" customHeight="1" x14ac:dyDescent="0.25">
      <c r="A264" s="124" t="s">
        <v>245</v>
      </c>
      <c r="B264" s="124" t="s">
        <v>367</v>
      </c>
      <c r="C264" s="124" t="s">
        <v>216</v>
      </c>
      <c r="D264" s="125">
        <v>14949</v>
      </c>
      <c r="E264" s="124" t="s">
        <v>216</v>
      </c>
      <c r="F264" s="124" t="s">
        <v>295</v>
      </c>
      <c r="G264" s="124" t="s">
        <v>216</v>
      </c>
      <c r="H264" s="125" t="s">
        <v>244</v>
      </c>
      <c r="I264" s="255" t="s">
        <v>385</v>
      </c>
      <c r="J264" s="255">
        <v>14949</v>
      </c>
      <c r="K264" s="256">
        <f t="shared" ref="K264:AB264" si="239">SUMIFS(K$266:K$268,$B$266:$B$268,"ДАЛЬНИЙ")</f>
        <v>0</v>
      </c>
      <c r="L264" s="257">
        <f t="shared" si="239"/>
        <v>0</v>
      </c>
      <c r="M264" s="257">
        <f t="shared" si="239"/>
        <v>0</v>
      </c>
      <c r="N264" s="257">
        <f t="shared" si="239"/>
        <v>0</v>
      </c>
      <c r="O264" s="257">
        <f t="shared" si="239"/>
        <v>0</v>
      </c>
      <c r="P264" s="257">
        <f t="shared" si="239"/>
        <v>0</v>
      </c>
      <c r="Q264" s="257">
        <f t="shared" si="239"/>
        <v>0</v>
      </c>
      <c r="R264" s="257">
        <f t="shared" si="239"/>
        <v>0</v>
      </c>
      <c r="S264" s="257">
        <f t="shared" si="239"/>
        <v>0</v>
      </c>
      <c r="T264" s="257">
        <f t="shared" si="239"/>
        <v>0</v>
      </c>
      <c r="U264" s="257">
        <f t="shared" si="239"/>
        <v>0</v>
      </c>
      <c r="V264" s="257">
        <f t="shared" si="239"/>
        <v>0</v>
      </c>
      <c r="W264" s="257">
        <f t="shared" si="239"/>
        <v>0</v>
      </c>
      <c r="X264" s="257">
        <f t="shared" si="239"/>
        <v>0</v>
      </c>
      <c r="Y264" s="257">
        <f t="shared" si="239"/>
        <v>0</v>
      </c>
      <c r="Z264" s="257">
        <f t="shared" si="239"/>
        <v>0</v>
      </c>
      <c r="AA264" s="257">
        <f t="shared" si="239"/>
        <v>0</v>
      </c>
      <c r="AB264" s="257">
        <f t="shared" si="239"/>
        <v>0</v>
      </c>
    </row>
    <row r="265" spans="1:111" s="247" customFormat="1" ht="50.1" customHeight="1" x14ac:dyDescent="0.25">
      <c r="A265" s="124" t="s">
        <v>245</v>
      </c>
      <c r="B265" s="124" t="s">
        <v>230</v>
      </c>
      <c r="C265" s="124" t="s">
        <v>216</v>
      </c>
      <c r="D265" s="125">
        <v>14949</v>
      </c>
      <c r="E265" s="124" t="s">
        <v>216</v>
      </c>
      <c r="F265" s="124" t="s">
        <v>295</v>
      </c>
      <c r="G265" s="124" t="s">
        <v>216</v>
      </c>
      <c r="H265" s="125" t="s">
        <v>244</v>
      </c>
      <c r="I265" s="255" t="s">
        <v>386</v>
      </c>
      <c r="J265" s="255">
        <v>14949</v>
      </c>
      <c r="K265" s="256">
        <f t="shared" ref="K265:AB265" si="240">SUMIFS(K$266:K$268,$B$266:$B$268,"ТО")</f>
        <v>0</v>
      </c>
      <c r="L265" s="257">
        <f t="shared" si="240"/>
        <v>0</v>
      </c>
      <c r="M265" s="257">
        <f t="shared" si="240"/>
        <v>0</v>
      </c>
      <c r="N265" s="257">
        <f t="shared" si="240"/>
        <v>0</v>
      </c>
      <c r="O265" s="257">
        <f t="shared" si="240"/>
        <v>0</v>
      </c>
      <c r="P265" s="257">
        <f t="shared" si="240"/>
        <v>0</v>
      </c>
      <c r="Q265" s="257">
        <f t="shared" si="240"/>
        <v>0</v>
      </c>
      <c r="R265" s="257">
        <f t="shared" si="240"/>
        <v>0</v>
      </c>
      <c r="S265" s="257">
        <f t="shared" si="240"/>
        <v>0</v>
      </c>
      <c r="T265" s="257">
        <f t="shared" si="240"/>
        <v>0</v>
      </c>
      <c r="U265" s="257">
        <f t="shared" si="240"/>
        <v>0</v>
      </c>
      <c r="V265" s="257">
        <f t="shared" si="240"/>
        <v>0</v>
      </c>
      <c r="W265" s="257">
        <f t="shared" si="240"/>
        <v>0</v>
      </c>
      <c r="X265" s="257">
        <f t="shared" si="240"/>
        <v>0</v>
      </c>
      <c r="Y265" s="257">
        <f t="shared" si="240"/>
        <v>0</v>
      </c>
      <c r="Z265" s="257">
        <f t="shared" si="240"/>
        <v>0</v>
      </c>
      <c r="AA265" s="257">
        <f t="shared" si="240"/>
        <v>0</v>
      </c>
      <c r="AB265" s="257">
        <f t="shared" si="240"/>
        <v>0</v>
      </c>
    </row>
    <row r="266" spans="1:111" s="247" customFormat="1" ht="18.75" customHeight="1" x14ac:dyDescent="0.25">
      <c r="A266" s="131" t="s">
        <v>205</v>
      </c>
      <c r="B266" s="131" t="s">
        <v>205</v>
      </c>
      <c r="C266" s="131" t="s">
        <v>205</v>
      </c>
      <c r="D266" s="131" t="s">
        <v>205</v>
      </c>
      <c r="E266" s="131" t="s">
        <v>205</v>
      </c>
      <c r="F266" s="131" t="s">
        <v>205</v>
      </c>
      <c r="G266" s="131" t="s">
        <v>205</v>
      </c>
      <c r="H266" s="119" t="s">
        <v>205</v>
      </c>
      <c r="I266" s="132" t="s">
        <v>205</v>
      </c>
      <c r="J266" s="132" t="s">
        <v>205</v>
      </c>
      <c r="K266" s="246" t="s">
        <v>205</v>
      </c>
      <c r="L266" s="133" t="s">
        <v>205</v>
      </c>
      <c r="M266" s="128" t="s">
        <v>205</v>
      </c>
      <c r="N266" s="128" t="s">
        <v>205</v>
      </c>
      <c r="O266" s="128" t="s">
        <v>205</v>
      </c>
      <c r="P266" s="128" t="s">
        <v>205</v>
      </c>
      <c r="Q266" s="128" t="s">
        <v>205</v>
      </c>
      <c r="R266" s="128" t="s">
        <v>205</v>
      </c>
      <c r="S266" s="128" t="s">
        <v>205</v>
      </c>
      <c r="T266" s="128" t="s">
        <v>205</v>
      </c>
      <c r="U266" s="128" t="s">
        <v>205</v>
      </c>
      <c r="V266" s="128" t="s">
        <v>205</v>
      </c>
      <c r="W266" s="128" t="s">
        <v>205</v>
      </c>
      <c r="X266" s="128" t="s">
        <v>205</v>
      </c>
      <c r="Y266" s="128" t="s">
        <v>205</v>
      </c>
      <c r="Z266" s="133" t="s">
        <v>205</v>
      </c>
      <c r="AA266" s="133" t="s">
        <v>205</v>
      </c>
      <c r="AB266" s="128" t="s">
        <v>205</v>
      </c>
    </row>
    <row r="267" spans="1:111" ht="100.5" customHeight="1" x14ac:dyDescent="0.25">
      <c r="A267" s="119" t="s">
        <v>344</v>
      </c>
      <c r="B267" s="119" t="s">
        <v>358</v>
      </c>
      <c r="C267" s="119" t="s">
        <v>216</v>
      </c>
      <c r="D267" s="119">
        <v>14949</v>
      </c>
      <c r="E267" s="119" t="s">
        <v>216</v>
      </c>
      <c r="F267" s="119" t="s">
        <v>275</v>
      </c>
      <c r="G267" s="119" t="s">
        <v>216</v>
      </c>
      <c r="H267" s="126" t="s">
        <v>270</v>
      </c>
      <c r="I267" s="178" t="s">
        <v>251</v>
      </c>
      <c r="J267" s="179"/>
      <c r="K267" s="170"/>
      <c r="L267" s="181">
        <v>12000</v>
      </c>
      <c r="M267" s="181">
        <v>100</v>
      </c>
      <c r="N267" s="181">
        <v>150</v>
      </c>
      <c r="O267" s="121">
        <v>180</v>
      </c>
      <c r="P267" s="181"/>
      <c r="Q267" s="181"/>
      <c r="R267" s="181"/>
      <c r="S267" s="181"/>
      <c r="T267" s="181"/>
      <c r="U267" s="181"/>
      <c r="V267" s="181"/>
      <c r="W267" s="181"/>
      <c r="X267" s="181"/>
      <c r="Y267" s="181">
        <f>SUBTOTAL(9,M267:X267)</f>
        <v>430</v>
      </c>
      <c r="Z267" s="121"/>
      <c r="AA267" s="121"/>
      <c r="AB267" s="181">
        <f>SUM(Y267:AA267)</f>
        <v>430</v>
      </c>
    </row>
    <row r="268" spans="1:111" ht="18.75" customHeight="1" x14ac:dyDescent="0.25">
      <c r="A268" s="131"/>
      <c r="B268" s="131" t="s">
        <v>205</v>
      </c>
      <c r="C268" s="131" t="s">
        <v>205</v>
      </c>
      <c r="D268" s="131" t="s">
        <v>205</v>
      </c>
      <c r="E268" s="131" t="s">
        <v>205</v>
      </c>
      <c r="F268" s="131" t="s">
        <v>205</v>
      </c>
      <c r="G268" s="131" t="s">
        <v>205</v>
      </c>
      <c r="H268" s="119" t="s">
        <v>205</v>
      </c>
      <c r="I268" s="132" t="s">
        <v>205</v>
      </c>
      <c r="J268" s="132" t="s">
        <v>205</v>
      </c>
      <c r="K268" s="246" t="s">
        <v>205</v>
      </c>
      <c r="L268" s="121" t="s">
        <v>205</v>
      </c>
      <c r="M268" s="182" t="s">
        <v>205</v>
      </c>
      <c r="N268" s="182" t="s">
        <v>205</v>
      </c>
      <c r="O268" s="182" t="s">
        <v>205</v>
      </c>
      <c r="P268" s="182" t="s">
        <v>205</v>
      </c>
      <c r="Q268" s="182" t="s">
        <v>205</v>
      </c>
      <c r="R268" s="182" t="s">
        <v>205</v>
      </c>
      <c r="S268" s="182" t="s">
        <v>205</v>
      </c>
      <c r="T268" s="182" t="s">
        <v>205</v>
      </c>
      <c r="U268" s="182" t="s">
        <v>205</v>
      </c>
      <c r="V268" s="182" t="s">
        <v>205</v>
      </c>
      <c r="W268" s="182" t="s">
        <v>205</v>
      </c>
      <c r="X268" s="182" t="s">
        <v>205</v>
      </c>
      <c r="Y268" s="182" t="s">
        <v>205</v>
      </c>
      <c r="Z268" s="121" t="s">
        <v>205</v>
      </c>
      <c r="AA268" s="121" t="s">
        <v>205</v>
      </c>
      <c r="AB268" s="182" t="s">
        <v>205</v>
      </c>
    </row>
    <row r="269" spans="1:111" ht="18.75" customHeight="1" x14ac:dyDescent="0.25">
      <c r="A269" s="131" t="s">
        <v>205</v>
      </c>
      <c r="B269" s="131" t="s">
        <v>205</v>
      </c>
      <c r="C269" s="131" t="s">
        <v>205</v>
      </c>
      <c r="D269" s="131" t="s">
        <v>205</v>
      </c>
      <c r="E269" s="131" t="s">
        <v>205</v>
      </c>
      <c r="F269" s="131" t="s">
        <v>205</v>
      </c>
      <c r="G269" s="131" t="s">
        <v>205</v>
      </c>
      <c r="H269" s="126" t="s">
        <v>205</v>
      </c>
      <c r="I269" s="132" t="s">
        <v>205</v>
      </c>
      <c r="J269" s="132" t="s">
        <v>205</v>
      </c>
      <c r="K269" s="246" t="s">
        <v>205</v>
      </c>
      <c r="L269" s="133" t="s">
        <v>205</v>
      </c>
      <c r="M269" s="128" t="s">
        <v>205</v>
      </c>
      <c r="N269" s="128" t="s">
        <v>205</v>
      </c>
      <c r="O269" s="128" t="s">
        <v>205</v>
      </c>
      <c r="P269" s="128" t="s">
        <v>205</v>
      </c>
      <c r="Q269" s="128" t="s">
        <v>205</v>
      </c>
      <c r="R269" s="128" t="s">
        <v>205</v>
      </c>
      <c r="S269" s="128" t="s">
        <v>205</v>
      </c>
      <c r="T269" s="128" t="s">
        <v>205</v>
      </c>
      <c r="U269" s="128" t="s">
        <v>205</v>
      </c>
      <c r="V269" s="128" t="s">
        <v>205</v>
      </c>
      <c r="W269" s="128" t="s">
        <v>205</v>
      </c>
      <c r="X269" s="128" t="s">
        <v>205</v>
      </c>
      <c r="Y269" s="128" t="s">
        <v>205</v>
      </c>
      <c r="Z269" s="133" t="s">
        <v>205</v>
      </c>
      <c r="AA269" s="133" t="s">
        <v>205</v>
      </c>
      <c r="AB269" s="128" t="s">
        <v>205</v>
      </c>
    </row>
  </sheetData>
  <autoFilter ref="A6:DK269"/>
  <mergeCells count="9">
    <mergeCell ref="A3:G3"/>
    <mergeCell ref="I3:I5"/>
    <mergeCell ref="J3:J5"/>
    <mergeCell ref="H1:AB1"/>
    <mergeCell ref="H3:H5"/>
    <mergeCell ref="Y4:AB4"/>
    <mergeCell ref="K3:K5"/>
    <mergeCell ref="L3:L5"/>
    <mergeCell ref="M4:X4"/>
  </mergeCells>
  <printOptions horizontalCentered="1"/>
  <pageMargins left="0.39370078740157483" right="0.39370078740157483" top="0.59055118110236227" bottom="0.39370078740157483" header="0.31496062992125984" footer="0.31496062992125984"/>
  <pageSetup paperSize="8" scale="42" fitToHeight="100" orientation="landscape" r:id="rId1"/>
  <ignoredErrors>
    <ignoredError sqref="Y6:AB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СФО</vt:lpstr>
      <vt:lpstr>Отчет</vt:lpstr>
      <vt:lpstr>Отчет!Заголовки_для_печати</vt:lpstr>
      <vt:lpstr>СФО!Заголовки_для_печати</vt:lpstr>
      <vt:lpstr>Отчет!Область_печати</vt:lpstr>
      <vt:lpstr>СФО!Область_печати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Гурьева Оксана Викторовна</dc:creator>
  <cp:lastModifiedBy>auditor_user4</cp:lastModifiedBy>
  <cp:lastPrinted>2014-04-18T13:13:34Z</cp:lastPrinted>
  <dcterms:created xsi:type="dcterms:W3CDTF">2013-12-18T07:33:09Z</dcterms:created>
  <dcterms:modified xsi:type="dcterms:W3CDTF">2014-04-28T09:16:29Z</dcterms:modified>
</cp:coreProperties>
</file>