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1640"/>
  </bookViews>
  <sheets>
    <sheet name="Лист1" sheetId="1" r:id="rId1"/>
    <sheet name="Лист2" sheetId="2" r:id="rId2"/>
    <sheet name="интерполяция" sheetId="3" r:id="rId3"/>
    <sheet name="Sheet1" sheetId="4" r:id="rId4"/>
  </sheets>
  <definedNames>
    <definedName name="_xlnm._FilterDatabase" localSheetId="0" hidden="1">Лист1!$A$1:$S$77</definedName>
    <definedName name="_xlnm.Print_Area" localSheetId="0">Лист1!$A$2:$S$77</definedName>
    <definedName name="у">{0,1,1.4,1.8,2.4,3.2,5}</definedName>
    <definedName name="х">{0;0;0.4;0.8;1.2;1.6;2;2.4;2.8;3.2;3.6;4;4.4;4.8;5.2;5.6;6;6.4;6.8;7.2;7.6;8;8.4;8.8;9.2;9.6;10;10.4;10.8;11.2;11.6;12}</definedName>
  </definedNames>
  <calcPr calcId="144525"/>
</workbook>
</file>

<file path=xl/calcChain.xml><?xml version="1.0" encoding="utf-8"?>
<calcChain xmlns="http://schemas.openxmlformats.org/spreadsheetml/2006/main">
  <c r="O40" i="1" l="1"/>
  <c r="O16" i="1"/>
  <c r="O28" i="1"/>
  <c r="O76" i="1"/>
  <c r="O64" i="1"/>
  <c r="O52" i="1"/>
  <c r="N52" i="1"/>
  <c r="N6" i="3"/>
  <c r="O4" i="3"/>
  <c r="F76" i="1"/>
  <c r="D76" i="1"/>
  <c r="C76" i="1"/>
  <c r="G75" i="1"/>
  <c r="L75" i="1" s="1"/>
  <c r="M75" i="1" s="1"/>
  <c r="G74" i="1"/>
  <c r="L74" i="1" s="1"/>
  <c r="M74" i="1" s="1"/>
  <c r="G73" i="1"/>
  <c r="L73" i="1" s="1"/>
  <c r="M73" i="1" s="1"/>
  <c r="G72" i="1"/>
  <c r="L72" i="1" s="1"/>
  <c r="M72" i="1" s="1"/>
  <c r="G71" i="1"/>
  <c r="L71" i="1" s="1"/>
  <c r="M71" i="1" s="1"/>
  <c r="G70" i="1"/>
  <c r="L70" i="1" s="1"/>
  <c r="M70" i="1" s="1"/>
  <c r="G69" i="1"/>
  <c r="L69" i="1" s="1"/>
  <c r="M69" i="1" s="1"/>
  <c r="G68" i="1"/>
  <c r="L68" i="1" s="1"/>
  <c r="M68" i="1" s="1"/>
  <c r="G67" i="1"/>
  <c r="K66" i="1"/>
  <c r="G66" i="1"/>
  <c r="F64" i="1"/>
  <c r="H64" i="1" s="1"/>
  <c r="D64" i="1"/>
  <c r="D77" i="1" s="1"/>
  <c r="C64" i="1"/>
  <c r="G63" i="1"/>
  <c r="L63" i="1" s="1"/>
  <c r="M63" i="1" s="1"/>
  <c r="L62" i="1"/>
  <c r="M62" i="1" s="1"/>
  <c r="G62" i="1"/>
  <c r="G61" i="1"/>
  <c r="L61" i="1" s="1"/>
  <c r="M61" i="1" s="1"/>
  <c r="G60" i="1"/>
  <c r="L60" i="1" s="1"/>
  <c r="M60" i="1" s="1"/>
  <c r="G59" i="1"/>
  <c r="L59" i="1" s="1"/>
  <c r="M59" i="1" s="1"/>
  <c r="G58" i="1"/>
  <c r="L58" i="1" s="1"/>
  <c r="M58" i="1" s="1"/>
  <c r="K57" i="1"/>
  <c r="G57" i="1"/>
  <c r="L57" i="1" s="1"/>
  <c r="K56" i="1"/>
  <c r="G56" i="1"/>
  <c r="L56" i="1" s="1"/>
  <c r="K55" i="1"/>
  <c r="G55" i="1"/>
  <c r="L55" i="1" s="1"/>
  <c r="K54" i="1"/>
  <c r="G54" i="1"/>
  <c r="F52" i="1"/>
  <c r="H52" i="1" s="1"/>
  <c r="D52" i="1"/>
  <c r="C52" i="1"/>
  <c r="G51" i="1"/>
  <c r="L51" i="1" s="1"/>
  <c r="M51" i="1" s="1"/>
  <c r="G50" i="1"/>
  <c r="L50" i="1" s="1"/>
  <c r="M50" i="1" s="1"/>
  <c r="G49" i="1"/>
  <c r="L49" i="1" s="1"/>
  <c r="M49" i="1" s="1"/>
  <c r="G48" i="1"/>
  <c r="L48" i="1" s="1"/>
  <c r="M48" i="1" s="1"/>
  <c r="G47" i="1"/>
  <c r="L47" i="1" s="1"/>
  <c r="M47" i="1" s="1"/>
  <c r="G46" i="1"/>
  <c r="L46" i="1" s="1"/>
  <c r="M46" i="1" s="1"/>
  <c r="G45" i="1"/>
  <c r="L45" i="1" s="1"/>
  <c r="M45" i="1" s="1"/>
  <c r="G44" i="1"/>
  <c r="L44" i="1" s="1"/>
  <c r="M44" i="1" s="1"/>
  <c r="G43" i="1"/>
  <c r="L43" i="1" s="1"/>
  <c r="M43" i="1" s="1"/>
  <c r="K42" i="1"/>
  <c r="G42" i="1"/>
  <c r="F40" i="1"/>
  <c r="H40" i="1" s="1"/>
  <c r="D40" i="1"/>
  <c r="C40" i="1"/>
  <c r="G39" i="1"/>
  <c r="L39" i="1" s="1"/>
  <c r="M39" i="1" s="1"/>
  <c r="G38" i="1"/>
  <c r="L38" i="1" s="1"/>
  <c r="M38" i="1" s="1"/>
  <c r="G37" i="1"/>
  <c r="L37" i="1" s="1"/>
  <c r="M37" i="1" s="1"/>
  <c r="G36" i="1"/>
  <c r="L36" i="1" s="1"/>
  <c r="M36" i="1" s="1"/>
  <c r="G35" i="1"/>
  <c r="L35" i="1" s="1"/>
  <c r="M35" i="1" s="1"/>
  <c r="G34" i="1"/>
  <c r="L34" i="1" s="1"/>
  <c r="M34" i="1" s="1"/>
  <c r="G33" i="1"/>
  <c r="L33" i="1" s="1"/>
  <c r="M33" i="1" s="1"/>
  <c r="G32" i="1"/>
  <c r="L32" i="1" s="1"/>
  <c r="M32" i="1" s="1"/>
  <c r="G31" i="1"/>
  <c r="L31" i="1" s="1"/>
  <c r="M31" i="1" s="1"/>
  <c r="K30" i="1"/>
  <c r="G30" i="1"/>
  <c r="F28" i="1"/>
  <c r="D28" i="1"/>
  <c r="C28" i="1"/>
  <c r="G27" i="1"/>
  <c r="L27" i="1" s="1"/>
  <c r="M27" i="1" s="1"/>
  <c r="G26" i="1"/>
  <c r="L26" i="1" s="1"/>
  <c r="M26" i="1" s="1"/>
  <c r="G25" i="1"/>
  <c r="L25" i="1" s="1"/>
  <c r="M25" i="1" s="1"/>
  <c r="G24" i="1"/>
  <c r="L24" i="1" s="1"/>
  <c r="M24" i="1" s="1"/>
  <c r="G23" i="1"/>
  <c r="L23" i="1" s="1"/>
  <c r="M23" i="1" s="1"/>
  <c r="G22" i="1"/>
  <c r="L22" i="1" s="1"/>
  <c r="M22" i="1" s="1"/>
  <c r="G21" i="1"/>
  <c r="L21" i="1" s="1"/>
  <c r="M21" i="1" s="1"/>
  <c r="K20" i="1"/>
  <c r="G20" i="1"/>
  <c r="L20" i="1" s="1"/>
  <c r="K19" i="1"/>
  <c r="G19" i="1"/>
  <c r="L19" i="1" s="1"/>
  <c r="K18" i="1"/>
  <c r="G18" i="1"/>
  <c r="F16" i="1"/>
  <c r="H16" i="1" s="1"/>
  <c r="D16" i="1"/>
  <c r="C16" i="1"/>
  <c r="G15" i="1"/>
  <c r="L15" i="1" s="1"/>
  <c r="M15" i="1" s="1"/>
  <c r="G14" i="1"/>
  <c r="L14" i="1" s="1"/>
  <c r="M14" i="1" s="1"/>
  <c r="G13" i="1"/>
  <c r="L13" i="1" s="1"/>
  <c r="M13" i="1" s="1"/>
  <c r="L12" i="1"/>
  <c r="M12" i="1" s="1"/>
  <c r="G12" i="1"/>
  <c r="G11" i="1"/>
  <c r="L11" i="1" s="1"/>
  <c r="M11" i="1" s="1"/>
  <c r="K10" i="1"/>
  <c r="G10" i="1"/>
  <c r="L10" i="1" s="1"/>
  <c r="M10" i="1" s="1"/>
  <c r="K9" i="1"/>
  <c r="G9" i="1"/>
  <c r="L9" i="1" s="1"/>
  <c r="M9" i="1" s="1"/>
  <c r="K8" i="1"/>
  <c r="G8" i="1"/>
  <c r="L8" i="1" s="1"/>
  <c r="M8" i="1" s="1"/>
  <c r="K7" i="1"/>
  <c r="G7" i="1"/>
  <c r="L7" i="1" s="1"/>
  <c r="M7" i="1" s="1"/>
  <c r="K6" i="1"/>
  <c r="G6" i="1"/>
  <c r="G40" i="1" l="1"/>
  <c r="N40" i="1" s="1"/>
  <c r="N20" i="3" s="1"/>
  <c r="N22" i="3" s="1"/>
  <c r="Q23" i="3"/>
  <c r="X23" i="3" s="1"/>
  <c r="Q24" i="3"/>
  <c r="X24" i="3" s="1"/>
  <c r="C77" i="1"/>
  <c r="F77" i="1"/>
  <c r="H77" i="1" s="1"/>
  <c r="M19" i="1"/>
  <c r="M20" i="1"/>
  <c r="H28" i="1"/>
  <c r="M55" i="1"/>
  <c r="M56" i="1"/>
  <c r="M57" i="1"/>
  <c r="K40" i="1"/>
  <c r="L6" i="1"/>
  <c r="G16" i="1"/>
  <c r="J16" i="1" s="1"/>
  <c r="L18" i="1"/>
  <c r="G28" i="1"/>
  <c r="N28" i="1" s="1"/>
  <c r="J40" i="1"/>
  <c r="L42" i="1"/>
  <c r="G52" i="1"/>
  <c r="N29" i="3" s="1"/>
  <c r="G64" i="1"/>
  <c r="K64" i="1" s="1"/>
  <c r="L67" i="1"/>
  <c r="M67" i="1" s="1"/>
  <c r="H76" i="1"/>
  <c r="L30" i="1"/>
  <c r="I40" i="1"/>
  <c r="O20" i="3" s="1"/>
  <c r="N24" i="3" s="1"/>
  <c r="L54" i="1"/>
  <c r="L66" i="1"/>
  <c r="G76" i="1"/>
  <c r="N76" i="1" s="1"/>
  <c r="I28" i="1" l="1"/>
  <c r="O11" i="3" s="1"/>
  <c r="Q33" i="3"/>
  <c r="X33" i="3" s="1"/>
  <c r="Q32" i="3"/>
  <c r="X32" i="3" s="1"/>
  <c r="N31" i="3"/>
  <c r="R22" i="3"/>
  <c r="U22" i="3" s="1"/>
  <c r="S22" i="3"/>
  <c r="V22" i="3" s="1"/>
  <c r="O22" i="3"/>
  <c r="S13" i="3"/>
  <c r="V13" i="3" s="1"/>
  <c r="O13" i="3"/>
  <c r="R13" i="3"/>
  <c r="U13" i="3" s="1"/>
  <c r="J76" i="1"/>
  <c r="L64" i="1"/>
  <c r="P64" i="1" s="1"/>
  <c r="M54" i="1"/>
  <c r="M64" i="1" s="1"/>
  <c r="Q64" i="1" s="1"/>
  <c r="L40" i="1"/>
  <c r="P40" i="1" s="1"/>
  <c r="M30" i="1"/>
  <c r="M40" i="1" s="1"/>
  <c r="Q40" i="1" s="1"/>
  <c r="L52" i="1"/>
  <c r="P52" i="1" s="1"/>
  <c r="M42" i="1"/>
  <c r="M52" i="1" s="1"/>
  <c r="Q52" i="1" s="1"/>
  <c r="L28" i="1"/>
  <c r="M18" i="1"/>
  <c r="M28" i="1" s="1"/>
  <c r="M6" i="1"/>
  <c r="M16" i="1" s="1"/>
  <c r="Q16" i="1" s="1"/>
  <c r="L16" i="1"/>
  <c r="P16" i="1" s="1"/>
  <c r="I64" i="1"/>
  <c r="O38" i="3" s="1"/>
  <c r="I52" i="1"/>
  <c r="O29" i="3" s="1"/>
  <c r="K52" i="1"/>
  <c r="K76" i="1"/>
  <c r="J52" i="1"/>
  <c r="J28" i="1"/>
  <c r="L76" i="1"/>
  <c r="M66" i="1"/>
  <c r="M76" i="1" s="1"/>
  <c r="G77" i="1"/>
  <c r="N77" i="1" s="1"/>
  <c r="N56" i="3" s="1"/>
  <c r="N64" i="1"/>
  <c r="N38" i="3" s="1"/>
  <c r="N16" i="1"/>
  <c r="J64" i="1"/>
  <c r="K28" i="1"/>
  <c r="K16" i="1"/>
  <c r="I76" i="1"/>
  <c r="Q60" i="3" l="1"/>
  <c r="X60" i="3" s="1"/>
  <c r="Q59" i="3"/>
  <c r="X59" i="3" s="1"/>
  <c r="N58" i="3"/>
  <c r="N42" i="3"/>
  <c r="Q41" i="3"/>
  <c r="X41" i="3" s="1"/>
  <c r="N40" i="3"/>
  <c r="Q42" i="3"/>
  <c r="X42" i="3" s="1"/>
  <c r="S31" i="3"/>
  <c r="V31" i="3" s="1"/>
  <c r="O31" i="3"/>
  <c r="R31" i="3"/>
  <c r="U31" i="3" s="1"/>
  <c r="N4" i="3"/>
  <c r="S5" i="3"/>
  <c r="R6" i="3"/>
  <c r="Q5" i="3"/>
  <c r="R5" i="3"/>
  <c r="S6" i="3"/>
  <c r="Q6" i="3"/>
  <c r="R40" i="3"/>
  <c r="U40" i="3" s="1"/>
  <c r="S40" i="3"/>
  <c r="V40" i="3" s="1"/>
  <c r="O40" i="3"/>
  <c r="R52" i="1"/>
  <c r="S52" i="1" s="1"/>
  <c r="R40" i="1"/>
  <c r="S40" i="1" s="1"/>
  <c r="R64" i="1"/>
  <c r="S64" i="1" s="1"/>
  <c r="N33" i="3"/>
  <c r="J77" i="1"/>
  <c r="K77" i="1" s="1"/>
  <c r="I77" i="1"/>
  <c r="O56" i="3" s="1"/>
  <c r="N60" i="3" s="1"/>
  <c r="O47" i="3"/>
  <c r="M77" i="1"/>
  <c r="Q77" i="1" s="1"/>
  <c r="R16" i="1"/>
  <c r="S16" i="1" s="1"/>
  <c r="L77" i="1"/>
  <c r="P77" i="1" s="1"/>
  <c r="S58" i="3" l="1"/>
  <c r="V58" i="3" s="1"/>
  <c r="O58" i="3"/>
  <c r="R58" i="3"/>
  <c r="U58" i="3" s="1"/>
  <c r="S49" i="3"/>
  <c r="V49" i="3" s="1"/>
  <c r="O49" i="3"/>
  <c r="R49" i="3"/>
  <c r="U49" i="3" s="1"/>
  <c r="R77" i="1"/>
  <c r="S77" i="1" s="1"/>
  <c r="K2" i="4"/>
  <c r="D2" i="4" l="1" a="1"/>
  <c r="D2" i="4" s="1"/>
  <c r="O3" i="2" l="1"/>
  <c r="N3" i="2"/>
  <c r="O2" i="2"/>
  <c r="N2" i="2"/>
  <c r="K5" i="2"/>
  <c r="B2" i="3"/>
  <c r="B1" i="3"/>
  <c r="N6" i="2"/>
  <c r="B3" i="3"/>
  <c r="E9" i="2" l="1"/>
  <c r="S4" i="3" l="1"/>
  <c r="R4" i="3"/>
  <c r="O4" i="2"/>
  <c r="X5" i="3"/>
  <c r="N4" i="2"/>
  <c r="R4" i="2" l="1"/>
  <c r="U4" i="2" s="1"/>
  <c r="U4" i="3"/>
  <c r="S4" i="2"/>
  <c r="V8" i="2" s="1"/>
  <c r="V4" i="3"/>
  <c r="Q6" i="2"/>
  <c r="X6" i="3"/>
  <c r="U8" i="2"/>
  <c r="Q5" i="2"/>
  <c r="D1" i="3"/>
  <c r="S6" i="2"/>
  <c r="V4" i="2" l="1"/>
  <c r="R5" i="2"/>
  <c r="Y5" i="3"/>
  <c r="U5" i="3"/>
  <c r="S5" i="2"/>
  <c r="V5" i="3"/>
  <c r="R6" i="2"/>
  <c r="Y6" i="3"/>
  <c r="N7" i="3" l="1"/>
  <c r="N8" i="3"/>
  <c r="Y10" i="2"/>
  <c r="Y6" i="2"/>
  <c r="V9" i="2"/>
  <c r="V5" i="2"/>
  <c r="Y9" i="2"/>
  <c r="N11" i="2" s="1"/>
  <c r="U5" i="2"/>
  <c r="U9" i="2"/>
  <c r="Y5" i="2"/>
  <c r="N8" i="2" s="1"/>
  <c r="N10" i="2" l="1"/>
  <c r="N9" i="2"/>
  <c r="N7" i="2"/>
  <c r="Q76" i="1"/>
  <c r="N47" i="3"/>
  <c r="N51" i="3" s="1"/>
  <c r="P76" i="1"/>
  <c r="R76" i="1" s="1"/>
  <c r="S76" i="1" s="1"/>
  <c r="Q50" i="3" l="1"/>
  <c r="X50" i="3" s="1"/>
  <c r="Q51" i="3"/>
  <c r="X51" i="3" s="1"/>
  <c r="N49" i="3"/>
  <c r="Q28" i="1"/>
  <c r="P28" i="1"/>
  <c r="N11" i="3"/>
  <c r="S50" i="3" l="1"/>
  <c r="S60" i="3"/>
  <c r="S59" i="3"/>
  <c r="R60" i="3"/>
  <c r="Y60" i="3" s="1"/>
  <c r="R59" i="3"/>
  <c r="R28" i="1"/>
  <c r="S28" i="1" s="1"/>
  <c r="S14" i="3"/>
  <c r="R33" i="3"/>
  <c r="R51" i="3"/>
  <c r="R24" i="3"/>
  <c r="S42" i="3"/>
  <c r="R15" i="3"/>
  <c r="R32" i="3"/>
  <c r="R50" i="3"/>
  <c r="S23" i="3"/>
  <c r="R41" i="3"/>
  <c r="Q15" i="3"/>
  <c r="X15" i="3" s="1"/>
  <c r="N15" i="3"/>
  <c r="Q14" i="3"/>
  <c r="X14" i="3" s="1"/>
  <c r="N13" i="3"/>
  <c r="S24" i="3"/>
  <c r="R42" i="3"/>
  <c r="S15" i="3"/>
  <c r="S33" i="3"/>
  <c r="S51" i="3"/>
  <c r="V50" i="3" s="1"/>
  <c r="R23" i="3"/>
  <c r="S41" i="3"/>
  <c r="R14" i="3"/>
  <c r="Y14" i="3" s="1"/>
  <c r="S32" i="3"/>
  <c r="V32" i="3" l="1"/>
  <c r="V14" i="3"/>
  <c r="V41" i="3"/>
  <c r="Y42" i="3"/>
  <c r="U59" i="3"/>
  <c r="Y59" i="3"/>
  <c r="N62" i="3" s="1"/>
  <c r="V59" i="3"/>
  <c r="U41" i="3"/>
  <c r="Y41" i="3"/>
  <c r="N44" i="3" s="1"/>
  <c r="Y50" i="3"/>
  <c r="U50" i="3"/>
  <c r="N52" i="3" s="1"/>
  <c r="Y15" i="3"/>
  <c r="N17" i="3" s="1"/>
  <c r="Y51" i="3"/>
  <c r="U23" i="3"/>
  <c r="Y23" i="3"/>
  <c r="U32" i="3"/>
  <c r="N34" i="3" s="1"/>
  <c r="Y32" i="3"/>
  <c r="V23" i="3"/>
  <c r="Y24" i="3"/>
  <c r="Y33" i="3"/>
  <c r="U14" i="3"/>
  <c r="N16" i="3" s="1"/>
  <c r="N43" i="3" l="1"/>
  <c r="N61" i="3"/>
  <c r="N35" i="3"/>
  <c r="N26" i="3"/>
  <c r="N25" i="3"/>
  <c r="N53" i="3"/>
</calcChain>
</file>

<file path=xl/comments1.xml><?xml version="1.0" encoding="utf-8"?>
<comments xmlns="http://schemas.openxmlformats.org/spreadsheetml/2006/main">
  <authors>
    <author>Admin</author>
  </authors>
  <commentList>
    <comment ref="I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18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30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42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54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6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</commentList>
</comments>
</file>

<file path=xl/sharedStrings.xml><?xml version="1.0" encoding="utf-8"?>
<sst xmlns="http://schemas.openxmlformats.org/spreadsheetml/2006/main" count="146" uniqueCount="69">
  <si>
    <t>Группы электроприемников</t>
  </si>
  <si>
    <t>шт.</t>
  </si>
  <si>
    <t>Ном. мощн.</t>
  </si>
  <si>
    <t>кВт</t>
  </si>
  <si>
    <t xml:space="preserve"> одного ЭП,</t>
  </si>
  <si>
    <t>Общая</t>
  </si>
  <si>
    <t>Коэф</t>
  </si>
  <si>
    <t>использ.</t>
  </si>
  <si>
    <t>Ки</t>
  </si>
  <si>
    <r>
      <t xml:space="preserve">cos </t>
    </r>
    <r>
      <rPr>
        <sz val="11"/>
        <color theme="1"/>
        <rFont val="Calibri"/>
        <family val="2"/>
        <charset val="204"/>
      </rPr>
      <t>φ</t>
    </r>
  </si>
  <si>
    <t xml:space="preserve">tg φ </t>
  </si>
  <si>
    <t>Средняя нагрузка</t>
  </si>
  <si>
    <t>Qсм=Pсм*</t>
  </si>
  <si>
    <t>№</t>
  </si>
  <si>
    <t>Кам-дробильная очистка</t>
  </si>
  <si>
    <t>Листогиб</t>
  </si>
  <si>
    <t>Пресс-ножницы</t>
  </si>
  <si>
    <t>Станок для обрабоки промок</t>
  </si>
  <si>
    <t>m</t>
  </si>
  <si>
    <t>nэ</t>
  </si>
  <si>
    <t>Кр</t>
  </si>
  <si>
    <t>Коэф.</t>
  </si>
  <si>
    <t>расчетный</t>
  </si>
  <si>
    <t>Расчетные нагрузки</t>
  </si>
  <si>
    <t>Pр</t>
  </si>
  <si>
    <t>Qр</t>
  </si>
  <si>
    <t>квар</t>
  </si>
  <si>
    <t>кВА</t>
  </si>
  <si>
    <t>Sр</t>
  </si>
  <si>
    <t xml:space="preserve">Расчетный </t>
  </si>
  <si>
    <t>ток</t>
  </si>
  <si>
    <t>Iр, А</t>
  </si>
  <si>
    <t>÷</t>
  </si>
  <si>
    <t>Кол-</t>
  </si>
  <si>
    <t>во</t>
  </si>
  <si>
    <t>Выпрям. уговой сварки</t>
  </si>
  <si>
    <t>Источник питания для сварки</t>
  </si>
  <si>
    <t>выпрям. многопостовой</t>
  </si>
  <si>
    <t>Итого:</t>
  </si>
  <si>
    <t>Кран-мостовой</t>
  </si>
  <si>
    <t>ЩО1</t>
  </si>
  <si>
    <t>ЩО2</t>
  </si>
  <si>
    <t>ЩАО1</t>
  </si>
  <si>
    <t>ЩАО2</t>
  </si>
  <si>
    <t>Расчет электрических нагрузок</t>
  </si>
  <si>
    <t>Общая нагрузка:</t>
  </si>
  <si>
    <t>*tg φ , квар</t>
  </si>
  <si>
    <t>Pсм=Ки*</t>
  </si>
  <si>
    <t>*Pном, кВт</t>
  </si>
  <si>
    <t>Выпрямитель многопосный</t>
  </si>
  <si>
    <t>Nэф</t>
  </si>
  <si>
    <t>Коэффициент  Кр при Ки</t>
  </si>
  <si>
    <t>строка</t>
  </si>
  <si>
    <t>столбец</t>
  </si>
  <si>
    <t>Результат интерполяции, Кр</t>
  </si>
  <si>
    <t> ?</t>
  </si>
  <si>
    <t>x</t>
  </si>
  <si>
    <t>Месяц</t>
  </si>
  <si>
    <t>Цена (р.)</t>
  </si>
  <si>
    <t>Формула (соответствующая цена)</t>
  </si>
  <si>
    <t>Результат (р.)</t>
  </si>
  <si>
    <t>Формула (предполагаемая цена)</t>
  </si>
  <si>
    <t>Распределительный пункт №1 - РП-3</t>
  </si>
  <si>
    <t>Распределительный пункт №2 - РП-2</t>
  </si>
  <si>
    <t>Распределительный пункт №3 - ЯРП-1</t>
  </si>
  <si>
    <t>Распределительный пункт №4 - ЯРП-2</t>
  </si>
  <si>
    <t>Распределительный пункт №5 -</t>
  </si>
  <si>
    <t>Распределительный пункт №6-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</si>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</sst>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8"/>
      <color indexed="81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56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2" fontId="11" fillId="4" borderId="23" xfId="0" applyNumberFormat="1" applyFont="1" applyFill="1" applyBorder="1" applyAlignment="1">
      <alignment horizontal="center" vertical="top" wrapText="1"/>
    </xf>
    <xf numFmtId="2" fontId="11" fillId="5" borderId="23" xfId="0" applyNumberFormat="1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right" vertical="center" wrapText="1"/>
    </xf>
    <xf numFmtId="165" fontId="0" fillId="0" borderId="0" xfId="0" applyNumberFormat="1"/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0" fillId="8" borderId="0" xfId="0" applyFill="1"/>
    <xf numFmtId="0" fontId="0" fillId="9" borderId="10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11" xfId="0" applyFill="1" applyBorder="1"/>
    <xf numFmtId="0" fontId="0" fillId="9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2" xfId="0" applyFill="1" applyBorder="1"/>
    <xf numFmtId="0" fontId="0" fillId="9" borderId="9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1" borderId="16" xfId="0" applyFill="1" applyBorder="1" applyProtection="1"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0" borderId="16" xfId="0" applyFill="1" applyBorder="1" applyAlignment="1">
      <alignment horizontal="center"/>
    </xf>
    <xf numFmtId="2" fontId="0" fillId="10" borderId="16" xfId="0" applyNumberFormat="1" applyFill="1" applyBorder="1" applyAlignment="1" applyProtection="1">
      <alignment horizontal="center"/>
      <protection locked="0"/>
    </xf>
    <xf numFmtId="2" fontId="0" fillId="10" borderId="16" xfId="0" applyNumberFormat="1" applyFill="1" applyBorder="1" applyAlignment="1">
      <alignment horizontal="center"/>
    </xf>
    <xf numFmtId="0" fontId="0" fillId="10" borderId="16" xfId="0" applyFill="1" applyBorder="1"/>
    <xf numFmtId="0" fontId="0" fillId="11" borderId="11" xfId="0" applyFill="1" applyBorder="1" applyProtection="1"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0" borderId="11" xfId="0" applyFill="1" applyBorder="1" applyAlignment="1">
      <alignment horizontal="center"/>
    </xf>
    <xf numFmtId="2" fontId="0" fillId="10" borderId="11" xfId="0" applyNumberFormat="1" applyFill="1" applyBorder="1" applyAlignment="1" applyProtection="1">
      <alignment horizontal="center"/>
      <protection locked="0"/>
    </xf>
    <xf numFmtId="2" fontId="0" fillId="10" borderId="11" xfId="0" applyNumberFormat="1" applyFill="1" applyBorder="1" applyAlignment="1">
      <alignment horizontal="center"/>
    </xf>
    <xf numFmtId="0" fontId="0" fillId="10" borderId="11" xfId="0" applyFill="1" applyBorder="1"/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2" fontId="0" fillId="2" borderId="14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11" borderId="6" xfId="0" applyFill="1" applyBorder="1" applyProtection="1">
      <protection locked="0"/>
    </xf>
    <xf numFmtId="0" fontId="0" fillId="10" borderId="6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2" borderId="1" xfId="0" applyFill="1" applyBorder="1"/>
    <xf numFmtId="0" fontId="1" fillId="2" borderId="14" xfId="0" applyFont="1" applyFill="1" applyBorder="1"/>
    <xf numFmtId="0" fontId="0" fillId="2" borderId="1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1" fillId="2" borderId="4" xfId="0" applyFont="1" applyFill="1" applyBorder="1"/>
    <xf numFmtId="0" fontId="0" fillId="2" borderId="10" xfId="0" applyFill="1" applyBorder="1" applyAlignment="1">
      <alignment horizontal="center"/>
    </xf>
    <xf numFmtId="2" fontId="0" fillId="2" borderId="2" xfId="0" applyNumberForma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/>
    <xf numFmtId="0" fontId="1" fillId="13" borderId="1" xfId="0" applyFont="1" applyFill="1" applyBorder="1"/>
    <xf numFmtId="0" fontId="1" fillId="13" borderId="13" xfId="0" applyFont="1" applyFill="1" applyBorder="1"/>
    <xf numFmtId="0" fontId="1" fillId="13" borderId="1" xfId="0" applyFont="1" applyFill="1" applyBorder="1" applyAlignment="1">
      <alignment horizontal="center"/>
    </xf>
    <xf numFmtId="2" fontId="1" fillId="13" borderId="13" xfId="0" applyNumberFormat="1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2" fontId="1" fillId="13" borderId="14" xfId="0" applyNumberFormat="1" applyFont="1" applyFill="1" applyBorder="1" applyAlignment="1">
      <alignment horizontal="center"/>
    </xf>
    <xf numFmtId="1" fontId="1" fillId="13" borderId="14" xfId="0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2" fontId="1" fillId="12" borderId="1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/>
    <xf numFmtId="0" fontId="8" fillId="8" borderId="0" xfId="0" applyFont="1" applyFill="1" applyBorder="1" applyAlignment="1">
      <alignment horizontal="center" vertical="center" wrapText="1"/>
    </xf>
    <xf numFmtId="2" fontId="11" fillId="8" borderId="0" xfId="0" applyNumberFormat="1" applyFont="1" applyFill="1" applyBorder="1" applyAlignment="1">
      <alignment horizontal="center" vertical="top" wrapText="1"/>
    </xf>
    <xf numFmtId="0" fontId="0" fillId="8" borderId="0" xfId="0" applyFill="1" applyBorder="1" applyAlignment="1">
      <alignment horizontal="center"/>
    </xf>
    <xf numFmtId="0" fontId="0" fillId="8" borderId="0" xfId="0" applyNumberForma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0" fontId="10" fillId="8" borderId="0" xfId="0" applyFont="1" applyFill="1" applyBorder="1" applyAlignment="1"/>
    <xf numFmtId="0" fontId="8" fillId="8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3" fillId="10" borderId="2" xfId="0" applyFont="1" applyFill="1" applyBorder="1" applyAlignment="1" applyProtection="1">
      <alignment horizontal="left"/>
      <protection locked="0"/>
    </xf>
    <xf numFmtId="0" fontId="3" fillId="10" borderId="3" xfId="0" applyFont="1" applyFill="1" applyBorder="1" applyAlignment="1" applyProtection="1">
      <alignment horizontal="left"/>
      <protection locked="0"/>
    </xf>
    <xf numFmtId="0" fontId="3" fillId="10" borderId="4" xfId="0" applyFont="1" applyFill="1" applyBorder="1" applyAlignment="1" applyProtection="1">
      <alignment horizontal="left"/>
      <protection locked="0"/>
    </xf>
    <xf numFmtId="0" fontId="3" fillId="10" borderId="20" xfId="0" applyFont="1" applyFill="1" applyBorder="1" applyAlignment="1" applyProtection="1">
      <alignment horizontal="left"/>
      <protection locked="0"/>
    </xf>
    <xf numFmtId="0" fontId="3" fillId="10" borderId="21" xfId="0" applyFont="1" applyFill="1" applyBorder="1" applyAlignment="1" applyProtection="1">
      <alignment horizontal="left"/>
      <protection locked="0"/>
    </xf>
    <xf numFmtId="0" fontId="3" fillId="10" borderId="22" xfId="0" applyFont="1" applyFill="1" applyBorder="1" applyAlignment="1" applyProtection="1">
      <alignment horizontal="left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5" fillId="8" borderId="8" xfId="0" applyFont="1" applyFill="1" applyBorder="1" applyAlignment="1">
      <alignment horizontal="center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164" fontId="10" fillId="3" borderId="35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/>
    </xf>
    <xf numFmtId="164" fontId="10" fillId="3" borderId="23" xfId="0" applyNumberFormat="1" applyFont="1" applyFill="1" applyBorder="1" applyAlignment="1">
      <alignment horizontal="center"/>
    </xf>
    <xf numFmtId="164" fontId="10" fillId="12" borderId="23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0066"/>
      <color rgb="FFD356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7</xdr:col>
      <xdr:colOff>171450</xdr:colOff>
      <xdr:row>5</xdr:row>
      <xdr:rowOff>161925</xdr:rowOff>
    </xdr:to>
    <xdr:pic>
      <xdr:nvPicPr>
        <xdr:cNvPr id="2" name="Picture 1" descr="?=15.5+\frac{6378-6000}{(8000-6000)}* \frac{19.2-15.5}{1}=16.19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2000"/>
          <a:ext cx="32194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8"/>
  <sheetViews>
    <sheetView tabSelected="1" workbookViewId="0">
      <pane ySplit="4" topLeftCell="A50" activePane="bottomLeft" state="frozen"/>
      <selection pane="bottomLeft" activeCell="P67" sqref="P67"/>
    </sheetView>
  </sheetViews>
  <sheetFormatPr defaultRowHeight="15" x14ac:dyDescent="0.25"/>
  <cols>
    <col min="1" max="1" width="3.140625" style="1" bestFit="1" customWidth="1"/>
    <col min="2" max="2" width="28.28515625" style="1" bestFit="1" customWidth="1"/>
    <col min="3" max="3" width="5.140625" style="1" bestFit="1" customWidth="1"/>
    <col min="4" max="4" width="5.7109375" style="1" bestFit="1" customWidth="1"/>
    <col min="5" max="5" width="2.42578125" style="1" customWidth="1"/>
    <col min="6" max="6" width="7" style="1" bestFit="1" customWidth="1"/>
    <col min="7" max="7" width="11.7109375" style="1" bestFit="1" customWidth="1"/>
    <col min="8" max="8" width="7.140625" style="1" customWidth="1"/>
    <col min="9" max="9" width="9.85546875" style="1" bestFit="1" customWidth="1"/>
    <col min="10" max="10" width="7.5703125" style="1" customWidth="1"/>
    <col min="11" max="11" width="10.85546875" style="1" bestFit="1" customWidth="1"/>
    <col min="12" max="12" width="13.5703125" style="1" customWidth="1"/>
    <col min="13" max="13" width="12.140625" style="1" customWidth="1"/>
    <col min="14" max="14" width="5.7109375" style="1" customWidth="1"/>
    <col min="15" max="15" width="10.7109375" style="1" bestFit="1" customWidth="1"/>
    <col min="16" max="16" width="7.42578125" style="1" customWidth="1"/>
    <col min="17" max="17" width="7.140625" style="1" customWidth="1"/>
    <col min="18" max="18" width="7" style="1" customWidth="1"/>
    <col min="19" max="19" width="11.140625" style="1" bestFit="1" customWidth="1"/>
    <col min="20" max="16384" width="9.140625" style="1"/>
  </cols>
  <sheetData>
    <row r="1" spans="1:32" ht="27" thickBot="1" x14ac:dyDescent="0.45">
      <c r="A1" s="142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5.75" thickBot="1" x14ac:dyDescent="0.3">
      <c r="A2" s="49"/>
      <c r="B2" s="50"/>
      <c r="C2" s="51" t="s">
        <v>33</v>
      </c>
      <c r="D2" s="148" t="s">
        <v>2</v>
      </c>
      <c r="E2" s="149"/>
      <c r="F2" s="150"/>
      <c r="G2" s="52" t="s">
        <v>5</v>
      </c>
      <c r="H2" s="53"/>
      <c r="I2" s="53" t="s">
        <v>6</v>
      </c>
      <c r="J2" s="49"/>
      <c r="K2" s="49"/>
      <c r="L2" s="146" t="s">
        <v>11</v>
      </c>
      <c r="M2" s="157"/>
      <c r="N2" s="52"/>
      <c r="O2" s="52" t="s">
        <v>21</v>
      </c>
      <c r="P2" s="146" t="s">
        <v>23</v>
      </c>
      <c r="Q2" s="147"/>
      <c r="R2" s="147"/>
      <c r="S2" s="52" t="s">
        <v>29</v>
      </c>
      <c r="T2" s="54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x14ac:dyDescent="0.25">
      <c r="A3" s="55" t="s">
        <v>13</v>
      </c>
      <c r="B3" s="56" t="s">
        <v>0</v>
      </c>
      <c r="C3" s="57" t="s">
        <v>34</v>
      </c>
      <c r="D3" s="151" t="s">
        <v>4</v>
      </c>
      <c r="E3" s="152"/>
      <c r="F3" s="153"/>
      <c r="G3" s="58" t="s">
        <v>2</v>
      </c>
      <c r="H3" s="59" t="s">
        <v>18</v>
      </c>
      <c r="I3" s="59" t="s">
        <v>7</v>
      </c>
      <c r="J3" s="58" t="s">
        <v>9</v>
      </c>
      <c r="K3" s="58" t="s">
        <v>10</v>
      </c>
      <c r="L3" s="52" t="s">
        <v>47</v>
      </c>
      <c r="M3" s="52" t="s">
        <v>12</v>
      </c>
      <c r="N3" s="58" t="s">
        <v>19</v>
      </c>
      <c r="O3" s="58" t="s">
        <v>22</v>
      </c>
      <c r="P3" s="52" t="s">
        <v>24</v>
      </c>
      <c r="Q3" s="52" t="s">
        <v>25</v>
      </c>
      <c r="R3" s="52" t="s">
        <v>28</v>
      </c>
      <c r="S3" s="58" t="s">
        <v>30</v>
      </c>
      <c r="T3" s="54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15.75" thickBot="1" x14ac:dyDescent="0.3">
      <c r="A4" s="60"/>
      <c r="B4" s="61"/>
      <c r="C4" s="56" t="s">
        <v>1</v>
      </c>
      <c r="D4" s="154" t="s">
        <v>3</v>
      </c>
      <c r="E4" s="155"/>
      <c r="F4" s="156"/>
      <c r="G4" s="62" t="s">
        <v>3</v>
      </c>
      <c r="H4" s="63"/>
      <c r="I4" s="63" t="s">
        <v>8</v>
      </c>
      <c r="J4" s="62"/>
      <c r="K4" s="60"/>
      <c r="L4" s="62" t="s">
        <v>48</v>
      </c>
      <c r="M4" s="62" t="s">
        <v>46</v>
      </c>
      <c r="N4" s="62"/>
      <c r="O4" s="62" t="s">
        <v>20</v>
      </c>
      <c r="P4" s="62" t="s">
        <v>3</v>
      </c>
      <c r="Q4" s="62" t="s">
        <v>26</v>
      </c>
      <c r="R4" s="62" t="s">
        <v>27</v>
      </c>
      <c r="S4" s="62" t="s">
        <v>31</v>
      </c>
      <c r="T4" s="54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18.75" x14ac:dyDescent="0.3">
      <c r="A5" s="64"/>
      <c r="B5" s="135" t="s">
        <v>62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2" x14ac:dyDescent="0.25">
      <c r="A6" s="64">
        <v>1</v>
      </c>
      <c r="B6" s="65" t="s">
        <v>49</v>
      </c>
      <c r="C6" s="66">
        <v>1</v>
      </c>
      <c r="D6" s="143">
        <v>57.5</v>
      </c>
      <c r="E6" s="144"/>
      <c r="F6" s="145"/>
      <c r="G6" s="67">
        <f t="shared" ref="G6:G15" si="0">D6*C6</f>
        <v>57.5</v>
      </c>
      <c r="H6" s="67"/>
      <c r="I6" s="66">
        <v>0.6</v>
      </c>
      <c r="J6" s="66">
        <v>0.8</v>
      </c>
      <c r="K6" s="68">
        <f t="shared" ref="K6:K9" si="1">(SQRT(1-(J6^2)))/J6</f>
        <v>0.74999999999999978</v>
      </c>
      <c r="L6" s="69">
        <f>G6*I6</f>
        <v>34.5</v>
      </c>
      <c r="M6" s="69">
        <f>L6*K6</f>
        <v>25.874999999999993</v>
      </c>
      <c r="N6" s="70"/>
      <c r="O6" s="70"/>
      <c r="P6" s="70"/>
      <c r="Q6" s="70"/>
      <c r="R6" s="70"/>
      <c r="S6" s="70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 x14ac:dyDescent="0.25">
      <c r="A7" s="64">
        <v>2</v>
      </c>
      <c r="B7" s="71" t="s">
        <v>14</v>
      </c>
      <c r="C7" s="72">
        <v>1</v>
      </c>
      <c r="D7" s="131">
        <v>38.5</v>
      </c>
      <c r="E7" s="132"/>
      <c r="F7" s="141"/>
      <c r="G7" s="73">
        <f t="shared" si="0"/>
        <v>38.5</v>
      </c>
      <c r="H7" s="73"/>
      <c r="I7" s="72">
        <v>0.3</v>
      </c>
      <c r="J7" s="72">
        <v>0.65</v>
      </c>
      <c r="K7" s="74">
        <f t="shared" si="1"/>
        <v>1.1691295502746664</v>
      </c>
      <c r="L7" s="75">
        <f t="shared" ref="L7:L15" si="2">G7*I7</f>
        <v>11.549999999999999</v>
      </c>
      <c r="M7" s="75">
        <f t="shared" ref="M7:M15" si="3">L7*K7</f>
        <v>13.503446305672396</v>
      </c>
      <c r="N7" s="76"/>
      <c r="O7" s="76"/>
      <c r="P7" s="76"/>
      <c r="Q7" s="76"/>
      <c r="R7" s="76"/>
      <c r="S7" s="76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32" x14ac:dyDescent="0.25">
      <c r="A8" s="64">
        <v>3</v>
      </c>
      <c r="B8" s="71" t="s">
        <v>15</v>
      </c>
      <c r="C8" s="72">
        <v>1</v>
      </c>
      <c r="D8" s="131">
        <v>13.74</v>
      </c>
      <c r="E8" s="132"/>
      <c r="F8" s="141"/>
      <c r="G8" s="73">
        <f t="shared" si="0"/>
        <v>13.74</v>
      </c>
      <c r="H8" s="73"/>
      <c r="I8" s="72">
        <v>0.4</v>
      </c>
      <c r="J8" s="72">
        <v>0.7</v>
      </c>
      <c r="K8" s="74">
        <f t="shared" si="1"/>
        <v>1.0202040612204071</v>
      </c>
      <c r="L8" s="75">
        <f t="shared" si="2"/>
        <v>5.4960000000000004</v>
      </c>
      <c r="M8" s="75">
        <f t="shared" si="3"/>
        <v>5.6070415204673578</v>
      </c>
      <c r="N8" s="76"/>
      <c r="O8" s="76"/>
      <c r="P8" s="76"/>
      <c r="Q8" s="76"/>
      <c r="R8" s="76"/>
      <c r="S8" s="76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32" x14ac:dyDescent="0.25">
      <c r="A9" s="64">
        <v>4</v>
      </c>
      <c r="B9" s="71" t="s">
        <v>16</v>
      </c>
      <c r="C9" s="72">
        <v>1</v>
      </c>
      <c r="D9" s="131">
        <v>5.5</v>
      </c>
      <c r="E9" s="132"/>
      <c r="F9" s="141"/>
      <c r="G9" s="73">
        <f t="shared" si="0"/>
        <v>5.5</v>
      </c>
      <c r="H9" s="73"/>
      <c r="I9" s="72">
        <v>0.17</v>
      </c>
      <c r="J9" s="72">
        <v>0.65</v>
      </c>
      <c r="K9" s="74">
        <f t="shared" si="1"/>
        <v>1.1691295502746664</v>
      </c>
      <c r="L9" s="75">
        <f t="shared" si="2"/>
        <v>0.93500000000000005</v>
      </c>
      <c r="M9" s="75">
        <f t="shared" si="3"/>
        <v>1.0931361295068132</v>
      </c>
      <c r="N9" s="76"/>
      <c r="O9" s="76"/>
      <c r="P9" s="76"/>
      <c r="Q9" s="76"/>
      <c r="R9" s="76"/>
      <c r="S9" s="76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32" x14ac:dyDescent="0.25">
      <c r="A10" s="64">
        <v>5</v>
      </c>
      <c r="B10" s="71" t="s">
        <v>17</v>
      </c>
      <c r="C10" s="72">
        <v>1</v>
      </c>
      <c r="D10" s="131">
        <v>3</v>
      </c>
      <c r="E10" s="132"/>
      <c r="F10" s="141"/>
      <c r="G10" s="73">
        <f t="shared" si="0"/>
        <v>3</v>
      </c>
      <c r="H10" s="73"/>
      <c r="I10" s="72">
        <v>0.25</v>
      </c>
      <c r="J10" s="72">
        <v>0.5</v>
      </c>
      <c r="K10" s="74">
        <f>(SQRT(1-(J10^2)))/J10</f>
        <v>1.7320508075688772</v>
      </c>
      <c r="L10" s="75">
        <f t="shared" si="2"/>
        <v>0.75</v>
      </c>
      <c r="M10" s="75">
        <f t="shared" si="3"/>
        <v>1.299038105676658</v>
      </c>
      <c r="N10" s="76"/>
      <c r="O10" s="76"/>
      <c r="P10" s="76"/>
      <c r="Q10" s="76"/>
      <c r="R10" s="76"/>
      <c r="S10" s="76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32" x14ac:dyDescent="0.25">
      <c r="A11" s="64">
        <v>6</v>
      </c>
      <c r="B11" s="71"/>
      <c r="C11" s="72"/>
      <c r="D11" s="131"/>
      <c r="E11" s="132"/>
      <c r="F11" s="141"/>
      <c r="G11" s="73">
        <f t="shared" si="0"/>
        <v>0</v>
      </c>
      <c r="H11" s="73"/>
      <c r="I11" s="72"/>
      <c r="J11" s="72"/>
      <c r="K11" s="74"/>
      <c r="L11" s="75">
        <f t="shared" si="2"/>
        <v>0</v>
      </c>
      <c r="M11" s="75">
        <f t="shared" si="3"/>
        <v>0</v>
      </c>
      <c r="N11" s="76"/>
      <c r="O11" s="76"/>
      <c r="P11" s="76"/>
      <c r="Q11" s="76"/>
      <c r="R11" s="76"/>
      <c r="S11" s="76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2" x14ac:dyDescent="0.25">
      <c r="A12" s="64">
        <v>7</v>
      </c>
      <c r="B12" s="71"/>
      <c r="C12" s="72"/>
      <c r="D12" s="131"/>
      <c r="E12" s="132"/>
      <c r="F12" s="141"/>
      <c r="G12" s="73">
        <f t="shared" si="0"/>
        <v>0</v>
      </c>
      <c r="H12" s="73"/>
      <c r="I12" s="72"/>
      <c r="J12" s="72"/>
      <c r="K12" s="74"/>
      <c r="L12" s="75">
        <f t="shared" si="2"/>
        <v>0</v>
      </c>
      <c r="M12" s="75">
        <f t="shared" si="3"/>
        <v>0</v>
      </c>
      <c r="N12" s="76"/>
      <c r="O12" s="76"/>
      <c r="P12" s="76"/>
      <c r="Q12" s="76"/>
      <c r="R12" s="76"/>
      <c r="S12" s="76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x14ac:dyDescent="0.25">
      <c r="A13" s="64">
        <v>8</v>
      </c>
      <c r="B13" s="71"/>
      <c r="C13" s="72"/>
      <c r="D13" s="131"/>
      <c r="E13" s="132"/>
      <c r="F13" s="141"/>
      <c r="G13" s="73">
        <f t="shared" si="0"/>
        <v>0</v>
      </c>
      <c r="H13" s="73"/>
      <c r="I13" s="72"/>
      <c r="J13" s="72"/>
      <c r="K13" s="74"/>
      <c r="L13" s="75">
        <f t="shared" si="2"/>
        <v>0</v>
      </c>
      <c r="M13" s="75">
        <f t="shared" si="3"/>
        <v>0</v>
      </c>
      <c r="N13" s="76"/>
      <c r="O13" s="76"/>
      <c r="P13" s="76"/>
      <c r="Q13" s="76"/>
      <c r="R13" s="76"/>
      <c r="S13" s="76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32" x14ac:dyDescent="0.25">
      <c r="A14" s="64">
        <v>9</v>
      </c>
      <c r="B14" s="71"/>
      <c r="C14" s="72"/>
      <c r="D14" s="77"/>
      <c r="E14" s="78"/>
      <c r="F14" s="79"/>
      <c r="G14" s="73">
        <f t="shared" si="0"/>
        <v>0</v>
      </c>
      <c r="H14" s="73"/>
      <c r="I14" s="72"/>
      <c r="J14" s="72"/>
      <c r="K14" s="74"/>
      <c r="L14" s="75">
        <f t="shared" si="2"/>
        <v>0</v>
      </c>
      <c r="M14" s="75">
        <f t="shared" si="3"/>
        <v>0</v>
      </c>
      <c r="N14" s="76"/>
      <c r="O14" s="76"/>
      <c r="P14" s="76"/>
      <c r="Q14" s="76"/>
      <c r="R14" s="76"/>
      <c r="S14" s="76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 ht="15.75" thickBot="1" x14ac:dyDescent="0.3">
      <c r="A15" s="64">
        <v>10</v>
      </c>
      <c r="B15" s="71"/>
      <c r="C15" s="72"/>
      <c r="D15" s="131"/>
      <c r="E15" s="132"/>
      <c r="F15" s="141"/>
      <c r="G15" s="73">
        <f t="shared" si="0"/>
        <v>0</v>
      </c>
      <c r="H15" s="73"/>
      <c r="I15" s="72"/>
      <c r="J15" s="72"/>
      <c r="K15" s="74"/>
      <c r="L15" s="75">
        <f t="shared" si="2"/>
        <v>0</v>
      </c>
      <c r="M15" s="75">
        <f t="shared" si="3"/>
        <v>0</v>
      </c>
      <c r="N15" s="76"/>
      <c r="O15" s="76"/>
      <c r="P15" s="76"/>
      <c r="Q15" s="76"/>
      <c r="R15" s="76"/>
      <c r="S15" s="76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ht="15.75" thickBot="1" x14ac:dyDescent="0.3">
      <c r="A16" s="80"/>
      <c r="B16" s="81" t="s">
        <v>38</v>
      </c>
      <c r="C16" s="82">
        <f>SUM(C6:C15)</f>
        <v>5</v>
      </c>
      <c r="D16" s="83">
        <f>MIN(D6:F15)</f>
        <v>3</v>
      </c>
      <c r="E16" s="84" t="s">
        <v>32</v>
      </c>
      <c r="F16" s="85">
        <f>MAX(D6:F15)</f>
        <v>57.5</v>
      </c>
      <c r="G16" s="82">
        <f>SUM(G6:G15)</f>
        <v>118.24</v>
      </c>
      <c r="H16" s="86">
        <f>F16/D16</f>
        <v>19.166666666666668</v>
      </c>
      <c r="I16" s="87">
        <v>0.2</v>
      </c>
      <c r="J16" s="87">
        <f>((J6*G6)+(J7*G7)+(J8*G8)+(J9*G9)+(J10*G10)+(J11*G11)+(J12*G12)+(J13*G13)+(J15*G15))/G16</f>
        <v>0.72494925575101499</v>
      </c>
      <c r="K16" s="87">
        <f>((K6*G6)+(K7*G7)+(K8*G8)+(K9*G9)+(K10*G10)+(K11*G11)+(K12*G12)+(K13*G13)+(K15*G15))/G16</f>
        <v>0.96228396850440068</v>
      </c>
      <c r="L16" s="87">
        <f>SUM(L6:L15)</f>
        <v>53.231000000000002</v>
      </c>
      <c r="M16" s="87">
        <f>SUM(M6:M15)</f>
        <v>47.377662061323214</v>
      </c>
      <c r="N16" s="89">
        <f>(G16^2)/((G6^2)+(G7^2)+(G8^2)+(G9^2)+(G10^2)+(G11^2)+(G12^2)+(G13^2)+(G14^2)+(G15^2))</f>
        <v>2.7869217206704482</v>
      </c>
      <c r="O16" s="88">
        <f ca="1">FORECAST(N16,FORECAST(I16,OFFSET(интерполяция!$B$6,MATCH(N16,интерполяция!$B$6:$B$41)-1,MATCH(I16,интерполяция!$B$6:$L$6)-1,1,2),OFFSET(интерполяция!$B$6,,MATCH(I16,интерполяция!$B$6:$L$6)-1,1,2))*{1;0}+FORECAST(I16,OFFSET(интерполяция!$B$6,MATCH(N16,интерполяция!$B$6:$B$41),MATCH(I16,интерполяция!$B$6:$L$6)-1,1,2),OFFSET(интерполяция!$B$6,,MATCH(I16,интерполяция!$B$6:$L$6)-1,1,2))*{0;1},OFFSET(интерполяция!$B$6,MATCH(N16,интерполяция!$B$6:$B$41),0,-2))</f>
        <v>2.5401245416759157</v>
      </c>
      <c r="P16" s="89">
        <f ca="1">L16*O16</f>
        <v>135.21336947795066</v>
      </c>
      <c r="Q16" s="89">
        <f ca="1">O16*M16</f>
        <v>120.34516212919505</v>
      </c>
      <c r="R16" s="89">
        <f ca="1">SQRT((P16^2)+(Q16^2))</f>
        <v>181.01274356653192</v>
      </c>
      <c r="S16" s="89">
        <f ca="1">R16/(SQRT(3)*0.38)</f>
        <v>275.02041111813134</v>
      </c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ht="18.75" x14ac:dyDescent="0.3">
      <c r="A17" s="90"/>
      <c r="B17" s="138" t="s">
        <v>63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 x14ac:dyDescent="0.25">
      <c r="A18" s="91">
        <v>1</v>
      </c>
      <c r="B18" s="92" t="s">
        <v>35</v>
      </c>
      <c r="C18" s="72">
        <v>3</v>
      </c>
      <c r="D18" s="131">
        <v>30</v>
      </c>
      <c r="E18" s="132"/>
      <c r="F18" s="132"/>
      <c r="G18" s="73">
        <f>D18*C18</f>
        <v>90</v>
      </c>
      <c r="H18" s="93"/>
      <c r="I18" s="72">
        <v>0.6</v>
      </c>
      <c r="J18" s="72">
        <v>0.8</v>
      </c>
      <c r="K18" s="74">
        <f t="shared" ref="K18:K20" si="4">(SQRT(1-(J18^2)))/J18</f>
        <v>0.74999999999999978</v>
      </c>
      <c r="L18" s="75">
        <f>G18*I18</f>
        <v>54</v>
      </c>
      <c r="M18" s="75">
        <f>L18*K18</f>
        <v>40.499999999999986</v>
      </c>
      <c r="N18" s="73"/>
      <c r="O18" s="73"/>
      <c r="P18" s="73"/>
      <c r="Q18" s="73"/>
      <c r="R18" s="73"/>
      <c r="S18" s="73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x14ac:dyDescent="0.25">
      <c r="A19" s="91">
        <v>2</v>
      </c>
      <c r="B19" s="92" t="s">
        <v>37</v>
      </c>
      <c r="C19" s="72">
        <v>1</v>
      </c>
      <c r="D19" s="131">
        <v>57.5</v>
      </c>
      <c r="E19" s="132"/>
      <c r="F19" s="132"/>
      <c r="G19" s="73">
        <f t="shared" ref="G19:G27" si="5">D19*C19</f>
        <v>57.5</v>
      </c>
      <c r="H19" s="93"/>
      <c r="I19" s="72">
        <v>0.3</v>
      </c>
      <c r="J19" s="72">
        <v>0.7</v>
      </c>
      <c r="K19" s="74">
        <f t="shared" si="4"/>
        <v>1.0202040612204071</v>
      </c>
      <c r="L19" s="75">
        <f t="shared" ref="L19:L27" si="6">G19*I19</f>
        <v>17.25</v>
      </c>
      <c r="M19" s="75">
        <f t="shared" ref="M19:M27" si="7">L19*K19</f>
        <v>17.598520056052021</v>
      </c>
      <c r="N19" s="73"/>
      <c r="O19" s="73"/>
      <c r="P19" s="73"/>
      <c r="Q19" s="73"/>
      <c r="R19" s="73"/>
      <c r="S19" s="73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 x14ac:dyDescent="0.25">
      <c r="A20" s="91">
        <v>3</v>
      </c>
      <c r="B20" s="92" t="s">
        <v>36</v>
      </c>
      <c r="C20" s="72">
        <v>2</v>
      </c>
      <c r="D20" s="131">
        <v>18</v>
      </c>
      <c r="E20" s="132"/>
      <c r="F20" s="132"/>
      <c r="G20" s="73">
        <f t="shared" si="5"/>
        <v>36</v>
      </c>
      <c r="H20" s="93"/>
      <c r="I20" s="72">
        <v>0.5</v>
      </c>
      <c r="J20" s="72">
        <v>0.7</v>
      </c>
      <c r="K20" s="74">
        <f t="shared" si="4"/>
        <v>1.0202040612204071</v>
      </c>
      <c r="L20" s="75">
        <f t="shared" si="6"/>
        <v>18</v>
      </c>
      <c r="M20" s="75">
        <f t="shared" si="7"/>
        <v>18.363673101967329</v>
      </c>
      <c r="N20" s="73"/>
      <c r="O20" s="73"/>
      <c r="P20" s="73"/>
      <c r="Q20" s="73"/>
      <c r="R20" s="73"/>
      <c r="S20" s="73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x14ac:dyDescent="0.25">
      <c r="A21" s="91">
        <v>4</v>
      </c>
      <c r="B21" s="92"/>
      <c r="C21" s="72"/>
      <c r="D21" s="131"/>
      <c r="E21" s="132"/>
      <c r="F21" s="132"/>
      <c r="G21" s="73">
        <f t="shared" si="5"/>
        <v>0</v>
      </c>
      <c r="H21" s="93"/>
      <c r="I21" s="72"/>
      <c r="J21" s="72"/>
      <c r="K21" s="74"/>
      <c r="L21" s="75">
        <f t="shared" si="6"/>
        <v>0</v>
      </c>
      <c r="M21" s="75">
        <f t="shared" si="7"/>
        <v>0</v>
      </c>
      <c r="N21" s="73"/>
      <c r="O21" s="73"/>
      <c r="P21" s="73"/>
      <c r="Q21" s="73"/>
      <c r="R21" s="73"/>
      <c r="S21" s="73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x14ac:dyDescent="0.25">
      <c r="A22" s="91">
        <v>5</v>
      </c>
      <c r="B22" s="92"/>
      <c r="C22" s="72"/>
      <c r="D22" s="131"/>
      <c r="E22" s="132"/>
      <c r="F22" s="132"/>
      <c r="G22" s="73">
        <f t="shared" si="5"/>
        <v>0</v>
      </c>
      <c r="H22" s="93"/>
      <c r="I22" s="72"/>
      <c r="J22" s="72"/>
      <c r="K22" s="74"/>
      <c r="L22" s="75">
        <f t="shared" si="6"/>
        <v>0</v>
      </c>
      <c r="M22" s="75">
        <f t="shared" si="7"/>
        <v>0</v>
      </c>
      <c r="N22" s="73"/>
      <c r="O22" s="73"/>
      <c r="P22" s="73"/>
      <c r="Q22" s="73"/>
      <c r="R22" s="73"/>
      <c r="S22" s="73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 x14ac:dyDescent="0.25">
      <c r="A23" s="91">
        <v>6</v>
      </c>
      <c r="B23" s="92"/>
      <c r="C23" s="72"/>
      <c r="D23" s="131"/>
      <c r="E23" s="132"/>
      <c r="F23" s="132"/>
      <c r="G23" s="73">
        <f t="shared" si="5"/>
        <v>0</v>
      </c>
      <c r="H23" s="93"/>
      <c r="I23" s="72"/>
      <c r="J23" s="72"/>
      <c r="K23" s="74"/>
      <c r="L23" s="75">
        <f t="shared" si="6"/>
        <v>0</v>
      </c>
      <c r="M23" s="75">
        <f t="shared" si="7"/>
        <v>0</v>
      </c>
      <c r="N23" s="73"/>
      <c r="O23" s="73"/>
      <c r="P23" s="73"/>
      <c r="Q23" s="73"/>
      <c r="R23" s="73"/>
      <c r="S23" s="73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 x14ac:dyDescent="0.25">
      <c r="A24" s="91">
        <v>7</v>
      </c>
      <c r="B24" s="92"/>
      <c r="C24" s="72"/>
      <c r="D24" s="131"/>
      <c r="E24" s="132"/>
      <c r="F24" s="132"/>
      <c r="G24" s="73">
        <f t="shared" si="5"/>
        <v>0</v>
      </c>
      <c r="H24" s="93"/>
      <c r="I24" s="72"/>
      <c r="J24" s="72"/>
      <c r="K24" s="74"/>
      <c r="L24" s="75">
        <f t="shared" si="6"/>
        <v>0</v>
      </c>
      <c r="M24" s="75">
        <f t="shared" si="7"/>
        <v>0</v>
      </c>
      <c r="N24" s="73"/>
      <c r="O24" s="73"/>
      <c r="P24" s="73"/>
      <c r="Q24" s="73"/>
      <c r="R24" s="73"/>
      <c r="S24" s="73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x14ac:dyDescent="0.25">
      <c r="A25" s="91">
        <v>8</v>
      </c>
      <c r="B25" s="92"/>
      <c r="C25" s="72"/>
      <c r="D25" s="131"/>
      <c r="E25" s="132"/>
      <c r="F25" s="132"/>
      <c r="G25" s="73">
        <f t="shared" si="5"/>
        <v>0</v>
      </c>
      <c r="H25" s="93"/>
      <c r="I25" s="72"/>
      <c r="J25" s="72"/>
      <c r="K25" s="74"/>
      <c r="L25" s="75">
        <f t="shared" si="6"/>
        <v>0</v>
      </c>
      <c r="M25" s="75">
        <f t="shared" si="7"/>
        <v>0</v>
      </c>
      <c r="N25" s="73"/>
      <c r="O25" s="73"/>
      <c r="P25" s="73"/>
      <c r="Q25" s="73"/>
      <c r="R25" s="73"/>
      <c r="S25" s="73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x14ac:dyDescent="0.25">
      <c r="A26" s="91">
        <v>9</v>
      </c>
      <c r="B26" s="92"/>
      <c r="C26" s="72"/>
      <c r="D26" s="131"/>
      <c r="E26" s="132"/>
      <c r="F26" s="132"/>
      <c r="G26" s="73">
        <f t="shared" si="5"/>
        <v>0</v>
      </c>
      <c r="H26" s="93"/>
      <c r="I26" s="72"/>
      <c r="J26" s="72"/>
      <c r="K26" s="74"/>
      <c r="L26" s="75">
        <f t="shared" si="6"/>
        <v>0</v>
      </c>
      <c r="M26" s="75">
        <f t="shared" si="7"/>
        <v>0</v>
      </c>
      <c r="N26" s="73"/>
      <c r="O26" s="73"/>
      <c r="P26" s="73"/>
      <c r="Q26" s="73"/>
      <c r="R26" s="73"/>
      <c r="S26" s="73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15.75" thickBot="1" x14ac:dyDescent="0.3">
      <c r="A27" s="91">
        <v>10</v>
      </c>
      <c r="B27" s="92"/>
      <c r="C27" s="72"/>
      <c r="D27" s="133"/>
      <c r="E27" s="134"/>
      <c r="F27" s="134"/>
      <c r="G27" s="94">
        <f t="shared" si="5"/>
        <v>0</v>
      </c>
      <c r="H27" s="93"/>
      <c r="I27" s="72"/>
      <c r="J27" s="72"/>
      <c r="K27" s="74"/>
      <c r="L27" s="75">
        <f t="shared" si="6"/>
        <v>0</v>
      </c>
      <c r="M27" s="75">
        <f t="shared" si="7"/>
        <v>0</v>
      </c>
      <c r="N27" s="73"/>
      <c r="O27" s="73"/>
      <c r="P27" s="73"/>
      <c r="Q27" s="73"/>
      <c r="R27" s="73"/>
      <c r="S27" s="73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ht="15.75" thickBot="1" x14ac:dyDescent="0.3">
      <c r="A28" s="95"/>
      <c r="B28" s="96" t="s">
        <v>38</v>
      </c>
      <c r="C28" s="82">
        <f>SUM(C18:C27)</f>
        <v>6</v>
      </c>
      <c r="D28" s="83">
        <f>MIN(D18:F27)</f>
        <v>18</v>
      </c>
      <c r="E28" s="84" t="s">
        <v>32</v>
      </c>
      <c r="F28" s="85">
        <f>MAX(D18:F27)</f>
        <v>57.5</v>
      </c>
      <c r="G28" s="97">
        <f>SUM(G18:G27)</f>
        <v>183.5</v>
      </c>
      <c r="H28" s="86">
        <f>F28/D28</f>
        <v>3.1944444444444446</v>
      </c>
      <c r="I28" s="87">
        <f>((I18*G18)+(G19*I19)+(G20*I20)+(G21*I21)+(G22*I22)+(G23*I23)+(G24*I24)+(G25*I25)+(G26*I26)+(G27*I27))/G28</f>
        <v>0.48637602179836514</v>
      </c>
      <c r="J28" s="87">
        <f>((J18*G18)+(J19*G19)+(J20*G20)+(J21*G21)+(J22*G22)+(J23*G23)+(J24*G24)+(J25*G25)+(J26*G26)+(J27*G27))/G28</f>
        <v>0.74904632152588546</v>
      </c>
      <c r="K28" s="87">
        <f>((K19*G19)+(K20*G20)+(K21*G21)+(K22*G22)+(K23*G23)+(K24*G24)+(K25*G25)+(K26*G26)+(K27*G27))/G28</f>
        <v>0.51983149713410381</v>
      </c>
      <c r="L28" s="87">
        <f>SUM(L18:L27)</f>
        <v>89.25</v>
      </c>
      <c r="M28" s="87">
        <f>SUM(M18:M27)</f>
        <v>76.462193158019346</v>
      </c>
      <c r="N28" s="89">
        <f>(G28^2)/((G18^2)+(G19^2)+(G20^2)+(G21^2)+(G22^2)+(G23^2)+(G24^2)+(G25^2)+(G26^2)+(G27^2))</f>
        <v>2.6508886220945107</v>
      </c>
      <c r="O28" s="88">
        <f ca="1">FORECAST(N28,FORECAST(I28,OFFSET(интерполяция!$B$6,MATCH(N28,интерполяция!$B$6:$B$41)-1,MATCH(I28,интерполяция!$B$6:$L$6)-1,1,2),OFFSET(интерполяция!$B$6,,MATCH(I28,интерполяция!$B$6:$L$6)-1,1,2))*{1;0}+FORECAST(I28,OFFSET(интерполяция!$B$6,MATCH(N28,интерполяция!$B$6:$B$41),MATCH(I28,интерполяция!$B$6:$L$6)-1,1,2),OFFSET(интерполяция!$B$6,,MATCH(I28,интерполяция!$B$6:$L$6)-1,1,2))*{0;1},OFFSET(интерполяция!$B$6,MATCH(N28,интерполяция!$B$6:$B$41),0,-2))</f>
        <v>1.4585973059440485</v>
      </c>
      <c r="P28" s="89">
        <f ca="1">L28*O28</f>
        <v>130.17980955550632</v>
      </c>
      <c r="Q28" s="89">
        <f ca="1">O28*M28</f>
        <v>111.52754894686048</v>
      </c>
      <c r="R28" s="89">
        <f ca="1">SQRT((P28^2)+(Q28^2))</f>
        <v>171.42105177020196</v>
      </c>
      <c r="S28" s="89">
        <f ca="1">R28/(SQRT(3)*0.38)</f>
        <v>260.44734311656549</v>
      </c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ht="18.75" x14ac:dyDescent="0.3">
      <c r="A29" s="90"/>
      <c r="B29" s="138" t="s">
        <v>64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 x14ac:dyDescent="0.25">
      <c r="A30" s="91">
        <v>1</v>
      </c>
      <c r="B30" s="92" t="s">
        <v>39</v>
      </c>
      <c r="C30" s="72">
        <v>1</v>
      </c>
      <c r="D30" s="131">
        <v>18.600000000000001</v>
      </c>
      <c r="E30" s="132"/>
      <c r="F30" s="132"/>
      <c r="G30" s="73">
        <f>D30*C30</f>
        <v>18.600000000000001</v>
      </c>
      <c r="H30" s="93"/>
      <c r="I30" s="72">
        <v>0.3</v>
      </c>
      <c r="J30" s="72">
        <v>0.5</v>
      </c>
      <c r="K30" s="74">
        <f t="shared" ref="K30" si="8">(SQRT(1-(J30^2)))/J30</f>
        <v>1.7320508075688772</v>
      </c>
      <c r="L30" s="75">
        <f>G30*I30</f>
        <v>5.58</v>
      </c>
      <c r="M30" s="75">
        <f>L30*K30</f>
        <v>9.6648435062343356</v>
      </c>
      <c r="N30" s="73"/>
      <c r="O30" s="73"/>
      <c r="P30" s="73"/>
      <c r="Q30" s="73"/>
      <c r="R30" s="73"/>
      <c r="S30" s="73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x14ac:dyDescent="0.25">
      <c r="A31" s="91">
        <v>2</v>
      </c>
      <c r="B31" s="92"/>
      <c r="C31" s="72"/>
      <c r="D31" s="131"/>
      <c r="E31" s="132"/>
      <c r="F31" s="132"/>
      <c r="G31" s="73">
        <f t="shared" ref="G31:G39" si="9">D31*C31</f>
        <v>0</v>
      </c>
      <c r="H31" s="93"/>
      <c r="I31" s="72"/>
      <c r="J31" s="72"/>
      <c r="K31" s="74"/>
      <c r="L31" s="75">
        <f t="shared" ref="L31:L39" si="10">G31*I31</f>
        <v>0</v>
      </c>
      <c r="M31" s="75">
        <f t="shared" ref="M31:M39" si="11">L31*K31</f>
        <v>0</v>
      </c>
      <c r="N31" s="73"/>
      <c r="O31" s="73"/>
      <c r="P31" s="73"/>
      <c r="Q31" s="73"/>
      <c r="R31" s="73"/>
      <c r="S31" s="73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 x14ac:dyDescent="0.25">
      <c r="A32" s="91">
        <v>3</v>
      </c>
      <c r="B32" s="92"/>
      <c r="C32" s="72"/>
      <c r="D32" s="131"/>
      <c r="E32" s="132"/>
      <c r="F32" s="132"/>
      <c r="G32" s="73">
        <f t="shared" si="9"/>
        <v>0</v>
      </c>
      <c r="H32" s="93"/>
      <c r="I32" s="72"/>
      <c r="J32" s="72"/>
      <c r="K32" s="74"/>
      <c r="L32" s="75">
        <f t="shared" si="10"/>
        <v>0</v>
      </c>
      <c r="M32" s="75">
        <f t="shared" si="11"/>
        <v>0</v>
      </c>
      <c r="N32" s="73"/>
      <c r="O32" s="73"/>
      <c r="P32" s="73"/>
      <c r="Q32" s="73"/>
      <c r="R32" s="73"/>
      <c r="S32" s="73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x14ac:dyDescent="0.25">
      <c r="A33" s="91">
        <v>4</v>
      </c>
      <c r="B33" s="92"/>
      <c r="C33" s="72"/>
      <c r="D33" s="131"/>
      <c r="E33" s="132"/>
      <c r="F33" s="132"/>
      <c r="G33" s="73">
        <f t="shared" si="9"/>
        <v>0</v>
      </c>
      <c r="H33" s="93"/>
      <c r="I33" s="72"/>
      <c r="J33" s="72"/>
      <c r="K33" s="74"/>
      <c r="L33" s="75">
        <f t="shared" si="10"/>
        <v>0</v>
      </c>
      <c r="M33" s="75">
        <f t="shared" si="11"/>
        <v>0</v>
      </c>
      <c r="N33" s="73"/>
      <c r="O33" s="73"/>
      <c r="P33" s="73"/>
      <c r="Q33" s="73"/>
      <c r="R33" s="73"/>
      <c r="S33" s="73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 x14ac:dyDescent="0.25">
      <c r="A34" s="91">
        <v>5</v>
      </c>
      <c r="B34" s="92"/>
      <c r="C34" s="72"/>
      <c r="D34" s="131"/>
      <c r="E34" s="132"/>
      <c r="F34" s="132"/>
      <c r="G34" s="73">
        <f t="shared" si="9"/>
        <v>0</v>
      </c>
      <c r="H34" s="93"/>
      <c r="I34" s="72"/>
      <c r="J34" s="72"/>
      <c r="K34" s="74"/>
      <c r="L34" s="75">
        <f t="shared" si="10"/>
        <v>0</v>
      </c>
      <c r="M34" s="75">
        <f t="shared" si="11"/>
        <v>0</v>
      </c>
      <c r="N34" s="73"/>
      <c r="O34" s="73"/>
      <c r="P34" s="73"/>
      <c r="Q34" s="73"/>
      <c r="R34" s="73"/>
      <c r="S34" s="73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 x14ac:dyDescent="0.25">
      <c r="A35" s="91">
        <v>6</v>
      </c>
      <c r="B35" s="92"/>
      <c r="C35" s="72"/>
      <c r="D35" s="131"/>
      <c r="E35" s="132"/>
      <c r="F35" s="132"/>
      <c r="G35" s="73">
        <f t="shared" si="9"/>
        <v>0</v>
      </c>
      <c r="H35" s="93"/>
      <c r="I35" s="72"/>
      <c r="J35" s="72"/>
      <c r="K35" s="74"/>
      <c r="L35" s="75">
        <f t="shared" si="10"/>
        <v>0</v>
      </c>
      <c r="M35" s="75">
        <f t="shared" si="11"/>
        <v>0</v>
      </c>
      <c r="N35" s="73"/>
      <c r="O35" s="73"/>
      <c r="P35" s="73"/>
      <c r="Q35" s="73"/>
      <c r="R35" s="73"/>
      <c r="S35" s="73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x14ac:dyDescent="0.25">
      <c r="A36" s="91">
        <v>7</v>
      </c>
      <c r="B36" s="92"/>
      <c r="C36" s="72"/>
      <c r="D36" s="131"/>
      <c r="E36" s="132"/>
      <c r="F36" s="132"/>
      <c r="G36" s="73">
        <f t="shared" si="9"/>
        <v>0</v>
      </c>
      <c r="H36" s="93"/>
      <c r="I36" s="72"/>
      <c r="J36" s="72"/>
      <c r="K36" s="74"/>
      <c r="L36" s="75">
        <f t="shared" si="10"/>
        <v>0</v>
      </c>
      <c r="M36" s="75">
        <f t="shared" si="11"/>
        <v>0</v>
      </c>
      <c r="N36" s="73"/>
      <c r="O36" s="73"/>
      <c r="P36" s="73"/>
      <c r="Q36" s="73"/>
      <c r="R36" s="73"/>
      <c r="S36" s="73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x14ac:dyDescent="0.25">
      <c r="A37" s="91">
        <v>8</v>
      </c>
      <c r="B37" s="92"/>
      <c r="C37" s="72"/>
      <c r="D37" s="131"/>
      <c r="E37" s="132"/>
      <c r="F37" s="132"/>
      <c r="G37" s="73">
        <f t="shared" si="9"/>
        <v>0</v>
      </c>
      <c r="H37" s="93"/>
      <c r="I37" s="72"/>
      <c r="J37" s="72"/>
      <c r="K37" s="74"/>
      <c r="L37" s="75">
        <f t="shared" si="10"/>
        <v>0</v>
      </c>
      <c r="M37" s="75">
        <f t="shared" si="11"/>
        <v>0</v>
      </c>
      <c r="N37" s="73"/>
      <c r="O37" s="73"/>
      <c r="P37" s="73"/>
      <c r="Q37" s="73"/>
      <c r="R37" s="73"/>
      <c r="S37" s="73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x14ac:dyDescent="0.25">
      <c r="A38" s="91">
        <v>9</v>
      </c>
      <c r="B38" s="92"/>
      <c r="C38" s="72"/>
      <c r="D38" s="131"/>
      <c r="E38" s="132"/>
      <c r="F38" s="132"/>
      <c r="G38" s="73">
        <f t="shared" si="9"/>
        <v>0</v>
      </c>
      <c r="H38" s="93"/>
      <c r="I38" s="72"/>
      <c r="J38" s="72"/>
      <c r="K38" s="74"/>
      <c r="L38" s="75">
        <f t="shared" si="10"/>
        <v>0</v>
      </c>
      <c r="M38" s="75">
        <f t="shared" si="11"/>
        <v>0</v>
      </c>
      <c r="N38" s="73"/>
      <c r="O38" s="73"/>
      <c r="P38" s="73"/>
      <c r="Q38" s="73"/>
      <c r="R38" s="73"/>
      <c r="S38" s="73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ht="15.75" thickBot="1" x14ac:dyDescent="0.3">
      <c r="A39" s="91">
        <v>10</v>
      </c>
      <c r="B39" s="92"/>
      <c r="C39" s="72"/>
      <c r="D39" s="133"/>
      <c r="E39" s="134"/>
      <c r="F39" s="134"/>
      <c r="G39" s="94">
        <f t="shared" si="9"/>
        <v>0</v>
      </c>
      <c r="H39" s="93"/>
      <c r="I39" s="98"/>
      <c r="J39" s="98"/>
      <c r="K39" s="74"/>
      <c r="L39" s="75">
        <f t="shared" si="10"/>
        <v>0</v>
      </c>
      <c r="M39" s="75">
        <f t="shared" si="11"/>
        <v>0</v>
      </c>
      <c r="N39" s="73"/>
      <c r="O39" s="73"/>
      <c r="P39" s="73"/>
      <c r="Q39" s="73"/>
      <c r="R39" s="73"/>
      <c r="S39" s="73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ht="15.75" thickBot="1" x14ac:dyDescent="0.3">
      <c r="A40" s="95"/>
      <c r="B40" s="99" t="s">
        <v>38</v>
      </c>
      <c r="C40" s="100">
        <f>SUM(C30:C39)</f>
        <v>1</v>
      </c>
      <c r="D40" s="101">
        <f>MIN(D30:F39)</f>
        <v>18.600000000000001</v>
      </c>
      <c r="E40" s="102" t="s">
        <v>32</v>
      </c>
      <c r="F40" s="103">
        <f>MAX(D30:F39)</f>
        <v>18.600000000000001</v>
      </c>
      <c r="G40" s="104">
        <f>SUM(G30:G39)</f>
        <v>18.600000000000001</v>
      </c>
      <c r="H40" s="105">
        <f>F40/D40</f>
        <v>1</v>
      </c>
      <c r="I40" s="106">
        <f>((G31*I31)+(G32*I32)+(G33*I33)+(G34*I34)+(G35*I35)+(G36*I36)+(G37*I37)+(G38*I38)+(G39*I39)+(G30*I30))/G40</f>
        <v>0.3</v>
      </c>
      <c r="J40" s="106">
        <f>((J31*G31)+(J32*G32)+(J33*G33)+(J34*G34)+(J35*G35)+(J36*G36)+(J37*G37)+(J38*G38)+(J39*G39)+(G30*J30)/G40)</f>
        <v>0.5</v>
      </c>
      <c r="K40" s="106">
        <f>((K31*G31)+(K32*G32)+(K33*G33)+(K34*G34)+(K35*G35)+(K36*G36)+(K37*G37)+(K38*G38)+(K39*G39))/G40</f>
        <v>0</v>
      </c>
      <c r="L40" s="106">
        <f>SUM(L30:L39)</f>
        <v>5.58</v>
      </c>
      <c r="M40" s="106">
        <f>SUM(M30:M39)</f>
        <v>9.6648435062343356</v>
      </c>
      <c r="N40" s="89">
        <f>(G40^2)/((G30^2)+(G31^2)+(G32^2)+(G33^2)+(G34^2)+(G35^2)+(G36^2)+(G37^2)+(G38^2)+(G39^2))</f>
        <v>1</v>
      </c>
      <c r="O40" s="88">
        <f ca="1">FORECAST(N40,FORECAST(I40,OFFSET(интерполяция!$B$6,MATCH(N40,интерполяция!$B$6:$B$41)-1,MATCH(I40,интерполяция!$B$6:$L$6)-1,1,2),OFFSET(интерполяция!$B$6,,MATCH(I40,интерполяция!$B$6:$L$6)-1,1,2))*{1;0}+FORECAST(I40,OFFSET(интерполяция!$B$6,MATCH(N40,интерполяция!$B$6:$B$41),MATCH(I40,интерполяция!$B$6:$L$6)-1,1,2),OFFSET(интерполяция!$B$6,,MATCH(I40,интерполяция!$B$6:$L$6)-1,1,2))*{0;1},OFFSET(интерполяция!$B$6,MATCH(N40,интерполяция!$B$6:$B$41),0,-2))</f>
        <v>2.67</v>
      </c>
      <c r="P40" s="107">
        <f ca="1">L40*O40</f>
        <v>14.8986</v>
      </c>
      <c r="Q40" s="107">
        <f ca="1">O40*M40</f>
        <v>25.805132161645677</v>
      </c>
      <c r="R40" s="107">
        <f ca="1">SQRT((P40^2)+(Q40^2))</f>
        <v>29.7972</v>
      </c>
      <c r="S40" s="107">
        <f ca="1">R40/(SQRT(3)*0.38)</f>
        <v>45.272161687097679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ht="18.75" x14ac:dyDescent="0.3">
      <c r="A41" s="64"/>
      <c r="B41" s="138" t="s">
        <v>65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40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 x14ac:dyDescent="0.25">
      <c r="A42" s="64">
        <v>1</v>
      </c>
      <c r="B42" s="71" t="s">
        <v>39</v>
      </c>
      <c r="C42" s="72">
        <v>1</v>
      </c>
      <c r="D42" s="131">
        <v>18.600000000000001</v>
      </c>
      <c r="E42" s="132"/>
      <c r="F42" s="141"/>
      <c r="G42" s="73">
        <f t="shared" ref="G42:G51" si="12">D42*C42</f>
        <v>18.600000000000001</v>
      </c>
      <c r="H42" s="73"/>
      <c r="I42" s="72">
        <v>0.3</v>
      </c>
      <c r="J42" s="72">
        <v>0.5</v>
      </c>
      <c r="K42" s="74">
        <f t="shared" ref="K42" si="13">(SQRT(1-(J42^2)))/J42</f>
        <v>1.7320508075688772</v>
      </c>
      <c r="L42" s="75">
        <f>G42*I42</f>
        <v>5.58</v>
      </c>
      <c r="M42" s="75">
        <f>L42*K42</f>
        <v>9.6648435062343356</v>
      </c>
      <c r="N42" s="76"/>
      <c r="O42" s="76"/>
      <c r="P42" s="76"/>
      <c r="Q42" s="76"/>
      <c r="R42" s="76"/>
      <c r="S42" s="76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x14ac:dyDescent="0.25">
      <c r="A43" s="64">
        <v>2</v>
      </c>
      <c r="B43" s="71"/>
      <c r="C43" s="72"/>
      <c r="D43" s="131"/>
      <c r="E43" s="132"/>
      <c r="F43" s="141"/>
      <c r="G43" s="73">
        <f t="shared" si="12"/>
        <v>0</v>
      </c>
      <c r="H43" s="73"/>
      <c r="I43" s="72"/>
      <c r="J43" s="72"/>
      <c r="K43" s="74"/>
      <c r="L43" s="75">
        <f t="shared" ref="L43:L51" si="14">G43*I43</f>
        <v>0</v>
      </c>
      <c r="M43" s="75">
        <f t="shared" ref="M43:M51" si="15">L43*K43</f>
        <v>0</v>
      </c>
      <c r="N43" s="76"/>
      <c r="O43" s="76"/>
      <c r="P43" s="76"/>
      <c r="Q43" s="76"/>
      <c r="R43" s="76"/>
      <c r="S43" s="76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x14ac:dyDescent="0.25">
      <c r="A44" s="64">
        <v>3</v>
      </c>
      <c r="B44" s="71"/>
      <c r="C44" s="72"/>
      <c r="D44" s="131"/>
      <c r="E44" s="132"/>
      <c r="F44" s="141"/>
      <c r="G44" s="73">
        <f t="shared" si="12"/>
        <v>0</v>
      </c>
      <c r="H44" s="73"/>
      <c r="I44" s="72"/>
      <c r="J44" s="72"/>
      <c r="K44" s="74"/>
      <c r="L44" s="75">
        <f t="shared" si="14"/>
        <v>0</v>
      </c>
      <c r="M44" s="75">
        <f t="shared" si="15"/>
        <v>0</v>
      </c>
      <c r="N44" s="76"/>
      <c r="O44" s="76"/>
      <c r="P44" s="76"/>
      <c r="Q44" s="76"/>
      <c r="R44" s="76"/>
      <c r="S44" s="76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 x14ac:dyDescent="0.25">
      <c r="A45" s="64">
        <v>4</v>
      </c>
      <c r="B45" s="71"/>
      <c r="C45" s="72"/>
      <c r="D45" s="131"/>
      <c r="E45" s="132"/>
      <c r="F45" s="141"/>
      <c r="G45" s="73">
        <f t="shared" si="12"/>
        <v>0</v>
      </c>
      <c r="H45" s="73"/>
      <c r="I45" s="72"/>
      <c r="J45" s="72"/>
      <c r="K45" s="74"/>
      <c r="L45" s="75">
        <f t="shared" si="14"/>
        <v>0</v>
      </c>
      <c r="M45" s="75">
        <f t="shared" si="15"/>
        <v>0</v>
      </c>
      <c r="N45" s="76"/>
      <c r="O45" s="76"/>
      <c r="P45" s="76"/>
      <c r="Q45" s="76"/>
      <c r="R45" s="76"/>
      <c r="S45" s="76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x14ac:dyDescent="0.25">
      <c r="A46" s="64">
        <v>5</v>
      </c>
      <c r="B46" s="71"/>
      <c r="C46" s="72"/>
      <c r="D46" s="131"/>
      <c r="E46" s="132"/>
      <c r="F46" s="141"/>
      <c r="G46" s="73">
        <f t="shared" si="12"/>
        <v>0</v>
      </c>
      <c r="H46" s="73"/>
      <c r="I46" s="72"/>
      <c r="J46" s="72"/>
      <c r="K46" s="74"/>
      <c r="L46" s="75">
        <f t="shared" si="14"/>
        <v>0</v>
      </c>
      <c r="M46" s="75">
        <f t="shared" si="15"/>
        <v>0</v>
      </c>
      <c r="N46" s="76"/>
      <c r="O46" s="76"/>
      <c r="P46" s="76"/>
      <c r="Q46" s="76"/>
      <c r="R46" s="76"/>
      <c r="S46" s="76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 x14ac:dyDescent="0.25">
      <c r="A47" s="64">
        <v>6</v>
      </c>
      <c r="B47" s="71"/>
      <c r="C47" s="72"/>
      <c r="D47" s="131"/>
      <c r="E47" s="132"/>
      <c r="F47" s="141"/>
      <c r="G47" s="73">
        <f t="shared" si="12"/>
        <v>0</v>
      </c>
      <c r="H47" s="73"/>
      <c r="I47" s="72"/>
      <c r="J47" s="72"/>
      <c r="K47" s="74"/>
      <c r="L47" s="75">
        <f t="shared" si="14"/>
        <v>0</v>
      </c>
      <c r="M47" s="75">
        <f t="shared" si="15"/>
        <v>0</v>
      </c>
      <c r="N47" s="76"/>
      <c r="O47" s="76"/>
      <c r="P47" s="76"/>
      <c r="Q47" s="76"/>
      <c r="R47" s="76"/>
      <c r="S47" s="76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2" x14ac:dyDescent="0.25">
      <c r="A48" s="64">
        <v>7</v>
      </c>
      <c r="B48" s="71"/>
      <c r="C48" s="72"/>
      <c r="D48" s="131"/>
      <c r="E48" s="132"/>
      <c r="F48" s="141"/>
      <c r="G48" s="73">
        <f t="shared" si="12"/>
        <v>0</v>
      </c>
      <c r="H48" s="73"/>
      <c r="I48" s="72"/>
      <c r="J48" s="72"/>
      <c r="K48" s="74"/>
      <c r="L48" s="75">
        <f t="shared" si="14"/>
        <v>0</v>
      </c>
      <c r="M48" s="75">
        <f t="shared" si="15"/>
        <v>0</v>
      </c>
      <c r="N48" s="76"/>
      <c r="O48" s="76"/>
      <c r="P48" s="76"/>
      <c r="Q48" s="76"/>
      <c r="R48" s="76"/>
      <c r="S48" s="76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 x14ac:dyDescent="0.25">
      <c r="A49" s="64">
        <v>8</v>
      </c>
      <c r="B49" s="71"/>
      <c r="C49" s="72"/>
      <c r="D49" s="131"/>
      <c r="E49" s="132"/>
      <c r="F49" s="141"/>
      <c r="G49" s="73">
        <f t="shared" si="12"/>
        <v>0</v>
      </c>
      <c r="H49" s="73"/>
      <c r="I49" s="72"/>
      <c r="J49" s="72"/>
      <c r="K49" s="74"/>
      <c r="L49" s="75">
        <f t="shared" si="14"/>
        <v>0</v>
      </c>
      <c r="M49" s="75">
        <f t="shared" si="15"/>
        <v>0</v>
      </c>
      <c r="N49" s="76"/>
      <c r="O49" s="76"/>
      <c r="P49" s="76"/>
      <c r="Q49" s="76"/>
      <c r="R49" s="76"/>
      <c r="S49" s="76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 x14ac:dyDescent="0.25">
      <c r="A50" s="64">
        <v>9</v>
      </c>
      <c r="B50" s="71"/>
      <c r="C50" s="72"/>
      <c r="D50" s="77"/>
      <c r="E50" s="78"/>
      <c r="F50" s="79"/>
      <c r="G50" s="73">
        <f t="shared" si="12"/>
        <v>0</v>
      </c>
      <c r="H50" s="73"/>
      <c r="I50" s="72"/>
      <c r="J50" s="72"/>
      <c r="K50" s="74"/>
      <c r="L50" s="75">
        <f t="shared" si="14"/>
        <v>0</v>
      </c>
      <c r="M50" s="75">
        <f t="shared" si="15"/>
        <v>0</v>
      </c>
      <c r="N50" s="76"/>
      <c r="O50" s="76"/>
      <c r="P50" s="76"/>
      <c r="Q50" s="76"/>
      <c r="R50" s="76"/>
      <c r="S50" s="76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ht="15.75" thickBot="1" x14ac:dyDescent="0.3">
      <c r="A51" s="64">
        <v>10</v>
      </c>
      <c r="B51" s="71"/>
      <c r="C51" s="72"/>
      <c r="D51" s="131"/>
      <c r="E51" s="132"/>
      <c r="F51" s="141"/>
      <c r="G51" s="73">
        <f t="shared" si="12"/>
        <v>0</v>
      </c>
      <c r="H51" s="73"/>
      <c r="I51" s="72"/>
      <c r="J51" s="72"/>
      <c r="K51" s="74"/>
      <c r="L51" s="75">
        <f t="shared" si="14"/>
        <v>0</v>
      </c>
      <c r="M51" s="75">
        <f t="shared" si="15"/>
        <v>0</v>
      </c>
      <c r="N51" s="76"/>
      <c r="O51" s="76"/>
      <c r="P51" s="76"/>
      <c r="Q51" s="76"/>
      <c r="R51" s="76"/>
      <c r="S51" s="76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1:32" ht="15.75" thickBot="1" x14ac:dyDescent="0.3">
      <c r="A52" s="80"/>
      <c r="B52" s="81" t="s">
        <v>38</v>
      </c>
      <c r="C52" s="82">
        <f>SUM(C42:C51)</f>
        <v>1</v>
      </c>
      <c r="D52" s="83">
        <f>MIN(D42:F51)</f>
        <v>18.600000000000001</v>
      </c>
      <c r="E52" s="84" t="s">
        <v>32</v>
      </c>
      <c r="F52" s="85">
        <f>MAX(D42:F51)</f>
        <v>18.600000000000001</v>
      </c>
      <c r="G52" s="82">
        <f>SUM(G42:G51)</f>
        <v>18.600000000000001</v>
      </c>
      <c r="H52" s="86">
        <f>F52/D52</f>
        <v>1</v>
      </c>
      <c r="I52" s="87">
        <f>((G42*I42)+(G43*I43)+(G44*I44)+(G45*I45)+(G46*I46)+(G47*I47)+(G48*I48)+(G49*I49)+(G51*I51))/G52</f>
        <v>0.3</v>
      </c>
      <c r="J52" s="87">
        <f>((J42*G42)+(J43*G43)+(J44*G44)+(J45*G45)+(J46*G46)+(J47*G47)+(J48*G48)+(J49*G49)+(J51*G51))/G52</f>
        <v>0.5</v>
      </c>
      <c r="K52" s="87">
        <f>((K42*G42)+(K43*G43)+(K44*G44)+(K45*G45)+(K46*G46)+(K47*G47)+(K48*G48)+(K49*G49)+(K51*G51))/G52</f>
        <v>1.7320508075688772</v>
      </c>
      <c r="L52" s="87">
        <f>SUM(L42:L51)</f>
        <v>5.58</v>
      </c>
      <c r="M52" s="87">
        <f>SUM(M42:M51)</f>
        <v>9.6648435062343356</v>
      </c>
      <c r="N52" s="89">
        <f>(G52^2)/((G42^2)+(G43^2)+(G44^2)+(G45^2)+(G46^2)+(G47^2)+(G48^2)+(G49^2)+(G50^2)+(G51^2))</f>
        <v>1</v>
      </c>
      <c r="O52" s="88">
        <f ca="1">FORECAST(N52,FORECAST(I52,OFFSET(интерполяция!$B$6,MATCH(N52,интерполяция!$B$6:$B$41)-1,MATCH(I52,интерполяция!$B$6:$L$6)-1,1,2),OFFSET(интерполяция!$B$6,,MATCH(I52,интерполяция!$B$6:$L$6)-1,1,2))*{1;0}+FORECAST(I52,OFFSET(интерполяция!$B$6,MATCH(N52,интерполяция!$B$6:$B$41),MATCH(I52,интерполяция!$B$6:$L$6)-1,1,2),OFFSET(интерполяция!$B$6,,MATCH(I52,интерполяция!$B$6:$L$6)-1,1,2))*{0;1},OFFSET(интерполяция!$B$6,MATCH(N52,интерполяция!$B$6:$B$41),0,-2))</f>
        <v>2.67</v>
      </c>
      <c r="P52" s="89">
        <f ca="1">L52*O52</f>
        <v>14.8986</v>
      </c>
      <c r="Q52" s="89">
        <f ca="1">O52*M52</f>
        <v>25.805132161645677</v>
      </c>
      <c r="R52" s="89">
        <f ca="1">SQRT((P52^2)+(Q52^2))</f>
        <v>29.7972</v>
      </c>
      <c r="S52" s="89">
        <f ca="1">R52/(SQRT(3)*0.38)</f>
        <v>45.272161687097679</v>
      </c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18.75" x14ac:dyDescent="0.3">
      <c r="A53" s="90"/>
      <c r="B53" s="138" t="s">
        <v>66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40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1:32" x14ac:dyDescent="0.25">
      <c r="A54" s="91">
        <v>1</v>
      </c>
      <c r="B54" s="92" t="s">
        <v>40</v>
      </c>
      <c r="C54" s="72">
        <v>1</v>
      </c>
      <c r="D54" s="131">
        <v>9</v>
      </c>
      <c r="E54" s="132"/>
      <c r="F54" s="132"/>
      <c r="G54" s="73">
        <f>D54*C54</f>
        <v>9</v>
      </c>
      <c r="H54" s="93"/>
      <c r="I54" s="72">
        <v>0.85</v>
      </c>
      <c r="J54" s="72">
        <v>0.95</v>
      </c>
      <c r="K54" s="74">
        <f t="shared" ref="K54:K57" si="16">(SQRT(1-(J54^2)))/J54</f>
        <v>0.32868410517886315</v>
      </c>
      <c r="L54" s="75">
        <f>G54*I54</f>
        <v>7.6499999999999995</v>
      </c>
      <c r="M54" s="75">
        <f>L54*K54</f>
        <v>2.5144334046183028</v>
      </c>
      <c r="N54" s="73"/>
      <c r="O54" s="73"/>
      <c r="P54" s="73"/>
      <c r="Q54" s="73"/>
      <c r="R54" s="73"/>
      <c r="S54" s="73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1:32" x14ac:dyDescent="0.25">
      <c r="A55" s="91">
        <v>2</v>
      </c>
      <c r="B55" s="92" t="s">
        <v>41</v>
      </c>
      <c r="C55" s="72">
        <v>1</v>
      </c>
      <c r="D55" s="131">
        <v>8.5</v>
      </c>
      <c r="E55" s="132"/>
      <c r="F55" s="132"/>
      <c r="G55" s="73">
        <f t="shared" ref="G55:G63" si="17">D55*C55</f>
        <v>8.5</v>
      </c>
      <c r="H55" s="93"/>
      <c r="I55" s="72">
        <v>0.85</v>
      </c>
      <c r="J55" s="72">
        <v>0.95</v>
      </c>
      <c r="K55" s="74">
        <f>(SQRT(1-(J55^2)))/J55</f>
        <v>0.32868410517886315</v>
      </c>
      <c r="L55" s="75">
        <f t="shared" ref="L55:L63" si="18">G55*I55</f>
        <v>7.2249999999999996</v>
      </c>
      <c r="M55" s="75">
        <f t="shared" ref="M55:M63" si="19">L55*K55</f>
        <v>2.3747426599172861</v>
      </c>
      <c r="N55" s="73"/>
      <c r="O55" s="73"/>
      <c r="P55" s="73"/>
      <c r="Q55" s="73"/>
      <c r="R55" s="73"/>
      <c r="S55" s="73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1:32" x14ac:dyDescent="0.25">
      <c r="A56" s="91">
        <v>3</v>
      </c>
      <c r="B56" s="92" t="s">
        <v>42</v>
      </c>
      <c r="C56" s="72">
        <v>1</v>
      </c>
      <c r="D56" s="131">
        <v>3</v>
      </c>
      <c r="E56" s="132"/>
      <c r="F56" s="132"/>
      <c r="G56" s="73">
        <f t="shared" si="17"/>
        <v>3</v>
      </c>
      <c r="H56" s="93"/>
      <c r="I56" s="72">
        <v>0.85</v>
      </c>
      <c r="J56" s="72">
        <v>0.95</v>
      </c>
      <c r="K56" s="74">
        <f t="shared" si="16"/>
        <v>0.32868410517886315</v>
      </c>
      <c r="L56" s="75">
        <f t="shared" si="18"/>
        <v>2.5499999999999998</v>
      </c>
      <c r="M56" s="75">
        <f t="shared" si="19"/>
        <v>0.838144468206101</v>
      </c>
      <c r="N56" s="73"/>
      <c r="O56" s="73"/>
      <c r="P56" s="73"/>
      <c r="Q56" s="73"/>
      <c r="R56" s="73"/>
      <c r="S56" s="73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1:32" x14ac:dyDescent="0.25">
      <c r="A57" s="91">
        <v>4</v>
      </c>
      <c r="B57" s="92" t="s">
        <v>43</v>
      </c>
      <c r="C57" s="72">
        <v>1</v>
      </c>
      <c r="D57" s="131">
        <v>3</v>
      </c>
      <c r="E57" s="132"/>
      <c r="F57" s="132"/>
      <c r="G57" s="73">
        <f t="shared" si="17"/>
        <v>3</v>
      </c>
      <c r="H57" s="93"/>
      <c r="I57" s="72">
        <v>0.85</v>
      </c>
      <c r="J57" s="72">
        <v>0.95</v>
      </c>
      <c r="K57" s="74">
        <f t="shared" si="16"/>
        <v>0.32868410517886315</v>
      </c>
      <c r="L57" s="75">
        <f t="shared" si="18"/>
        <v>2.5499999999999998</v>
      </c>
      <c r="M57" s="75">
        <f t="shared" si="19"/>
        <v>0.838144468206101</v>
      </c>
      <c r="N57" s="73"/>
      <c r="O57" s="73"/>
      <c r="P57" s="73"/>
      <c r="Q57" s="73"/>
      <c r="R57" s="73"/>
      <c r="S57" s="73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1:32" x14ac:dyDescent="0.25">
      <c r="A58" s="91">
        <v>5</v>
      </c>
      <c r="B58" s="92"/>
      <c r="C58" s="72"/>
      <c r="D58" s="131"/>
      <c r="E58" s="132"/>
      <c r="F58" s="132"/>
      <c r="G58" s="73">
        <f t="shared" si="17"/>
        <v>0</v>
      </c>
      <c r="H58" s="93"/>
      <c r="I58" s="72"/>
      <c r="J58" s="72"/>
      <c r="K58" s="74"/>
      <c r="L58" s="75">
        <f t="shared" si="18"/>
        <v>0</v>
      </c>
      <c r="M58" s="75">
        <f t="shared" si="19"/>
        <v>0</v>
      </c>
      <c r="N58" s="73"/>
      <c r="O58" s="73"/>
      <c r="P58" s="73"/>
      <c r="Q58" s="73"/>
      <c r="R58" s="73"/>
      <c r="S58" s="73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1:32" x14ac:dyDescent="0.25">
      <c r="A59" s="91">
        <v>6</v>
      </c>
      <c r="B59" s="92"/>
      <c r="C59" s="72"/>
      <c r="D59" s="131"/>
      <c r="E59" s="132"/>
      <c r="F59" s="132"/>
      <c r="G59" s="73">
        <f t="shared" si="17"/>
        <v>0</v>
      </c>
      <c r="H59" s="93"/>
      <c r="I59" s="72"/>
      <c r="J59" s="72"/>
      <c r="K59" s="74"/>
      <c r="L59" s="75">
        <f t="shared" si="18"/>
        <v>0</v>
      </c>
      <c r="M59" s="75">
        <f t="shared" si="19"/>
        <v>0</v>
      </c>
      <c r="N59" s="73"/>
      <c r="O59" s="73"/>
      <c r="P59" s="73"/>
      <c r="Q59" s="73"/>
      <c r="R59" s="73"/>
      <c r="S59" s="73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32" x14ac:dyDescent="0.25">
      <c r="A60" s="91">
        <v>7</v>
      </c>
      <c r="B60" s="92"/>
      <c r="C60" s="72"/>
      <c r="D60" s="131"/>
      <c r="E60" s="132"/>
      <c r="F60" s="132"/>
      <c r="G60" s="73">
        <f t="shared" si="17"/>
        <v>0</v>
      </c>
      <c r="H60" s="93"/>
      <c r="I60" s="72"/>
      <c r="J60" s="72"/>
      <c r="K60" s="74"/>
      <c r="L60" s="75">
        <f t="shared" si="18"/>
        <v>0</v>
      </c>
      <c r="M60" s="75">
        <f t="shared" si="19"/>
        <v>0</v>
      </c>
      <c r="N60" s="73"/>
      <c r="O60" s="73"/>
      <c r="P60" s="73"/>
      <c r="Q60" s="73"/>
      <c r="R60" s="73"/>
      <c r="S60" s="73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1:32" x14ac:dyDescent="0.25">
      <c r="A61" s="91">
        <v>8</v>
      </c>
      <c r="B61" s="92"/>
      <c r="C61" s="72"/>
      <c r="D61" s="131"/>
      <c r="E61" s="132"/>
      <c r="F61" s="132"/>
      <c r="G61" s="73">
        <f t="shared" si="17"/>
        <v>0</v>
      </c>
      <c r="H61" s="93"/>
      <c r="I61" s="72"/>
      <c r="J61" s="72"/>
      <c r="K61" s="74"/>
      <c r="L61" s="75">
        <f t="shared" si="18"/>
        <v>0</v>
      </c>
      <c r="M61" s="75">
        <f t="shared" si="19"/>
        <v>0</v>
      </c>
      <c r="N61" s="73"/>
      <c r="O61" s="73"/>
      <c r="P61" s="73"/>
      <c r="Q61" s="73"/>
      <c r="R61" s="73"/>
      <c r="S61" s="73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1:32" x14ac:dyDescent="0.25">
      <c r="A62" s="91">
        <v>9</v>
      </c>
      <c r="B62" s="92"/>
      <c r="C62" s="72"/>
      <c r="D62" s="131"/>
      <c r="E62" s="132"/>
      <c r="F62" s="132"/>
      <c r="G62" s="73">
        <f t="shared" si="17"/>
        <v>0</v>
      </c>
      <c r="H62" s="93"/>
      <c r="I62" s="72"/>
      <c r="J62" s="72"/>
      <c r="K62" s="74"/>
      <c r="L62" s="75">
        <f t="shared" si="18"/>
        <v>0</v>
      </c>
      <c r="M62" s="75">
        <f t="shared" si="19"/>
        <v>0</v>
      </c>
      <c r="N62" s="73"/>
      <c r="O62" s="73"/>
      <c r="P62" s="73"/>
      <c r="Q62" s="73"/>
      <c r="R62" s="73"/>
      <c r="S62" s="73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1:32" ht="15.75" thickBot="1" x14ac:dyDescent="0.3">
      <c r="A63" s="91">
        <v>10</v>
      </c>
      <c r="B63" s="92"/>
      <c r="C63" s="72"/>
      <c r="D63" s="133"/>
      <c r="E63" s="134"/>
      <c r="F63" s="134"/>
      <c r="G63" s="94">
        <f t="shared" si="17"/>
        <v>0</v>
      </c>
      <c r="H63" s="93"/>
      <c r="I63" s="72"/>
      <c r="J63" s="72"/>
      <c r="K63" s="74"/>
      <c r="L63" s="75">
        <f t="shared" si="18"/>
        <v>0</v>
      </c>
      <c r="M63" s="75">
        <f t="shared" si="19"/>
        <v>0</v>
      </c>
      <c r="N63" s="73"/>
      <c r="O63" s="73"/>
      <c r="P63" s="73"/>
      <c r="Q63" s="73"/>
      <c r="R63" s="73"/>
      <c r="S63" s="73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1:32" ht="15.75" thickBot="1" x14ac:dyDescent="0.3">
      <c r="A64" s="95"/>
      <c r="B64" s="96" t="s">
        <v>38</v>
      </c>
      <c r="C64" s="82">
        <f>SUM(C54:C63)</f>
        <v>4</v>
      </c>
      <c r="D64" s="83">
        <f>MIN(D54:F63)</f>
        <v>3</v>
      </c>
      <c r="E64" s="84" t="s">
        <v>32</v>
      </c>
      <c r="F64" s="85">
        <f>MAX(D54:F63)</f>
        <v>9</v>
      </c>
      <c r="G64" s="97">
        <f>SUM(G54:G63)</f>
        <v>23.5</v>
      </c>
      <c r="H64" s="86">
        <f>F64/D64</f>
        <v>3</v>
      </c>
      <c r="I64" s="87">
        <f>((I54*G54)+(G55*I55)+(G56*I56)+(G57*I57)+(G58*I58)+(G59*I59)+(G60*I60)+(G61*I61)+(G62*I62)+(G63*I63))/G64</f>
        <v>0.85000000000000009</v>
      </c>
      <c r="J64" s="87">
        <f>((J54*G54)+(J55*G55)+(J56*G56)+(J57*G57)+(J58*G58)+(J59*G59)+(J60*G60)+(J61*G61)+(J62*G62)+(J63*G63))/G64</f>
        <v>0.95000000000000007</v>
      </c>
      <c r="K64" s="87">
        <f>((K54*G54)+(K55*G55)+(K56*G56)+(K57*G57)+(K58*G58)+(K59*G59)+(K60*G60)+(K61*G61)+(K62*G62)+(K63*G63))/G64</f>
        <v>0.32868410517886315</v>
      </c>
      <c r="L64" s="87">
        <f>SUM(L54:L63)</f>
        <v>19.975000000000001</v>
      </c>
      <c r="M64" s="87">
        <f>SUM(M54:M63)</f>
        <v>6.5654650009477908</v>
      </c>
      <c r="N64" s="89">
        <f>(G64^2)/((G54^2)+(G55^2)+(G56^2)+(G57^2)+(G58^2)+(G59^2)+(G60^2)+(G61^2)+(G62^2)+(G63^2))</f>
        <v>3.2248175182481753</v>
      </c>
      <c r="O64" s="88">
        <f ca="1">FORECAST(N64,FORECAST(I64,OFFSET(интерполяция!$B$6,MATCH(N64,интерполяция!$B$6:$B$41)-1,MATCH(I64,интерполяция!$B$6:$L$6)-1,1,2),OFFSET(интерполяция!$B$6,,MATCH(I64,интерполяция!$B$6:$L$6)-1,1,2))*{1;0}+FORECAST(I64,OFFSET(интерполяция!$B$6,MATCH(N64,интерполяция!$B$6:$B$41),MATCH(I64,интерполяция!$B$6:$L$6)-1,1,2),OFFSET(интерполяция!$B$6,,MATCH(I64,интерполяция!$B$6:$L$6)-1,1,2))*{0;1},OFFSET(интерполяция!$B$6,MATCH(N64,интерполяция!$B$6:$B$41),0,-2))</f>
        <v>1</v>
      </c>
      <c r="P64" s="89">
        <f ca="1">L64*O64</f>
        <v>19.975000000000001</v>
      </c>
      <c r="Q64" s="89">
        <f ca="1">O64*M64</f>
        <v>6.5654650009477908</v>
      </c>
      <c r="R64" s="89">
        <f ca="1">SQRT((P64^2)+(Q64^2))</f>
        <v>21.026315789473685</v>
      </c>
      <c r="S64" s="89">
        <f ca="1">R64/(SQRT(3)*0.38)</f>
        <v>31.946181792417661</v>
      </c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1:32" ht="18.75" x14ac:dyDescent="0.3">
      <c r="A65" s="90"/>
      <c r="B65" s="138" t="s">
        <v>67</v>
      </c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40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1:32" x14ac:dyDescent="0.25">
      <c r="A66" s="91">
        <v>1</v>
      </c>
      <c r="B66" s="92"/>
      <c r="C66" s="72">
        <v>1</v>
      </c>
      <c r="D66" s="131">
        <v>9.9999999999999995E-7</v>
      </c>
      <c r="E66" s="132"/>
      <c r="F66" s="132"/>
      <c r="G66" s="73">
        <f>D66*C66</f>
        <v>9.9999999999999995E-7</v>
      </c>
      <c r="H66" s="93"/>
      <c r="I66" s="72">
        <v>1</v>
      </c>
      <c r="J66" s="72">
        <v>1</v>
      </c>
      <c r="K66" s="74">
        <f t="shared" ref="K66" si="20">(SQRT(1-(J66^2)))/J66</f>
        <v>0</v>
      </c>
      <c r="L66" s="75">
        <f>G66*I66</f>
        <v>9.9999999999999995E-7</v>
      </c>
      <c r="M66" s="75">
        <f>L66*K66</f>
        <v>0</v>
      </c>
      <c r="N66" s="73"/>
      <c r="O66" s="73"/>
      <c r="P66" s="73"/>
      <c r="Q66" s="73"/>
      <c r="R66" s="73"/>
      <c r="S66" s="73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1:32" x14ac:dyDescent="0.25">
      <c r="A67" s="91">
        <v>2</v>
      </c>
      <c r="B67" s="92"/>
      <c r="C67" s="72"/>
      <c r="D67" s="131"/>
      <c r="E67" s="132"/>
      <c r="F67" s="132"/>
      <c r="G67" s="73">
        <f t="shared" ref="G67:G75" si="21">D67*C67</f>
        <v>0</v>
      </c>
      <c r="H67" s="93"/>
      <c r="I67" s="72"/>
      <c r="J67" s="72"/>
      <c r="K67" s="74"/>
      <c r="L67" s="75">
        <f t="shared" ref="L67:L75" si="22">G67*I67</f>
        <v>0</v>
      </c>
      <c r="M67" s="75">
        <f t="shared" ref="M67:M75" si="23">L67*K67</f>
        <v>0</v>
      </c>
      <c r="N67" s="73"/>
      <c r="O67" s="73"/>
      <c r="P67" s="73"/>
      <c r="Q67" s="73"/>
      <c r="R67" s="73"/>
      <c r="S67" s="73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1:32" x14ac:dyDescent="0.25">
      <c r="A68" s="91">
        <v>3</v>
      </c>
      <c r="B68" s="92"/>
      <c r="C68" s="72"/>
      <c r="D68" s="131"/>
      <c r="E68" s="132"/>
      <c r="F68" s="132"/>
      <c r="G68" s="73">
        <f t="shared" si="21"/>
        <v>0</v>
      </c>
      <c r="H68" s="93"/>
      <c r="I68" s="72"/>
      <c r="J68" s="72"/>
      <c r="K68" s="74"/>
      <c r="L68" s="75">
        <f t="shared" si="22"/>
        <v>0</v>
      </c>
      <c r="M68" s="75">
        <f t="shared" si="23"/>
        <v>0</v>
      </c>
      <c r="N68" s="73"/>
      <c r="O68" s="73"/>
      <c r="P68" s="73"/>
      <c r="Q68" s="73"/>
      <c r="R68" s="73"/>
      <c r="S68" s="73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1:32" x14ac:dyDescent="0.25">
      <c r="A69" s="91">
        <v>4</v>
      </c>
      <c r="B69" s="92"/>
      <c r="C69" s="72"/>
      <c r="D69" s="131"/>
      <c r="E69" s="132"/>
      <c r="F69" s="132"/>
      <c r="G69" s="73">
        <f t="shared" si="21"/>
        <v>0</v>
      </c>
      <c r="H69" s="93"/>
      <c r="I69" s="72"/>
      <c r="J69" s="72"/>
      <c r="K69" s="74"/>
      <c r="L69" s="75">
        <f t="shared" si="22"/>
        <v>0</v>
      </c>
      <c r="M69" s="75">
        <f t="shared" si="23"/>
        <v>0</v>
      </c>
      <c r="N69" s="73"/>
      <c r="O69" s="73"/>
      <c r="P69" s="73"/>
      <c r="Q69" s="73"/>
      <c r="R69" s="73"/>
      <c r="S69" s="73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pans="1:32" x14ac:dyDescent="0.25">
      <c r="A70" s="91">
        <v>5</v>
      </c>
      <c r="B70" s="92"/>
      <c r="C70" s="72"/>
      <c r="D70" s="131"/>
      <c r="E70" s="132"/>
      <c r="F70" s="132"/>
      <c r="G70" s="73">
        <f t="shared" si="21"/>
        <v>0</v>
      </c>
      <c r="H70" s="93"/>
      <c r="I70" s="72"/>
      <c r="J70" s="72"/>
      <c r="K70" s="74"/>
      <c r="L70" s="75">
        <f t="shared" si="22"/>
        <v>0</v>
      </c>
      <c r="M70" s="75">
        <f t="shared" si="23"/>
        <v>0</v>
      </c>
      <c r="N70" s="73"/>
      <c r="O70" s="73"/>
      <c r="P70" s="73"/>
      <c r="Q70" s="73"/>
      <c r="R70" s="73"/>
      <c r="S70" s="73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pans="1:32" x14ac:dyDescent="0.25">
      <c r="A71" s="91">
        <v>6</v>
      </c>
      <c r="B71" s="92"/>
      <c r="C71" s="72"/>
      <c r="D71" s="131"/>
      <c r="E71" s="132"/>
      <c r="F71" s="132"/>
      <c r="G71" s="73">
        <f t="shared" si="21"/>
        <v>0</v>
      </c>
      <c r="H71" s="93"/>
      <c r="I71" s="72"/>
      <c r="J71" s="72"/>
      <c r="K71" s="74"/>
      <c r="L71" s="75">
        <f t="shared" si="22"/>
        <v>0</v>
      </c>
      <c r="M71" s="75">
        <f t="shared" si="23"/>
        <v>0</v>
      </c>
      <c r="N71" s="73"/>
      <c r="O71" s="73"/>
      <c r="P71" s="73"/>
      <c r="Q71" s="73"/>
      <c r="R71" s="73"/>
      <c r="S71" s="73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pans="1:32" x14ac:dyDescent="0.25">
      <c r="A72" s="91">
        <v>7</v>
      </c>
      <c r="B72" s="92"/>
      <c r="C72" s="72"/>
      <c r="D72" s="131"/>
      <c r="E72" s="132"/>
      <c r="F72" s="132"/>
      <c r="G72" s="73">
        <f t="shared" si="21"/>
        <v>0</v>
      </c>
      <c r="H72" s="93"/>
      <c r="I72" s="72"/>
      <c r="J72" s="72"/>
      <c r="K72" s="74"/>
      <c r="L72" s="75">
        <f t="shared" si="22"/>
        <v>0</v>
      </c>
      <c r="M72" s="75">
        <f t="shared" si="23"/>
        <v>0</v>
      </c>
      <c r="N72" s="73"/>
      <c r="O72" s="73"/>
      <c r="P72" s="73"/>
      <c r="Q72" s="73"/>
      <c r="R72" s="73"/>
      <c r="S72" s="73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pans="1:32" x14ac:dyDescent="0.25">
      <c r="A73" s="91">
        <v>8</v>
      </c>
      <c r="B73" s="92"/>
      <c r="C73" s="72"/>
      <c r="D73" s="131"/>
      <c r="E73" s="132"/>
      <c r="F73" s="132"/>
      <c r="G73" s="73">
        <f t="shared" si="21"/>
        <v>0</v>
      </c>
      <c r="H73" s="93"/>
      <c r="I73" s="72"/>
      <c r="J73" s="72"/>
      <c r="K73" s="74"/>
      <c r="L73" s="75">
        <f t="shared" si="22"/>
        <v>0</v>
      </c>
      <c r="M73" s="75">
        <f t="shared" si="23"/>
        <v>0</v>
      </c>
      <c r="N73" s="73"/>
      <c r="O73" s="73"/>
      <c r="P73" s="73"/>
      <c r="Q73" s="73"/>
      <c r="R73" s="73"/>
      <c r="S73" s="73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pans="1:32" x14ac:dyDescent="0.25">
      <c r="A74" s="91">
        <v>9</v>
      </c>
      <c r="B74" s="92"/>
      <c r="C74" s="72"/>
      <c r="D74" s="131"/>
      <c r="E74" s="132"/>
      <c r="F74" s="132"/>
      <c r="G74" s="73">
        <f t="shared" si="21"/>
        <v>0</v>
      </c>
      <c r="H74" s="93"/>
      <c r="I74" s="72"/>
      <c r="J74" s="72"/>
      <c r="K74" s="74"/>
      <c r="L74" s="75">
        <f t="shared" si="22"/>
        <v>0</v>
      </c>
      <c r="M74" s="75">
        <f t="shared" si="23"/>
        <v>0</v>
      </c>
      <c r="N74" s="73"/>
      <c r="O74" s="73"/>
      <c r="P74" s="73"/>
      <c r="Q74" s="73"/>
      <c r="R74" s="73"/>
      <c r="S74" s="73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pans="1:32" ht="15.75" thickBot="1" x14ac:dyDescent="0.3">
      <c r="A75" s="91">
        <v>10</v>
      </c>
      <c r="B75" s="92"/>
      <c r="C75" s="72"/>
      <c r="D75" s="133"/>
      <c r="E75" s="134"/>
      <c r="F75" s="134"/>
      <c r="G75" s="94">
        <f t="shared" si="21"/>
        <v>0</v>
      </c>
      <c r="H75" s="93"/>
      <c r="I75" s="72"/>
      <c r="J75" s="72"/>
      <c r="K75" s="74"/>
      <c r="L75" s="75">
        <f t="shared" si="22"/>
        <v>0</v>
      </c>
      <c r="M75" s="75">
        <f t="shared" si="23"/>
        <v>0</v>
      </c>
      <c r="N75" s="73"/>
      <c r="O75" s="73"/>
      <c r="P75" s="73"/>
      <c r="Q75" s="73"/>
      <c r="R75" s="73"/>
      <c r="S75" s="73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pans="1:32" ht="15.75" thickBot="1" x14ac:dyDescent="0.3">
      <c r="A76" s="108"/>
      <c r="B76" s="99" t="s">
        <v>38</v>
      </c>
      <c r="C76" s="100">
        <f>SUM(C66:C75)</f>
        <v>1</v>
      </c>
      <c r="D76" s="101">
        <f>MIN(D66:F75)</f>
        <v>9.9999999999999995E-7</v>
      </c>
      <c r="E76" s="102" t="s">
        <v>32</v>
      </c>
      <c r="F76" s="103">
        <f>MAX(D66:F75)</f>
        <v>9.9999999999999995E-7</v>
      </c>
      <c r="G76" s="104">
        <f>SUM(G66:G75)</f>
        <v>9.9999999999999995E-7</v>
      </c>
      <c r="H76" s="105">
        <f>F76/D76</f>
        <v>1</v>
      </c>
      <c r="I76" s="106">
        <f>((I66*G66)+(G67*I67)+(G68*I68)+(G69*I69)+(G70*I70)+(G71*I71)+(G72*I72)+(G73*I73)+(G74*I74)+(G75*I75))/G76</f>
        <v>1</v>
      </c>
      <c r="J76" s="106">
        <f>((J66*G66)+(J67*G67)+(J68*G68)+(J69*G69)+(J70*G70)+(J71*G71)+(J72*G72)+(J73*G73)+(J74*G74)+(J75*G75))/G76</f>
        <v>1</v>
      </c>
      <c r="K76" s="106">
        <f>((K67*G67)+(K68*G68)+(K69*G69)+(K70*G70)+(K71*G71)+(K72*G72)+(K73*G73)+(K74*G74)+(K75*G75))/G76</f>
        <v>0</v>
      </c>
      <c r="L76" s="106">
        <f>SUM(L66:L75)</f>
        <v>9.9999999999999995E-7</v>
      </c>
      <c r="M76" s="106">
        <f>SUM(M66:M75)</f>
        <v>0</v>
      </c>
      <c r="N76" s="89">
        <f>(G76^2)/((G66^2)+(G67^2)+(G68^2)+(G69^2)+(G70^2)+(G71^2)+(G72^2)+(G73^2)+(G74^2)+(G75^2))</f>
        <v>1</v>
      </c>
      <c r="O76" s="88" t="e">
        <f ca="1">FORECAST(N76,FORECAST(I76,OFFSET(интерполяция!$B$6,MATCH(N76,интерполяция!$B$6:$B$41)-1,MATCH(I76,интерполяция!$B$6:$L$6)-1,1,2),OFFSET(интерполяция!$B$6,,MATCH(I76,интерполяция!$B$6:$L$6)-1,1,2))*{1;0}+FORECAST(I76,OFFSET(интерполяция!$B$6,MATCH(N76,интерполяция!$B$6:$B$41),MATCH(I76,интерполяция!$B$6:$L$6)-1,1,2),OFFSET(интерполяция!$B$6,,MATCH(I76,интерполяция!$B$6:$L$6)-1,1,2))*{0;1},OFFSET(интерполяция!$B$6,MATCH(N76,интерполяция!$B$6:$B$41),0,-2))</f>
        <v>#DIV/0!</v>
      </c>
      <c r="P76" s="107" t="e">
        <f ca="1">L76*O76</f>
        <v>#DIV/0!</v>
      </c>
      <c r="Q76" s="107" t="e">
        <f ca="1">O76*M76</f>
        <v>#DIV/0!</v>
      </c>
      <c r="R76" s="107" t="e">
        <f ca="1">SQRT((P76^2)+(Q76^2))</f>
        <v>#DIV/0!</v>
      </c>
      <c r="S76" s="107" t="e">
        <f ca="1">R76/(SQRT(3)*0.38)</f>
        <v>#DIV/0!</v>
      </c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pans="1:32" ht="15.75" thickBot="1" x14ac:dyDescent="0.3">
      <c r="A77" s="109"/>
      <c r="B77" s="110" t="s">
        <v>45</v>
      </c>
      <c r="C77" s="111">
        <f>SUM(C76,C64,C52,C40,C28,C16)</f>
        <v>18</v>
      </c>
      <c r="D77" s="112">
        <f>MIN(D64,D52,D40,D28,D16,D76)</f>
        <v>9.9999999999999995E-7</v>
      </c>
      <c r="E77" s="113" t="s">
        <v>32</v>
      </c>
      <c r="F77" s="114">
        <f>MAX(F76,F64,F52,F40,F28,F16)</f>
        <v>57.5</v>
      </c>
      <c r="G77" s="111">
        <f>SUM(G64,G76,G52,G40,G28,G16)</f>
        <v>362.440001</v>
      </c>
      <c r="H77" s="115">
        <f>F77/D77</f>
        <v>57500000</v>
      </c>
      <c r="I77" s="116">
        <f>((I16*G16)+(I28*G28)+(I40*G40)+(I52*G52)+(I64*G64)+(I76*G76))/G77</f>
        <v>0.39739819170787383</v>
      </c>
      <c r="J77" s="116">
        <f>((J16*G16)+(J28*G28)+(J40*G40)+(J52*G52)+(J64*G64)+(J76*G76))/G77</f>
        <v>0.72865301917930414</v>
      </c>
      <c r="K77" s="116">
        <f>(SQRT(1-(J77^2)))/J77</f>
        <v>0.93993028418253299</v>
      </c>
      <c r="L77" s="116">
        <f>SUM(L76+L64+L52+L40+L28+L16)</f>
        <v>173.61600100000001</v>
      </c>
      <c r="M77" s="116">
        <f>SUM(M76+M64+M52+M40+M28+M16)</f>
        <v>149.73500723275902</v>
      </c>
      <c r="N77" s="116">
        <f>G77^2/((G76^2)+(G64^2)+(G52^2)+(G40^2)+(G28^2)+(G16^2))</f>
        <v>2.6865132501159947</v>
      </c>
      <c r="O77" s="117">
        <v>1.75</v>
      </c>
      <c r="P77" s="116">
        <f>O77*L77</f>
        <v>303.82800175</v>
      </c>
      <c r="Q77" s="116">
        <f>O77*M77</f>
        <v>262.03626265732828</v>
      </c>
      <c r="R77" s="116">
        <f>SQRT((P77^2)+(Q77^2))</f>
        <v>401.21622299555423</v>
      </c>
      <c r="S77" s="116">
        <f>R77/(SQRT(3)*0.38)</f>
        <v>609.58498513086363</v>
      </c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2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2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pans="1:32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1:32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1:32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pans="1:32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1:32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pans="1:32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pans="1:32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pans="1:32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1:32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pans="1:32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pans="1:32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pans="1:32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pans="1:32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pans="1:32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1:32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pans="1:32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pans="1:32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1:32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1:32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pans="1:32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pans="1:32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pans="1:32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pans="1:32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pans="1:32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pans="1:32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pans="1:32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pans="1:32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pans="1:32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pans="1:32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pans="1:32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pans="1:32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pans="1:32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pans="1:32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pans="1:32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pans="1:32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pans="1:32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pans="1:32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1:32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</sheetData>
  <sheetProtection formatCells="0"/>
  <dataConsolidate/>
  <mergeCells count="70">
    <mergeCell ref="P2:R2"/>
    <mergeCell ref="D2:F2"/>
    <mergeCell ref="D3:F3"/>
    <mergeCell ref="D4:F4"/>
    <mergeCell ref="L2:M2"/>
    <mergeCell ref="D19:F19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B17:S17"/>
    <mergeCell ref="D18:F18"/>
    <mergeCell ref="D32:F32"/>
    <mergeCell ref="D20:F20"/>
    <mergeCell ref="D21:F21"/>
    <mergeCell ref="D22:F22"/>
    <mergeCell ref="D23:F23"/>
    <mergeCell ref="D24:F24"/>
    <mergeCell ref="D25:F25"/>
    <mergeCell ref="D26:F26"/>
    <mergeCell ref="D27:F27"/>
    <mergeCell ref="B29:S29"/>
    <mergeCell ref="D30:F30"/>
    <mergeCell ref="D31:F31"/>
    <mergeCell ref="D43:F43"/>
    <mergeCell ref="D44:F44"/>
    <mergeCell ref="D45:F45"/>
    <mergeCell ref="D33:F33"/>
    <mergeCell ref="D34:F34"/>
    <mergeCell ref="D35:F35"/>
    <mergeCell ref="D36:F36"/>
    <mergeCell ref="D37:F37"/>
    <mergeCell ref="D38:F38"/>
    <mergeCell ref="A1:S1"/>
    <mergeCell ref="D67:F67"/>
    <mergeCell ref="D68:F68"/>
    <mergeCell ref="D69:F69"/>
    <mergeCell ref="D70:F70"/>
    <mergeCell ref="D60:F60"/>
    <mergeCell ref="D61:F61"/>
    <mergeCell ref="D62:F62"/>
    <mergeCell ref="D63:F63"/>
    <mergeCell ref="B65:S65"/>
    <mergeCell ref="D66:F66"/>
    <mergeCell ref="D54:F54"/>
    <mergeCell ref="D55:F55"/>
    <mergeCell ref="D56:F56"/>
    <mergeCell ref="D57:F57"/>
    <mergeCell ref="D58:F58"/>
    <mergeCell ref="D73:F73"/>
    <mergeCell ref="D74:F74"/>
    <mergeCell ref="D75:F75"/>
    <mergeCell ref="B5:S5"/>
    <mergeCell ref="B41:S41"/>
    <mergeCell ref="D71:F71"/>
    <mergeCell ref="D72:F72"/>
    <mergeCell ref="D59:F59"/>
    <mergeCell ref="D46:F46"/>
    <mergeCell ref="D47:F47"/>
    <mergeCell ref="D48:F48"/>
    <mergeCell ref="D49:F49"/>
    <mergeCell ref="D51:F51"/>
    <mergeCell ref="B53:S53"/>
    <mergeCell ref="D39:F39"/>
    <mergeCell ref="D42:F42"/>
  </mergeCells>
  <printOptions horizontalCentered="1" verticalCentered="1"/>
  <pageMargins left="0.39370078740157483" right="0.39370078740157483" top="0.39370078740157483" bottom="0.39370078740157483" header="3.937007874015748E-2" footer="3.937007874015748E-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J1" workbookViewId="0">
      <selection activeCell="Q12" sqref="Q12"/>
    </sheetView>
  </sheetViews>
  <sheetFormatPr defaultRowHeight="15" x14ac:dyDescent="0.25"/>
  <cols>
    <col min="1" max="1" width="6.7109375" customWidth="1"/>
    <col min="14" max="14" width="14.28515625" customWidth="1"/>
    <col min="15" max="15" width="13.5703125" customWidth="1"/>
    <col min="16" max="16" width="5" customWidth="1"/>
    <col min="20" max="20" width="3.42578125" customWidth="1"/>
    <col min="23" max="23" width="3.140625" customWidth="1"/>
  </cols>
  <sheetData>
    <row r="1" spans="1:29" ht="15.75" x14ac:dyDescent="0.25">
      <c r="C1" s="16">
        <v>6000</v>
      </c>
      <c r="D1" s="17">
        <v>15.5</v>
      </c>
      <c r="J1">
        <v>0.2</v>
      </c>
      <c r="K1">
        <v>0.23</v>
      </c>
      <c r="L1">
        <v>0.3</v>
      </c>
      <c r="N1" s="6" t="s">
        <v>50</v>
      </c>
      <c r="O1" s="6" t="s">
        <v>8</v>
      </c>
    </row>
    <row r="2" spans="1:29" ht="15.75" thickBot="1" x14ac:dyDescent="0.3">
      <c r="C2" s="16">
        <v>6378</v>
      </c>
      <c r="D2" s="17" t="s">
        <v>55</v>
      </c>
      <c r="I2" s="2"/>
      <c r="J2" s="14">
        <v>1.67</v>
      </c>
      <c r="L2" s="14">
        <v>1.45</v>
      </c>
      <c r="N2" s="7">
        <f>интерполяция!N2</f>
        <v>3.22</v>
      </c>
      <c r="O2" s="7">
        <f>интерполяция!O2</f>
        <v>0.85</v>
      </c>
    </row>
    <row r="3" spans="1:29" ht="16.5" thickBot="1" x14ac:dyDescent="0.3">
      <c r="C3" s="16">
        <v>8000</v>
      </c>
      <c r="D3" s="17">
        <v>19.2</v>
      </c>
      <c r="I3" s="2"/>
      <c r="N3" s="7" t="str">
        <f>интерполяция!N3</f>
        <v>строка</v>
      </c>
      <c r="O3" s="7" t="str">
        <f>интерполяция!O3</f>
        <v>столбец</v>
      </c>
      <c r="Q3" s="1"/>
      <c r="R3" s="160" t="s">
        <v>8</v>
      </c>
      <c r="S3" s="161"/>
    </row>
    <row r="4" spans="1:29" ht="15.75" x14ac:dyDescent="0.25">
      <c r="I4" s="2"/>
      <c r="N4" s="7">
        <f>интерполяция!N4</f>
        <v>4</v>
      </c>
      <c r="O4" s="7">
        <f>интерполяция!O4</f>
        <v>10</v>
      </c>
      <c r="Q4" s="13" t="s">
        <v>50</v>
      </c>
      <c r="R4" s="10">
        <f>интерполяция!R4</f>
        <v>0.8</v>
      </c>
      <c r="S4" s="10">
        <f>интерполяция!S4</f>
        <v>0.9</v>
      </c>
      <c r="U4" s="10">
        <f>R4</f>
        <v>0.8</v>
      </c>
      <c r="V4" s="10">
        <f>S4</f>
        <v>0.9</v>
      </c>
      <c r="X4" s="13" t="s">
        <v>50</v>
      </c>
    </row>
    <row r="5" spans="1:29" x14ac:dyDescent="0.25">
      <c r="I5" s="2"/>
      <c r="K5">
        <f>J2+((K1-J1)/(L1-J1))*(L2-J2)/1</f>
        <v>1.6039999999999999</v>
      </c>
      <c r="N5" s="162" t="s">
        <v>54</v>
      </c>
      <c r="O5" s="162"/>
      <c r="Q5" s="9">
        <f>интерполяция!Q5</f>
        <v>3</v>
      </c>
      <c r="R5" s="14">
        <f>интерполяция!R5</f>
        <v>1</v>
      </c>
      <c r="S5" s="14">
        <f>интерполяция!S5</f>
        <v>1</v>
      </c>
      <c r="U5" s="14">
        <f>FORECAST(N2,R5:R6,Q5:Q6)</f>
        <v>1</v>
      </c>
      <c r="V5" s="14">
        <f>FORECAST(N2,S5:S6,Q5:Q6)</f>
        <v>1</v>
      </c>
      <c r="X5" s="9">
        <v>14</v>
      </c>
      <c r="Y5" s="14">
        <f>FORECAST(O2,R5:S5,R4:S4)</f>
        <v>1</v>
      </c>
    </row>
    <row r="6" spans="1:29" ht="15.75" x14ac:dyDescent="0.25">
      <c r="I6" s="2"/>
      <c r="J6" s="2"/>
      <c r="K6" s="2"/>
      <c r="L6" s="2"/>
      <c r="N6" s="163">
        <f ca="1">интерполяция!N6</f>
        <v>1</v>
      </c>
      <c r="O6" s="163"/>
      <c r="Q6" s="9">
        <f>интерполяция!Q6</f>
        <v>4</v>
      </c>
      <c r="R6" s="14">
        <f>интерполяция!R6</f>
        <v>1</v>
      </c>
      <c r="S6" s="14">
        <f>интерполяция!S6</f>
        <v>1</v>
      </c>
      <c r="X6" s="9">
        <v>16</v>
      </c>
      <c r="Y6" s="14">
        <f>FORECAST(O2,R6:S6,R4:S4)</f>
        <v>1</v>
      </c>
    </row>
    <row r="7" spans="1:29" ht="16.5" thickBot="1" x14ac:dyDescent="0.3">
      <c r="I7" s="2"/>
      <c r="J7" s="2"/>
      <c r="K7" s="2"/>
      <c r="L7" s="2"/>
      <c r="N7" s="163">
        <f>FORECAST(O2,U5:V5,U4:V4)</f>
        <v>1</v>
      </c>
      <c r="O7" s="163"/>
    </row>
    <row r="8" spans="1:29" ht="15.75" x14ac:dyDescent="0.25">
      <c r="A8">
        <v>4.8</v>
      </c>
      <c r="B8">
        <v>7.6999999999999999E-2</v>
      </c>
      <c r="I8" s="2"/>
      <c r="J8" s="2"/>
      <c r="K8" s="2"/>
      <c r="L8" s="2"/>
      <c r="N8" s="163">
        <f>FORECAST(N2,Y5:Y6,Q5:Q6)</f>
        <v>1</v>
      </c>
      <c r="O8" s="163"/>
      <c r="U8" s="10">
        <f>R4</f>
        <v>0.8</v>
      </c>
      <c r="V8" s="10">
        <f>S4</f>
        <v>0.9</v>
      </c>
      <c r="X8" s="15" t="s">
        <v>50</v>
      </c>
    </row>
    <row r="9" spans="1:29" ht="15.75" x14ac:dyDescent="0.25">
      <c r="A9">
        <v>5</v>
      </c>
      <c r="B9" t="s">
        <v>56</v>
      </c>
      <c r="E9" s="18">
        <f>0.077+(5-4.8)/(5.2-4.8)*(0.067-0.077)/1</f>
        <v>7.2000000000000008E-2</v>
      </c>
      <c r="I9" s="2"/>
      <c r="J9" s="2"/>
      <c r="K9" s="2"/>
      <c r="L9" s="2"/>
      <c r="N9" s="158">
        <f>U5+((O2-R4)/(S4-R4))*(V5-U5)/1</f>
        <v>1</v>
      </c>
      <c r="O9" s="159"/>
      <c r="U9" s="14">
        <f>R$5+($N$2-$Q$5)/($Q$6-$Q$5)*(R$6-R$5)/1</f>
        <v>1</v>
      </c>
      <c r="V9" s="14">
        <f>S$5+($N$2-$Q$5)/($Q$6-$Q$5)*(S$6-S$5)/1</f>
        <v>1</v>
      </c>
      <c r="X9" s="9">
        <v>14</v>
      </c>
      <c r="Y9" s="14">
        <f>R5+(($O$2-$R$4)/($S$4-$R$4))*(S5-R5)/1</f>
        <v>1</v>
      </c>
      <c r="AA9" s="2"/>
      <c r="AB9" s="2"/>
      <c r="AC9" s="2"/>
    </row>
    <row r="10" spans="1:29" ht="15.75" x14ac:dyDescent="0.25">
      <c r="A10">
        <v>5.2</v>
      </c>
      <c r="B10">
        <v>0.67</v>
      </c>
      <c r="I10" s="2"/>
      <c r="J10" s="2"/>
      <c r="K10" s="2"/>
      <c r="L10" s="2"/>
      <c r="N10" s="158">
        <f>U9+((O2-R4)/(S4-R4))*(V9-U9)/1</f>
        <v>1</v>
      </c>
      <c r="O10" s="159"/>
      <c r="X10" s="9">
        <v>16</v>
      </c>
      <c r="Y10" s="14">
        <f>R6+(($O$2-$R$4)/($S$4-$R$4))*(S6-R6)/1</f>
        <v>1</v>
      </c>
      <c r="AA10" s="12"/>
      <c r="AB10" s="2"/>
      <c r="AC10" s="12"/>
    </row>
    <row r="11" spans="1:29" ht="15.75" x14ac:dyDescent="0.25">
      <c r="I11" s="2"/>
      <c r="J11" s="2"/>
      <c r="K11" s="2"/>
      <c r="L11" s="2"/>
      <c r="N11" s="158">
        <f>FORECAST(N2,Y9:Y10,Q5:Q6)</f>
        <v>1</v>
      </c>
      <c r="O11" s="159"/>
      <c r="X11" s="16"/>
      <c r="Y11" s="17"/>
      <c r="AA11" s="2"/>
      <c r="AB11" s="2"/>
      <c r="AC11" s="2"/>
    </row>
    <row r="12" spans="1:29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X12" s="16"/>
      <c r="Y12" s="17"/>
    </row>
    <row r="13" spans="1:29" ht="15.75" x14ac:dyDescent="0.25">
      <c r="C13" s="3"/>
      <c r="D13" s="4"/>
      <c r="E13" s="4"/>
      <c r="F13" s="4"/>
      <c r="G13" s="4"/>
      <c r="H13" s="4"/>
      <c r="I13" s="2"/>
      <c r="J13" s="2"/>
      <c r="K13" s="2"/>
      <c r="L13" s="2"/>
    </row>
    <row r="14" spans="1:2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8">
    <mergeCell ref="N10:O10"/>
    <mergeCell ref="N11:O11"/>
    <mergeCell ref="N9:O9"/>
    <mergeCell ref="R3:S3"/>
    <mergeCell ref="N5:O5"/>
    <mergeCell ref="N6:O6"/>
    <mergeCell ref="N7:O7"/>
    <mergeCell ref="N8:O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workbookViewId="0">
      <selection activeCell="O3" sqref="O3"/>
    </sheetView>
  </sheetViews>
  <sheetFormatPr defaultRowHeight="15" x14ac:dyDescent="0.25"/>
  <cols>
    <col min="14" max="14" width="13.42578125" customWidth="1"/>
    <col min="15" max="15" width="15.140625" customWidth="1"/>
    <col min="16" max="16" width="2.28515625" customWidth="1"/>
    <col min="17" max="17" width="8" customWidth="1"/>
    <col min="18" max="18" width="9.7109375" customWidth="1"/>
    <col min="19" max="19" width="10.28515625" bestFit="1" customWidth="1"/>
    <col min="20" max="20" width="3" customWidth="1"/>
    <col min="23" max="23" width="2.42578125" customWidth="1"/>
  </cols>
  <sheetData>
    <row r="1" spans="1:28" ht="15.75" x14ac:dyDescent="0.25">
      <c r="A1" s="48">
        <v>1.55</v>
      </c>
      <c r="B1" s="48">
        <f ca="1">FORECAST(O2,OFFSET($B$6,MATCH(N2,B6:B34)-1,MATCH(O2,B6:L6)-1,1,2),OFFSET($B$6,,MATCH(O2,B6:L6)-1,1,2))</f>
        <v>1</v>
      </c>
      <c r="C1" s="48"/>
      <c r="D1" s="48">
        <f ca="1">FORECAST(N2,B1:B2,Q5:Q6)</f>
        <v>1</v>
      </c>
      <c r="E1" s="48"/>
      <c r="F1" s="48"/>
      <c r="G1" s="48"/>
      <c r="H1" s="48"/>
      <c r="I1" s="48"/>
      <c r="J1" s="48"/>
      <c r="K1" s="48"/>
      <c r="L1" s="48"/>
      <c r="M1" s="127">
        <v>1</v>
      </c>
      <c r="N1" s="6" t="s">
        <v>50</v>
      </c>
      <c r="O1" s="6" t="s">
        <v>8</v>
      </c>
      <c r="P1" s="119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5" customHeight="1" thickBot="1" x14ac:dyDescent="0.3">
      <c r="A2" s="48"/>
      <c r="B2" s="48">
        <f ca="1">FORECAST(O2,OFFSET($B$6,MATCH(N2,B6:B34),MATCH(O2,B6:L6)-1,1,2),OFFSET($B$6,,MATCH(O2,B6:L6)-1,1,2))</f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128"/>
      <c r="N2" s="7">
        <v>3.22</v>
      </c>
      <c r="O2" s="8">
        <v>0.85</v>
      </c>
      <c r="P2" s="120"/>
      <c r="Q2" s="126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5" customHeight="1" thickBot="1" x14ac:dyDescent="0.3">
      <c r="A3" s="48"/>
      <c r="B3" s="48" t="e">
        <f ca="1">OFFSET($B$6,MATCH(N2,B6:B34),0,-2)</f>
        <v>#VALUE!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128"/>
      <c r="N3" s="9" t="s">
        <v>52</v>
      </c>
      <c r="O3" s="10" t="s">
        <v>53</v>
      </c>
      <c r="P3" s="121"/>
      <c r="Q3" s="48"/>
      <c r="R3" s="160" t="s">
        <v>8</v>
      </c>
      <c r="S3" s="161"/>
      <c r="T3" s="48"/>
      <c r="U3" s="48"/>
      <c r="V3" s="48"/>
      <c r="W3" s="48"/>
      <c r="X3" s="48"/>
      <c r="Y3" s="48"/>
      <c r="Z3" s="48"/>
      <c r="AA3" s="48"/>
      <c r="AB3" s="48"/>
    </row>
    <row r="4" spans="1:28" ht="16.5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28"/>
      <c r="N4" s="9">
        <f>MATCH($N$2,B6:B41)</f>
        <v>4</v>
      </c>
      <c r="O4" s="11">
        <f>MATCH($O$2,B6:L6)</f>
        <v>10</v>
      </c>
      <c r="P4" s="122"/>
      <c r="Q4" s="5" t="s">
        <v>50</v>
      </c>
      <c r="R4" s="10">
        <f>INDEX(B6:L6,,MATCH($O$2,B6:L6))</f>
        <v>0.8</v>
      </c>
      <c r="S4" s="10">
        <f>INDEX(B6:L6,,MATCH($O$2,B6:L6)+1)</f>
        <v>0.9</v>
      </c>
      <c r="T4" s="48"/>
      <c r="U4" s="10">
        <f>R4</f>
        <v>0.8</v>
      </c>
      <c r="V4" s="10">
        <f>S4</f>
        <v>0.9</v>
      </c>
      <c r="W4" s="48"/>
      <c r="X4" s="13" t="s">
        <v>50</v>
      </c>
      <c r="Y4" s="48"/>
      <c r="Z4" s="48"/>
      <c r="AA4" s="48"/>
      <c r="AB4" s="48"/>
    </row>
    <row r="5" spans="1:28" ht="16.5" customHeight="1" thickBot="1" x14ac:dyDescent="0.3">
      <c r="A5" s="48"/>
      <c r="B5" s="20" t="s">
        <v>50</v>
      </c>
      <c r="C5" s="160" t="s">
        <v>51</v>
      </c>
      <c r="D5" s="165"/>
      <c r="E5" s="165"/>
      <c r="F5" s="165"/>
      <c r="G5" s="165"/>
      <c r="H5" s="165"/>
      <c r="I5" s="165"/>
      <c r="J5" s="165"/>
      <c r="K5" s="165"/>
      <c r="L5" s="161"/>
      <c r="M5" s="128"/>
      <c r="N5" s="162" t="s">
        <v>54</v>
      </c>
      <c r="O5" s="162"/>
      <c r="P5" s="123"/>
      <c r="Q5" s="9">
        <f>INDEX(B6:B41,MATCH($N$2,B6:B41))</f>
        <v>3</v>
      </c>
      <c r="R5" s="14">
        <f>INDEX($B$6:$L$41,MATCH($N$2,$B$6:$B$41),MATCH($O$2,$B$6:$L$6))</f>
        <v>1</v>
      </c>
      <c r="S5" s="14">
        <f>INDEX($B$6:$L$41,MATCH($N$2,$B$6:$B$41),MATCH($O$2,$B$6:$L$6)+1)</f>
        <v>1</v>
      </c>
      <c r="T5" s="48"/>
      <c r="U5" s="14">
        <f>FORECAST(N2,R5:R6,Q5:Q6)</f>
        <v>1</v>
      </c>
      <c r="V5" s="14">
        <f>FORECAST(N2,S5:S6,Q5:Q6)</f>
        <v>1</v>
      </c>
      <c r="W5" s="48"/>
      <c r="X5" s="9">
        <f>Q5</f>
        <v>3</v>
      </c>
      <c r="Y5" s="14">
        <f>FORECAST(O2,R5:S5,R4:S4)</f>
        <v>1</v>
      </c>
      <c r="Z5" s="48"/>
      <c r="AA5" s="48"/>
      <c r="AB5" s="48"/>
    </row>
    <row r="6" spans="1:28" ht="16.5" thickBot="1" x14ac:dyDescent="0.3">
      <c r="A6" s="48"/>
      <c r="B6" s="6"/>
      <c r="C6" s="19">
        <v>0.1</v>
      </c>
      <c r="D6" s="19">
        <v>0.15</v>
      </c>
      <c r="E6" s="19">
        <v>0.2</v>
      </c>
      <c r="F6" s="19">
        <v>0.3</v>
      </c>
      <c r="G6" s="19">
        <v>0.4</v>
      </c>
      <c r="H6" s="19">
        <v>0.5</v>
      </c>
      <c r="I6" s="19">
        <v>0.6</v>
      </c>
      <c r="J6" s="19">
        <v>0.7</v>
      </c>
      <c r="K6" s="19">
        <v>0.8</v>
      </c>
      <c r="L6" s="19">
        <v>0.9</v>
      </c>
      <c r="M6" s="128"/>
      <c r="N6" s="164">
        <f ca="1">FORECAST(N2,FORECAST(O2,OFFSET($B$6,MATCH(N2,B6:B41)-1,MATCH(O2,B6:L6)-1,1,2),OFFSET($B$6,,MATCH(O2,B6:L6)-1,1,2))*{1;0}+FORECAST(O2,OFFSET($B$6,MATCH(N2,B6:B41),MATCH(O2,B6:L6)-1,1,2),OFFSET($B$6,,MATCH(O2,B6:L6)-1,1,2))*{0;1},OFFSET($B$6,MATCH(N2,B6:B41),0,-2))</f>
        <v>1</v>
      </c>
      <c r="O6" s="164"/>
      <c r="P6" s="124"/>
      <c r="Q6" s="9">
        <f>INDEX(B6:B41,MATCH($N$2,B6:B41)+1)</f>
        <v>4</v>
      </c>
      <c r="R6" s="14">
        <f>INDEX($B$6:$L$41,MATCH($N$2,$B$6:$B$41)+1,MATCH($O$2,$B$6:$L$6))</f>
        <v>1</v>
      </c>
      <c r="S6" s="14">
        <f>INDEX($B$6:$L$41,MATCH($N$2,$B$6:$B$41)+1,MATCH($O$2,$B$6:$L$6)+1)</f>
        <v>1</v>
      </c>
      <c r="T6" s="48"/>
      <c r="U6" s="48"/>
      <c r="V6" s="48"/>
      <c r="W6" s="48"/>
      <c r="X6" s="9">
        <f>Q6</f>
        <v>4</v>
      </c>
      <c r="Y6" s="14">
        <f>FORECAST(O2,R6:S6,R4:S4)</f>
        <v>1</v>
      </c>
      <c r="Z6" s="48"/>
      <c r="AA6" s="48"/>
      <c r="AB6" s="48"/>
    </row>
    <row r="7" spans="1:28" ht="16.5" thickBot="1" x14ac:dyDescent="0.3">
      <c r="A7" s="48"/>
      <c r="B7" s="21">
        <v>1</v>
      </c>
      <c r="C7" s="24">
        <v>8</v>
      </c>
      <c r="D7" s="25">
        <v>5.33</v>
      </c>
      <c r="E7" s="25">
        <v>4</v>
      </c>
      <c r="F7" s="25">
        <v>2.67</v>
      </c>
      <c r="G7" s="25">
        <v>2</v>
      </c>
      <c r="H7" s="25">
        <v>1.6</v>
      </c>
      <c r="I7" s="25">
        <v>1.33</v>
      </c>
      <c r="J7" s="25">
        <v>1.1399999999999999</v>
      </c>
      <c r="K7" s="26">
        <v>1</v>
      </c>
      <c r="L7" s="27">
        <v>1</v>
      </c>
      <c r="M7" s="128"/>
      <c r="N7" s="163">
        <f>FORECAST(O2,U5:V5,R4:S4)</f>
        <v>1</v>
      </c>
      <c r="O7" s="163"/>
      <c r="P7" s="125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6.5" thickBot="1" x14ac:dyDescent="0.3">
      <c r="A8" s="48"/>
      <c r="B8" s="28">
        <v>2</v>
      </c>
      <c r="C8" s="29">
        <v>6.22</v>
      </c>
      <c r="D8" s="30">
        <v>4.33</v>
      </c>
      <c r="E8" s="30">
        <v>3.39</v>
      </c>
      <c r="F8" s="30">
        <v>2.4500000000000002</v>
      </c>
      <c r="G8" s="30">
        <v>1.98</v>
      </c>
      <c r="H8" s="30">
        <v>1.6</v>
      </c>
      <c r="I8" s="30">
        <v>1.33</v>
      </c>
      <c r="J8" s="30">
        <v>1.1399999999999999</v>
      </c>
      <c r="K8" s="31">
        <v>1</v>
      </c>
      <c r="L8" s="32">
        <v>1</v>
      </c>
      <c r="M8" s="128"/>
      <c r="N8" s="163">
        <f>FORECAST(N2,Y5:Y6,Q5:Q6)</f>
        <v>1</v>
      </c>
      <c r="O8" s="163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6.5" thickBot="1" x14ac:dyDescent="0.3">
      <c r="A9" s="48"/>
      <c r="B9" s="28">
        <v>3</v>
      </c>
      <c r="C9" s="29">
        <v>4.05</v>
      </c>
      <c r="D9" s="30">
        <v>2.69</v>
      </c>
      <c r="E9" s="30">
        <v>2.31</v>
      </c>
      <c r="F9" s="30">
        <v>1.74</v>
      </c>
      <c r="G9" s="30">
        <v>1.45</v>
      </c>
      <c r="H9" s="30">
        <v>1.34</v>
      </c>
      <c r="I9" s="30">
        <v>1.22</v>
      </c>
      <c r="J9" s="30">
        <v>1.1399999999999999</v>
      </c>
      <c r="K9" s="31">
        <v>1</v>
      </c>
      <c r="L9" s="32">
        <v>1</v>
      </c>
      <c r="M9" s="12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6.5" thickBot="1" x14ac:dyDescent="0.3">
      <c r="A10" s="48"/>
      <c r="B10" s="33">
        <v>4</v>
      </c>
      <c r="C10" s="29">
        <v>3.24</v>
      </c>
      <c r="D10" s="30">
        <v>2.35</v>
      </c>
      <c r="E10" s="30">
        <v>1.91</v>
      </c>
      <c r="F10" s="30">
        <v>1.47</v>
      </c>
      <c r="G10" s="30">
        <v>1.25</v>
      </c>
      <c r="H10" s="30">
        <v>1.21</v>
      </c>
      <c r="I10" s="30">
        <v>1.1200000000000001</v>
      </c>
      <c r="J10" s="30">
        <v>1.06</v>
      </c>
      <c r="K10" s="31">
        <v>1</v>
      </c>
      <c r="L10" s="32">
        <v>1</v>
      </c>
      <c r="M10" s="127">
        <v>2</v>
      </c>
      <c r="N10" s="6" t="s">
        <v>50</v>
      </c>
      <c r="O10" s="6" t="s">
        <v>8</v>
      </c>
      <c r="P10" s="119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6.5" thickBot="1" x14ac:dyDescent="0.3">
      <c r="A11" s="48"/>
      <c r="B11" s="33">
        <v>5</v>
      </c>
      <c r="C11" s="34">
        <v>2.84</v>
      </c>
      <c r="D11" s="31">
        <v>2.09</v>
      </c>
      <c r="E11" s="31">
        <v>1.72</v>
      </c>
      <c r="F11" s="31">
        <v>1.35</v>
      </c>
      <c r="G11" s="31">
        <v>1.1599999999999999</v>
      </c>
      <c r="H11" s="31">
        <v>1.1599999999999999</v>
      </c>
      <c r="I11" s="31">
        <v>1.08</v>
      </c>
      <c r="J11" s="31">
        <v>1.03</v>
      </c>
      <c r="K11" s="31">
        <v>1</v>
      </c>
      <c r="L11" s="35">
        <v>1</v>
      </c>
      <c r="M11" s="128"/>
      <c r="N11" s="7">
        <f ca="1">Лист1!O28</f>
        <v>1.4585973059440485</v>
      </c>
      <c r="O11" s="8">
        <f>Лист1!I28</f>
        <v>0.48637602179836514</v>
      </c>
      <c r="P11" s="120"/>
      <c r="Q11" s="126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6.5" thickBot="1" x14ac:dyDescent="0.3">
      <c r="A12" s="48"/>
      <c r="B12" s="33">
        <v>6</v>
      </c>
      <c r="C12" s="34">
        <v>2.64</v>
      </c>
      <c r="D12" s="31">
        <v>1.96</v>
      </c>
      <c r="E12" s="31">
        <v>1.62</v>
      </c>
      <c r="F12" s="31">
        <v>1.28</v>
      </c>
      <c r="G12" s="31">
        <v>1.1399999999999999</v>
      </c>
      <c r="H12" s="31">
        <v>1.1299999999999999</v>
      </c>
      <c r="I12" s="31">
        <v>1.06</v>
      </c>
      <c r="J12" s="31">
        <v>1.01</v>
      </c>
      <c r="K12" s="36">
        <v>1</v>
      </c>
      <c r="L12" s="35">
        <v>1</v>
      </c>
      <c r="M12" s="129"/>
      <c r="N12" s="9" t="s">
        <v>52</v>
      </c>
      <c r="O12" s="10" t="s">
        <v>53</v>
      </c>
      <c r="P12" s="121"/>
      <c r="Q12" s="48"/>
      <c r="R12" s="160" t="s">
        <v>8</v>
      </c>
      <c r="S12" s="161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ht="16.5" thickBot="1" x14ac:dyDescent="0.3">
      <c r="A13" s="48"/>
      <c r="B13" s="33">
        <v>7</v>
      </c>
      <c r="C13" s="34">
        <v>2.4900000000000002</v>
      </c>
      <c r="D13" s="31">
        <v>1.86</v>
      </c>
      <c r="E13" s="31">
        <v>1.54</v>
      </c>
      <c r="F13" s="31">
        <v>1.23</v>
      </c>
      <c r="G13" s="31">
        <v>1.1200000000000001</v>
      </c>
      <c r="H13" s="31">
        <v>1.1000000000000001</v>
      </c>
      <c r="I13" s="31">
        <v>1.04</v>
      </c>
      <c r="J13" s="31">
        <v>1</v>
      </c>
      <c r="K13" s="31">
        <v>1</v>
      </c>
      <c r="L13" s="35">
        <v>1</v>
      </c>
      <c r="M13" s="129"/>
      <c r="N13" s="9">
        <f ca="1">MATCH($N$11,B6:B41)</f>
        <v>2</v>
      </c>
      <c r="O13" s="11">
        <f>MATCH($O$11,B6:L6)</f>
        <v>6</v>
      </c>
      <c r="P13" s="122"/>
      <c r="Q13" s="20" t="s">
        <v>50</v>
      </c>
      <c r="R13" s="10">
        <f>INDEX(B6:L6,,MATCH($O$11,B6:L6))</f>
        <v>0.4</v>
      </c>
      <c r="S13" s="10">
        <f>INDEX(B6:L6,,MATCH($O$11,B6:L6)+1)</f>
        <v>0.5</v>
      </c>
      <c r="T13" s="48"/>
      <c r="U13" s="10">
        <f>R13</f>
        <v>0.4</v>
      </c>
      <c r="V13" s="10">
        <f>S13</f>
        <v>0.5</v>
      </c>
      <c r="W13" s="48"/>
      <c r="X13" s="20" t="s">
        <v>50</v>
      </c>
      <c r="Y13" s="48"/>
      <c r="Z13" s="48"/>
      <c r="AA13" s="48"/>
      <c r="AB13" s="48"/>
    </row>
    <row r="14" spans="1:28" ht="16.5" thickBot="1" x14ac:dyDescent="0.3">
      <c r="A14" s="48"/>
      <c r="B14" s="33">
        <v>8</v>
      </c>
      <c r="C14" s="34">
        <v>2.37</v>
      </c>
      <c r="D14" s="31">
        <v>1.78</v>
      </c>
      <c r="E14" s="31">
        <v>1.48</v>
      </c>
      <c r="F14" s="31">
        <v>1.19</v>
      </c>
      <c r="G14" s="31">
        <v>1.1000000000000001</v>
      </c>
      <c r="H14" s="31">
        <v>1.08</v>
      </c>
      <c r="I14" s="31">
        <v>1.02</v>
      </c>
      <c r="J14" s="31">
        <v>1</v>
      </c>
      <c r="K14" s="31">
        <v>1</v>
      </c>
      <c r="L14" s="35">
        <v>1</v>
      </c>
      <c r="M14" s="129"/>
      <c r="N14" s="162" t="s">
        <v>54</v>
      </c>
      <c r="O14" s="162"/>
      <c r="P14" s="123"/>
      <c r="Q14" s="9">
        <f ca="1">INDEX(B6:B41,MATCH($N$11,B6:B41))</f>
        <v>1</v>
      </c>
      <c r="R14" s="14">
        <f ca="1">INDEX($B$6:$L$41,MATCH($N$11,$B$6:$B$41),MATCH($O$11,$B$6:$L$6))</f>
        <v>2</v>
      </c>
      <c r="S14" s="14">
        <f ca="1">INDEX($B$6:$L$41,MATCH($N$11,$B$6:$B$41),MATCH($O$11,$B$6:$L$6)+1)</f>
        <v>1.6</v>
      </c>
      <c r="T14" s="48"/>
      <c r="U14" s="14">
        <f ca="1">FORECAST(N11,R14:R15,Q14:Q15)</f>
        <v>1.9908280538811189</v>
      </c>
      <c r="V14" s="14">
        <f ca="1">FORECAST(N11,S14:S15,Q14:Q15)</f>
        <v>1.6</v>
      </c>
      <c r="W14" s="48"/>
      <c r="X14" s="9">
        <f ca="1">Q14</f>
        <v>1</v>
      </c>
      <c r="Y14" s="14">
        <f ca="1">FORECAST(O11,R14:S14,R13:S13)</f>
        <v>1.6544959128065395</v>
      </c>
      <c r="Z14" s="48"/>
      <c r="AA14" s="48"/>
      <c r="AB14" s="48"/>
    </row>
    <row r="15" spans="1:28" ht="16.5" thickBot="1" x14ac:dyDescent="0.3">
      <c r="A15" s="48"/>
      <c r="B15" s="33">
        <v>9</v>
      </c>
      <c r="C15" s="34">
        <v>2.27</v>
      </c>
      <c r="D15" s="31">
        <v>1.71</v>
      </c>
      <c r="E15" s="31">
        <v>1.43</v>
      </c>
      <c r="F15" s="31">
        <v>1.1599999999999999</v>
      </c>
      <c r="G15" s="31">
        <v>1.0900000000000001</v>
      </c>
      <c r="H15" s="31">
        <v>1.07</v>
      </c>
      <c r="I15" s="31">
        <v>1.01</v>
      </c>
      <c r="J15" s="31">
        <v>1</v>
      </c>
      <c r="K15" s="31">
        <v>1</v>
      </c>
      <c r="L15" s="35">
        <v>1</v>
      </c>
      <c r="M15" s="129"/>
      <c r="N15" s="164">
        <f ca="1">FORECAST(N11,FORECAST(O11,OFFSET($B$6,MATCH(N11,B6:B41)-1,MATCH(O11,B6:L6)-1,1,2),OFFSET($B$6,,MATCH(O11,B6:L6)-1,1,2))*{1;0}+FORECAST(O11,OFFSET($B$6,MATCH(N11,B6:B41),MATCH(O11,B6:L6)-1,1,2),OFFSET($B$6,,MATCH(O11,B6:L6)-1,1,2))*{0;1},OFFSET($B$6,MATCH(N11,B6:B41),0,-2))</f>
        <v>1.6532463288666377</v>
      </c>
      <c r="O15" s="164"/>
      <c r="P15" s="124"/>
      <c r="Q15" s="9">
        <f ca="1">INDEX(B6:B41,MATCH($N$11,B6:B41)+1)</f>
        <v>2</v>
      </c>
      <c r="R15" s="14">
        <f ca="1">INDEX($B$6:$L$41,MATCH($N$11,$B$6:$B$41)+1,MATCH($O$11,$B$6:$L$6))</f>
        <v>1.98</v>
      </c>
      <c r="S15" s="14">
        <f ca="1">INDEX($B$6:$L$41,MATCH($N$11,$B$6:$B$41)+1,MATCH($O$11,$B$6:$L$6)+1)</f>
        <v>1.6</v>
      </c>
      <c r="T15" s="48"/>
      <c r="U15" s="48"/>
      <c r="V15" s="48"/>
      <c r="W15" s="48"/>
      <c r="X15" s="9">
        <f ca="1">Q15</f>
        <v>2</v>
      </c>
      <c r="Y15" s="14">
        <f ca="1">FORECAST(O11,R15:S15,R13:S13)</f>
        <v>1.6517711171662126</v>
      </c>
      <c r="Z15" s="48"/>
      <c r="AA15" s="48"/>
      <c r="AB15" s="48"/>
    </row>
    <row r="16" spans="1:28" ht="16.5" thickBot="1" x14ac:dyDescent="0.3">
      <c r="A16" s="48"/>
      <c r="B16" s="33">
        <v>10</v>
      </c>
      <c r="C16" s="34">
        <v>2.1800000000000002</v>
      </c>
      <c r="D16" s="31">
        <v>1.65</v>
      </c>
      <c r="E16" s="31">
        <v>1.39</v>
      </c>
      <c r="F16" s="31">
        <v>1.1299999999999999</v>
      </c>
      <c r="G16" s="31">
        <v>1.07</v>
      </c>
      <c r="H16" s="31">
        <v>1.05</v>
      </c>
      <c r="I16" s="31">
        <v>1</v>
      </c>
      <c r="J16" s="31">
        <v>1</v>
      </c>
      <c r="K16" s="31">
        <v>1</v>
      </c>
      <c r="L16" s="35">
        <v>1</v>
      </c>
      <c r="M16" s="129"/>
      <c r="N16" s="163">
        <f ca="1">FORECAST(O11,U14:V14,R13:S13)</f>
        <v>1.6532463288666377</v>
      </c>
      <c r="O16" s="163"/>
      <c r="P16" s="125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6.5" thickBot="1" x14ac:dyDescent="0.3">
      <c r="A17" s="48"/>
      <c r="B17" s="33">
        <v>11</v>
      </c>
      <c r="C17" s="34">
        <v>2.11</v>
      </c>
      <c r="D17" s="31">
        <v>1.61</v>
      </c>
      <c r="E17" s="31">
        <v>1.35</v>
      </c>
      <c r="F17" s="31">
        <v>1.1000000000000001</v>
      </c>
      <c r="G17" s="31">
        <v>1.06</v>
      </c>
      <c r="H17" s="31">
        <v>1.04</v>
      </c>
      <c r="I17" s="31">
        <v>1</v>
      </c>
      <c r="J17" s="31">
        <v>1</v>
      </c>
      <c r="K17" s="31">
        <v>1</v>
      </c>
      <c r="L17" s="35">
        <v>1</v>
      </c>
      <c r="M17" s="129"/>
      <c r="N17" s="163">
        <f ca="1">FORECAST(N11,Y14:Y15,Q14:Q15)</f>
        <v>1.6532463288666377</v>
      </c>
      <c r="O17" s="163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ht="16.5" thickBot="1" x14ac:dyDescent="0.3">
      <c r="A18" s="48"/>
      <c r="B18" s="33">
        <v>12</v>
      </c>
      <c r="C18" s="34">
        <v>2.04</v>
      </c>
      <c r="D18" s="31">
        <v>1.56</v>
      </c>
      <c r="E18" s="31">
        <v>1.32</v>
      </c>
      <c r="F18" s="31">
        <v>1.08</v>
      </c>
      <c r="G18" s="31">
        <v>1.05</v>
      </c>
      <c r="H18" s="31">
        <v>1.03</v>
      </c>
      <c r="I18" s="31">
        <v>1</v>
      </c>
      <c r="J18" s="31">
        <v>1</v>
      </c>
      <c r="K18" s="31">
        <v>1</v>
      </c>
      <c r="L18" s="35">
        <v>1</v>
      </c>
      <c r="M18" s="129"/>
      <c r="N18" s="118"/>
      <c r="O18" s="118"/>
      <c r="P18" s="118"/>
      <c r="Q18" s="118"/>
      <c r="R18" s="118"/>
      <c r="S18" s="118"/>
      <c r="T18" s="118"/>
      <c r="U18" s="118"/>
      <c r="V18" s="48"/>
      <c r="W18" s="48"/>
      <c r="X18" s="48"/>
      <c r="Y18" s="48"/>
      <c r="Z18" s="48"/>
      <c r="AA18" s="48"/>
      <c r="AB18" s="48"/>
    </row>
    <row r="19" spans="1:28" ht="16.5" thickBot="1" x14ac:dyDescent="0.3">
      <c r="A19" s="48"/>
      <c r="B19" s="33">
        <v>13</v>
      </c>
      <c r="C19" s="34">
        <v>1.99</v>
      </c>
      <c r="D19" s="31">
        <v>1.52</v>
      </c>
      <c r="E19" s="31">
        <v>1.29</v>
      </c>
      <c r="F19" s="31">
        <v>1.06</v>
      </c>
      <c r="G19" s="31">
        <v>1.04</v>
      </c>
      <c r="H19" s="31">
        <v>1.01</v>
      </c>
      <c r="I19" s="31">
        <v>1</v>
      </c>
      <c r="J19" s="31">
        <v>1</v>
      </c>
      <c r="K19" s="31">
        <v>1</v>
      </c>
      <c r="L19" s="35">
        <v>1</v>
      </c>
      <c r="M19" s="130">
        <v>3</v>
      </c>
      <c r="N19" s="6" t="s">
        <v>50</v>
      </c>
      <c r="O19" s="6" t="s">
        <v>8</v>
      </c>
      <c r="P19" s="119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ht="16.5" thickBot="1" x14ac:dyDescent="0.3">
      <c r="A20" s="48"/>
      <c r="B20" s="33">
        <v>14</v>
      </c>
      <c r="C20" s="34">
        <v>1.94</v>
      </c>
      <c r="D20" s="31">
        <v>1.49</v>
      </c>
      <c r="E20" s="31">
        <v>1.27</v>
      </c>
      <c r="F20" s="31">
        <v>1.05</v>
      </c>
      <c r="G20" s="31">
        <v>1.02</v>
      </c>
      <c r="H20" s="31">
        <v>1</v>
      </c>
      <c r="I20" s="31">
        <v>1</v>
      </c>
      <c r="J20" s="31">
        <v>1</v>
      </c>
      <c r="K20" s="31">
        <v>1</v>
      </c>
      <c r="L20" s="35">
        <v>1</v>
      </c>
      <c r="M20" s="129"/>
      <c r="N20" s="7">
        <f>Лист1!N40</f>
        <v>1</v>
      </c>
      <c r="O20" s="8">
        <f>Лист1!I40</f>
        <v>0.3</v>
      </c>
      <c r="P20" s="120"/>
      <c r="Q20" s="126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16.5" thickBot="1" x14ac:dyDescent="0.3">
      <c r="A21" s="48"/>
      <c r="B21" s="33">
        <v>15</v>
      </c>
      <c r="C21" s="34">
        <v>1.89</v>
      </c>
      <c r="D21" s="31">
        <v>1.46</v>
      </c>
      <c r="E21" s="31">
        <v>1.25</v>
      </c>
      <c r="F21" s="31">
        <v>1.03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5">
        <v>1</v>
      </c>
      <c r="M21" s="129"/>
      <c r="N21" s="9" t="s">
        <v>52</v>
      </c>
      <c r="O21" s="10" t="s">
        <v>53</v>
      </c>
      <c r="P21" s="121"/>
      <c r="Q21" s="48"/>
      <c r="R21" s="160" t="s">
        <v>8</v>
      </c>
      <c r="S21" s="161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16.5" thickBot="1" x14ac:dyDescent="0.3">
      <c r="A22" s="48"/>
      <c r="B22" s="33">
        <v>16</v>
      </c>
      <c r="C22" s="34">
        <v>1.85</v>
      </c>
      <c r="D22" s="31">
        <v>1.43</v>
      </c>
      <c r="E22" s="31">
        <v>1.23</v>
      </c>
      <c r="F22" s="31">
        <v>1.02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5">
        <v>1</v>
      </c>
      <c r="M22" s="129"/>
      <c r="N22" s="9">
        <f>MATCH($N$20,B6:B41)</f>
        <v>2</v>
      </c>
      <c r="O22" s="11">
        <f>MATCH($O$20,B6:L6)</f>
        <v>5</v>
      </c>
      <c r="P22" s="122"/>
      <c r="Q22" s="20" t="s">
        <v>50</v>
      </c>
      <c r="R22" s="10">
        <f>INDEX(B6:L6,,MATCH($O$20,B6:L6))</f>
        <v>0.3</v>
      </c>
      <c r="S22" s="10">
        <f>INDEX(B6:L6,,MATCH($O$20,B6:L6)+1)</f>
        <v>0.4</v>
      </c>
      <c r="T22" s="48"/>
      <c r="U22" s="10">
        <f>R22</f>
        <v>0.3</v>
      </c>
      <c r="V22" s="10">
        <f>S22</f>
        <v>0.4</v>
      </c>
      <c r="W22" s="48"/>
      <c r="X22" s="20" t="s">
        <v>50</v>
      </c>
      <c r="Y22" s="48"/>
      <c r="Z22" s="48"/>
      <c r="AA22" s="48"/>
      <c r="AB22" s="48"/>
    </row>
    <row r="23" spans="1:28" ht="16.5" thickBot="1" x14ac:dyDescent="0.3">
      <c r="A23" s="48"/>
      <c r="B23" s="33">
        <v>17</v>
      </c>
      <c r="C23" s="34">
        <v>1.81</v>
      </c>
      <c r="D23" s="31">
        <v>1.41</v>
      </c>
      <c r="E23" s="31">
        <v>1.21</v>
      </c>
      <c r="F23" s="31">
        <v>1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5">
        <v>1</v>
      </c>
      <c r="M23" s="129"/>
      <c r="N23" s="162" t="s">
        <v>54</v>
      </c>
      <c r="O23" s="162"/>
      <c r="P23" s="123"/>
      <c r="Q23" s="9">
        <f>INDEX(B6:B41,MATCH($N$20,B6:B41))</f>
        <v>1</v>
      </c>
      <c r="R23" s="14">
        <f ca="1">INDEX($B$6:$L$41,MATCH($N$11,$B$6:$B$41),MATCH($O$11,$B$6:$L$6))</f>
        <v>2</v>
      </c>
      <c r="S23" s="14">
        <f ca="1">INDEX($B$6:$L$41,MATCH($N$11,$B$6:$B$41),MATCH($O$11,$B$6:$L$6)+1)</f>
        <v>1.6</v>
      </c>
      <c r="T23" s="48"/>
      <c r="U23" s="14">
        <f ca="1">FORECAST(N20,R23:R24,Q23:Q24)</f>
        <v>2</v>
      </c>
      <c r="V23" s="14">
        <f ca="1">FORECAST(N20,S23:S24,Q23:Q24)</f>
        <v>1.6</v>
      </c>
      <c r="W23" s="48"/>
      <c r="X23" s="9">
        <f>Q23</f>
        <v>1</v>
      </c>
      <c r="Y23" s="14">
        <f ca="1">FORECAST(O20,R23:S23,R22:S22)</f>
        <v>1.9999999999999998</v>
      </c>
      <c r="Z23" s="48"/>
      <c r="AA23" s="48"/>
      <c r="AB23" s="48"/>
    </row>
    <row r="24" spans="1:28" ht="16.5" thickBot="1" x14ac:dyDescent="0.3">
      <c r="A24" s="48"/>
      <c r="B24" s="33">
        <v>18</v>
      </c>
      <c r="C24" s="34">
        <v>1.78</v>
      </c>
      <c r="D24" s="31">
        <v>1.39</v>
      </c>
      <c r="E24" s="31">
        <v>1.19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5">
        <v>1</v>
      </c>
      <c r="M24" s="129"/>
      <c r="N24" s="164">
        <f ca="1">FORECAST(N20,FORECAST(O20,OFFSET($B$6,MATCH(N20,B6:B41)-1,MATCH(O20,B6:L6)-1,1,2),OFFSET($B$6,,MATCH(O20,B6:L6)-1,1,2))*{1;0}+FORECAST(O20,OFFSET($B$6,MATCH(N20,B6:B41),MATCH(O20,B6:L6)-1,1,2),OFFSET($B$6,,MATCH(O20,B6:L6)-1,1,2))*{0;1},OFFSET($B$6,MATCH(N20,B6:B41),0,-2))</f>
        <v>2.67</v>
      </c>
      <c r="O24" s="164"/>
      <c r="P24" s="124"/>
      <c r="Q24" s="9">
        <f>INDEX(B6:B41,MATCH($N$20,B6:B41)+1)</f>
        <v>2</v>
      </c>
      <c r="R24" s="14">
        <f ca="1">INDEX($B$6:$L$41,MATCH($N$11,$B$6:$B$41)+1,MATCH($O$11,$B$6:$L$6))</f>
        <v>1.98</v>
      </c>
      <c r="S24" s="14">
        <f ca="1">INDEX($B$6:$L$41,MATCH($N$11,$B$6:$B$41)+1,MATCH($O$11,$B$6:$L$6)+1)</f>
        <v>1.6</v>
      </c>
      <c r="T24" s="48"/>
      <c r="U24" s="48"/>
      <c r="V24" s="48"/>
      <c r="W24" s="48"/>
      <c r="X24" s="9">
        <f>Q24</f>
        <v>2</v>
      </c>
      <c r="Y24" s="14">
        <f ca="1">FORECAST(O20,R24:S24,R22:S22)</f>
        <v>1.9799999999999998</v>
      </c>
      <c r="Z24" s="48"/>
      <c r="AA24" s="48"/>
      <c r="AB24" s="48"/>
    </row>
    <row r="25" spans="1:28" ht="16.5" thickBot="1" x14ac:dyDescent="0.3">
      <c r="A25" s="48"/>
      <c r="B25" s="33">
        <v>19</v>
      </c>
      <c r="C25" s="34">
        <v>1.75</v>
      </c>
      <c r="D25" s="31">
        <v>1.36</v>
      </c>
      <c r="E25" s="31">
        <v>1.17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5">
        <v>1</v>
      </c>
      <c r="M25" s="129"/>
      <c r="N25" s="163">
        <f ca="1">FORECAST(O20,U23:V23,R22:S22)</f>
        <v>1.9999999999999998</v>
      </c>
      <c r="O25" s="163"/>
      <c r="P25" s="125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6.5" thickBot="1" x14ac:dyDescent="0.3">
      <c r="A26" s="48"/>
      <c r="B26" s="33">
        <v>20</v>
      </c>
      <c r="C26" s="34">
        <v>1.72</v>
      </c>
      <c r="D26" s="31">
        <v>1.35</v>
      </c>
      <c r="E26" s="31">
        <v>1.1599999999999999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1</v>
      </c>
      <c r="L26" s="35">
        <v>1</v>
      </c>
      <c r="M26" s="129"/>
      <c r="N26" s="163">
        <f ca="1">FORECAST(N20,Y23:Y24,Q23:Q24)</f>
        <v>1.9999999999999996</v>
      </c>
      <c r="O26" s="163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6.5" thickBot="1" x14ac:dyDescent="0.3">
      <c r="A27" s="48"/>
      <c r="B27" s="33">
        <v>21</v>
      </c>
      <c r="C27" s="34">
        <v>1.69</v>
      </c>
      <c r="D27" s="31">
        <v>1.33</v>
      </c>
      <c r="E27" s="31">
        <v>1.1499999999999999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5">
        <v>1</v>
      </c>
      <c r="M27" s="129"/>
      <c r="N27" s="118"/>
      <c r="O27" s="118"/>
      <c r="P27" s="118"/>
      <c r="Q27" s="118"/>
      <c r="R27" s="118"/>
      <c r="S27" s="118"/>
      <c r="T27" s="118"/>
      <c r="U27" s="118"/>
      <c r="V27" s="48"/>
      <c r="W27" s="48"/>
      <c r="X27" s="48"/>
      <c r="Y27" s="48"/>
      <c r="Z27" s="48"/>
      <c r="AA27" s="48"/>
      <c r="AB27" s="48"/>
    </row>
    <row r="28" spans="1:28" ht="16.5" thickBot="1" x14ac:dyDescent="0.3">
      <c r="A28" s="48"/>
      <c r="B28" s="33">
        <v>22</v>
      </c>
      <c r="C28" s="34">
        <v>1.67</v>
      </c>
      <c r="D28" s="31">
        <v>1.31</v>
      </c>
      <c r="E28" s="31">
        <v>1.1299999999999999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5">
        <v>1</v>
      </c>
      <c r="M28" s="130">
        <v>4</v>
      </c>
      <c r="N28" s="6" t="s">
        <v>50</v>
      </c>
      <c r="O28" s="6" t="s">
        <v>8</v>
      </c>
      <c r="P28" s="119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6.5" thickBot="1" x14ac:dyDescent="0.3">
      <c r="A29" s="48"/>
      <c r="B29" s="33">
        <v>23</v>
      </c>
      <c r="C29" s="34">
        <v>1.64</v>
      </c>
      <c r="D29" s="31">
        <v>1.3</v>
      </c>
      <c r="E29" s="31">
        <v>1.1200000000000001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5">
        <v>1</v>
      </c>
      <c r="M29" s="129"/>
      <c r="N29" s="7">
        <f>Лист1!N52</f>
        <v>1</v>
      </c>
      <c r="O29" s="8">
        <f>Лист1!I52</f>
        <v>0.3</v>
      </c>
      <c r="P29" s="120"/>
      <c r="Q29" s="126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6.5" thickBot="1" x14ac:dyDescent="0.3">
      <c r="A30" s="48"/>
      <c r="B30" s="33">
        <v>24</v>
      </c>
      <c r="C30" s="34">
        <v>1.62</v>
      </c>
      <c r="D30" s="31">
        <v>1.28</v>
      </c>
      <c r="E30" s="31">
        <v>1.1100000000000001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5">
        <v>1</v>
      </c>
      <c r="M30" s="129"/>
      <c r="N30" s="9" t="s">
        <v>52</v>
      </c>
      <c r="O30" s="10" t="s">
        <v>53</v>
      </c>
      <c r="P30" s="121"/>
      <c r="Q30" s="48"/>
      <c r="R30" s="160" t="s">
        <v>8</v>
      </c>
      <c r="S30" s="161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6.5" thickBot="1" x14ac:dyDescent="0.3">
      <c r="A31" s="48"/>
      <c r="B31" s="33">
        <v>25</v>
      </c>
      <c r="C31" s="34">
        <v>1.6</v>
      </c>
      <c r="D31" s="31">
        <v>1.27</v>
      </c>
      <c r="E31" s="31">
        <v>1.1000000000000001</v>
      </c>
      <c r="F31" s="31">
        <v>1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5">
        <v>1</v>
      </c>
      <c r="M31" s="129"/>
      <c r="N31" s="9">
        <f>MATCH($N$29,B6:B41)</f>
        <v>2</v>
      </c>
      <c r="O31" s="11">
        <f>MATCH($O$29,B6:L6)</f>
        <v>5</v>
      </c>
      <c r="P31" s="122"/>
      <c r="Q31" s="20" t="s">
        <v>50</v>
      </c>
      <c r="R31" s="10">
        <f>INDEX(B6:L6,,MATCH($O$29,B6:L6))</f>
        <v>0.3</v>
      </c>
      <c r="S31" s="10">
        <f>INDEX(B6:L6,,MATCH($O$29,B6:L6)+1)</f>
        <v>0.4</v>
      </c>
      <c r="T31" s="48"/>
      <c r="U31" s="10">
        <f>R31</f>
        <v>0.3</v>
      </c>
      <c r="V31" s="10">
        <f>S31</f>
        <v>0.4</v>
      </c>
      <c r="W31" s="48"/>
      <c r="X31" s="20" t="s">
        <v>50</v>
      </c>
      <c r="Y31" s="48"/>
      <c r="Z31" s="48"/>
      <c r="AA31" s="48"/>
      <c r="AB31" s="48"/>
    </row>
    <row r="32" spans="1:28" ht="16.5" thickBot="1" x14ac:dyDescent="0.3">
      <c r="A32" s="48"/>
      <c r="B32" s="33">
        <v>30</v>
      </c>
      <c r="C32" s="34">
        <v>1.51</v>
      </c>
      <c r="D32" s="31">
        <v>1.21</v>
      </c>
      <c r="E32" s="31">
        <v>1.05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5">
        <v>1</v>
      </c>
      <c r="M32" s="129"/>
      <c r="N32" s="162" t="s">
        <v>54</v>
      </c>
      <c r="O32" s="162"/>
      <c r="P32" s="123"/>
      <c r="Q32" s="9">
        <f>INDEX(B6:B41,MATCH($N$29,B6:B41))</f>
        <v>1</v>
      </c>
      <c r="R32" s="14">
        <f ca="1">INDEX($B$6:$L$41,MATCH($N$11,$B$6:$B$41),MATCH($O$11,$B$6:$L$6))</f>
        <v>2</v>
      </c>
      <c r="S32" s="14">
        <f ca="1">INDEX($B$6:$L$41,MATCH($N$11,$B$6:$B$41),MATCH($O$11,$B$6:$L$6)+1)</f>
        <v>1.6</v>
      </c>
      <c r="T32" s="48"/>
      <c r="U32" s="14">
        <f ca="1">FORECAST(N29,R32:R33,Q32:Q33)</f>
        <v>2</v>
      </c>
      <c r="V32" s="14">
        <f ca="1">FORECAST(N29,S32:S33,Q32:Q33)</f>
        <v>1.6</v>
      </c>
      <c r="W32" s="48"/>
      <c r="X32" s="9">
        <f>Q32</f>
        <v>1</v>
      </c>
      <c r="Y32" s="14">
        <f ca="1">FORECAST(O29,R32:S32,R31:S31)</f>
        <v>1.9999999999999998</v>
      </c>
      <c r="Z32" s="48"/>
      <c r="AA32" s="48"/>
      <c r="AB32" s="48"/>
    </row>
    <row r="33" spans="1:28" ht="16.5" thickBot="1" x14ac:dyDescent="0.3">
      <c r="A33" s="48"/>
      <c r="B33" s="33">
        <v>35</v>
      </c>
      <c r="C33" s="34">
        <v>1.44</v>
      </c>
      <c r="D33" s="31">
        <v>1.1599999999999999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5">
        <v>1</v>
      </c>
      <c r="M33" s="129"/>
      <c r="N33" s="164">
        <f ca="1">FORECAST(N29,FORECAST(O29,OFFSET($B$6,MATCH(N29,B6:B41)-1,MATCH(O29,B6:L6)-1,1,2),OFFSET($B$6,,MATCH(O29,B6:L6)-1,1,2))*{1;0}+FORECAST(O29,OFFSET($B$6,MATCH(N29,B6:B41),MATCH(O29,B6:L6)-1,1,2),OFFSET($B$6,,MATCH(O29,B6:L6)-1,1,2))*{0;1},OFFSET($B$6,MATCH(N29,B6:B41),0,-2))</f>
        <v>2.67</v>
      </c>
      <c r="O33" s="164"/>
      <c r="P33" s="124"/>
      <c r="Q33" s="9">
        <f>INDEX(B6:B41,MATCH($N$29,B6:B41)+1)</f>
        <v>2</v>
      </c>
      <c r="R33" s="14">
        <f ca="1">INDEX($B$6:$L$41,MATCH($N$11,$B$6:$B$41)+1,MATCH($O$11,$B$6:$L$6))</f>
        <v>1.98</v>
      </c>
      <c r="S33" s="14">
        <f ca="1">INDEX($B$6:$L$41,MATCH($N$11,$B$6:$B$41)+1,MATCH($O$11,$B$6:$L$6)+1)</f>
        <v>1.6</v>
      </c>
      <c r="T33" s="48"/>
      <c r="U33" s="48"/>
      <c r="V33" s="48"/>
      <c r="W33" s="48"/>
      <c r="X33" s="9">
        <f>Q33</f>
        <v>2</v>
      </c>
      <c r="Y33" s="14">
        <f ca="1">FORECAST(O29,R33:S33,R31:S31)</f>
        <v>1.9799999999999998</v>
      </c>
      <c r="Z33" s="48"/>
      <c r="AA33" s="48"/>
      <c r="AB33" s="48"/>
    </row>
    <row r="34" spans="1:28" ht="16.5" thickBot="1" x14ac:dyDescent="0.3">
      <c r="A34" s="48"/>
      <c r="B34" s="33">
        <v>40</v>
      </c>
      <c r="C34" s="34">
        <v>1.4</v>
      </c>
      <c r="D34" s="31">
        <v>1.1299999999999999</v>
      </c>
      <c r="E34" s="31">
        <v>1</v>
      </c>
      <c r="F34" s="31">
        <v>1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5">
        <v>1</v>
      </c>
      <c r="M34" s="129"/>
      <c r="N34" s="163">
        <f ca="1">FORECAST(O29,U32:V32,R31:S31)</f>
        <v>1.9999999999999998</v>
      </c>
      <c r="O34" s="163"/>
      <c r="P34" s="125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ht="16.5" thickBot="1" x14ac:dyDescent="0.3">
      <c r="A35" s="48"/>
      <c r="B35" s="33">
        <v>45</v>
      </c>
      <c r="C35" s="34">
        <v>1.35</v>
      </c>
      <c r="D35" s="31">
        <v>1.1000000000000001</v>
      </c>
      <c r="E35" s="31">
        <v>1</v>
      </c>
      <c r="F35" s="31">
        <v>1</v>
      </c>
      <c r="G35" s="31">
        <v>1</v>
      </c>
      <c r="H35" s="31">
        <v>1</v>
      </c>
      <c r="I35" s="31">
        <v>1</v>
      </c>
      <c r="J35" s="31">
        <v>1</v>
      </c>
      <c r="K35" s="31">
        <v>1</v>
      </c>
      <c r="L35" s="35">
        <v>1</v>
      </c>
      <c r="M35" s="129"/>
      <c r="N35" s="163">
        <f ca="1">FORECAST(N29,Y32:Y33,Q32:Q33)</f>
        <v>1.9999999999999996</v>
      </c>
      <c r="O35" s="163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6.5" thickBot="1" x14ac:dyDescent="0.3">
      <c r="A36" s="48"/>
      <c r="B36" s="37">
        <v>50</v>
      </c>
      <c r="C36" s="38">
        <v>1.3</v>
      </c>
      <c r="D36" s="39">
        <v>1.07</v>
      </c>
      <c r="E36" s="39">
        <v>1</v>
      </c>
      <c r="F36" s="39">
        <v>1</v>
      </c>
      <c r="G36" s="39">
        <v>1</v>
      </c>
      <c r="H36" s="39">
        <v>1</v>
      </c>
      <c r="I36" s="39">
        <v>1</v>
      </c>
      <c r="J36" s="39">
        <v>1</v>
      </c>
      <c r="K36" s="36">
        <v>1</v>
      </c>
      <c r="L36" s="40">
        <v>1</v>
      </c>
      <c r="M36" s="129"/>
      <c r="N36" s="118"/>
      <c r="O36" s="118"/>
      <c r="P36" s="118"/>
      <c r="Q36" s="118"/>
      <c r="R36" s="118"/>
      <c r="S36" s="118"/>
      <c r="T36" s="118"/>
      <c r="U36" s="118"/>
      <c r="V36" s="48"/>
      <c r="W36" s="48"/>
      <c r="X36" s="48"/>
      <c r="Y36" s="48"/>
      <c r="Z36" s="48"/>
      <c r="AA36" s="48"/>
      <c r="AB36" s="48"/>
    </row>
    <row r="37" spans="1:28" ht="16.5" thickBot="1" x14ac:dyDescent="0.3">
      <c r="A37" s="48"/>
      <c r="B37" s="41">
        <v>60</v>
      </c>
      <c r="C37" s="42">
        <v>1.25</v>
      </c>
      <c r="D37" s="43">
        <v>1.03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1</v>
      </c>
      <c r="L37" s="44">
        <v>1</v>
      </c>
      <c r="M37" s="130">
        <v>5</v>
      </c>
      <c r="N37" s="6" t="s">
        <v>50</v>
      </c>
      <c r="O37" s="6" t="s">
        <v>8</v>
      </c>
      <c r="P37" s="119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6.5" thickBot="1" x14ac:dyDescent="0.3">
      <c r="A38" s="48"/>
      <c r="B38" s="41">
        <v>70</v>
      </c>
      <c r="C38" s="42">
        <v>1.2</v>
      </c>
      <c r="D38" s="43">
        <v>1</v>
      </c>
      <c r="E38" s="43">
        <v>1</v>
      </c>
      <c r="F38" s="43">
        <v>1</v>
      </c>
      <c r="G38" s="43">
        <v>1</v>
      </c>
      <c r="H38" s="43">
        <v>1</v>
      </c>
      <c r="I38" s="43">
        <v>1</v>
      </c>
      <c r="J38" s="43">
        <v>1</v>
      </c>
      <c r="K38" s="43">
        <v>1</v>
      </c>
      <c r="L38" s="44">
        <v>1</v>
      </c>
      <c r="M38" s="128"/>
      <c r="N38" s="7">
        <f>Лист1!N64</f>
        <v>3.2248175182481753</v>
      </c>
      <c r="O38" s="8">
        <f>Лист1!I64</f>
        <v>0.85000000000000009</v>
      </c>
      <c r="P38" s="120"/>
      <c r="Q38" s="126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6.5" thickBot="1" x14ac:dyDescent="0.3">
      <c r="A39" s="48"/>
      <c r="B39" s="41">
        <v>80</v>
      </c>
      <c r="C39" s="42">
        <v>1.1599999999999999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4">
        <v>1</v>
      </c>
      <c r="M39" s="128"/>
      <c r="N39" s="9" t="s">
        <v>52</v>
      </c>
      <c r="O39" s="10" t="s">
        <v>53</v>
      </c>
      <c r="P39" s="121"/>
      <c r="Q39" s="48"/>
      <c r="R39" s="160" t="s">
        <v>8</v>
      </c>
      <c r="S39" s="161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6.5" thickBot="1" x14ac:dyDescent="0.3">
      <c r="A40" s="48"/>
      <c r="B40" s="41">
        <v>90</v>
      </c>
      <c r="C40" s="42">
        <v>1.1299999999999999</v>
      </c>
      <c r="D40" s="43"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3">
        <v>1</v>
      </c>
      <c r="K40" s="43">
        <v>1</v>
      </c>
      <c r="L40" s="44">
        <v>1</v>
      </c>
      <c r="M40" s="128"/>
      <c r="N40" s="9">
        <f>MATCH($N$38,B6:B41)</f>
        <v>4</v>
      </c>
      <c r="O40" s="11">
        <f>MATCH($O$38,B6:L6)</f>
        <v>10</v>
      </c>
      <c r="P40" s="122"/>
      <c r="Q40" s="20" t="s">
        <v>50</v>
      </c>
      <c r="R40" s="10">
        <f>INDEX(B6:L6,,MATCH($O$38,B6:L6))</f>
        <v>0.8</v>
      </c>
      <c r="S40" s="10">
        <f>INDEX(B6:L6,,MATCH($O$38,B6:L6)+1)</f>
        <v>0.9</v>
      </c>
      <c r="T40" s="48"/>
      <c r="U40" s="10">
        <f>R40</f>
        <v>0.8</v>
      </c>
      <c r="V40" s="10">
        <f>S40</f>
        <v>0.9</v>
      </c>
      <c r="W40" s="48"/>
      <c r="X40" s="20" t="s">
        <v>50</v>
      </c>
      <c r="Y40" s="48"/>
      <c r="Z40" s="48"/>
      <c r="AA40" s="48"/>
      <c r="AB40" s="48"/>
    </row>
    <row r="41" spans="1:28" ht="16.5" thickBot="1" x14ac:dyDescent="0.3">
      <c r="A41" s="48"/>
      <c r="B41" s="41">
        <v>100</v>
      </c>
      <c r="C41" s="45">
        <v>1.1000000000000001</v>
      </c>
      <c r="D41" s="46">
        <v>1</v>
      </c>
      <c r="E41" s="46">
        <v>1</v>
      </c>
      <c r="F41" s="46">
        <v>1</v>
      </c>
      <c r="G41" s="46">
        <v>1</v>
      </c>
      <c r="H41" s="46">
        <v>1</v>
      </c>
      <c r="I41" s="46">
        <v>1</v>
      </c>
      <c r="J41" s="46">
        <v>1</v>
      </c>
      <c r="K41" s="46">
        <v>1</v>
      </c>
      <c r="L41" s="47">
        <v>1</v>
      </c>
      <c r="M41" s="128"/>
      <c r="N41" s="162" t="s">
        <v>54</v>
      </c>
      <c r="O41" s="162"/>
      <c r="P41" s="123"/>
      <c r="Q41" s="9">
        <f>INDEX(B6:B41,MATCH($N$38,B6:B41))</f>
        <v>3</v>
      </c>
      <c r="R41" s="14">
        <f ca="1">INDEX($B$6:$L$41,MATCH($N$11,$B$6:$B$41),MATCH($O$11,$B$6:$L$6))</f>
        <v>2</v>
      </c>
      <c r="S41" s="14">
        <f ca="1">INDEX($B$6:$L$41,MATCH($N$11,$B$6:$B$41),MATCH($O$11,$B$6:$L$6)+1)</f>
        <v>1.6</v>
      </c>
      <c r="T41" s="48"/>
      <c r="U41" s="14">
        <f ca="1">FORECAST(N38,R41:R42,Q41:Q42)</f>
        <v>1.9955036496350365</v>
      </c>
      <c r="V41" s="14">
        <f ca="1">FORECAST(N38,S41:S42,Q41:Q42)</f>
        <v>1.6</v>
      </c>
      <c r="W41" s="48"/>
      <c r="X41" s="9">
        <f>Q41</f>
        <v>3</v>
      </c>
      <c r="Y41" s="14">
        <f ca="1">FORECAST(O38,R41:S41,R40:S40)</f>
        <v>1.7999999999999998</v>
      </c>
      <c r="Z41" s="48"/>
      <c r="AA41" s="48"/>
      <c r="AB41" s="48"/>
    </row>
    <row r="42" spans="1:28" ht="15.75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128"/>
      <c r="N42" s="164">
        <f ca="1">FORECAST(N38,FORECAST(O38,OFFSET($B$6,MATCH(N38,B6:B41)-1,MATCH(O38,B6:L6)-1,1,2),OFFSET($B$6,,MATCH(O38,B6:L6)-1,1,2))*{1;0}+FORECAST(O38,OFFSET($B$6,MATCH(N38,B6:B41),MATCH(O38,B6:L6)-1,1,2),OFFSET($B$6,,MATCH(O38,B6:L6)-1,1,2))*{0;1},OFFSET($B$6,MATCH(N38,B6:B41),0,-2))</f>
        <v>1</v>
      </c>
      <c r="O42" s="164"/>
      <c r="P42" s="124"/>
      <c r="Q42" s="9">
        <f>INDEX(B6:B41,MATCH($N$38,B6:B41)+1)</f>
        <v>4</v>
      </c>
      <c r="R42" s="14">
        <f ca="1">INDEX($B$6:$L$41,MATCH($N$11,$B$6:$B$41)+1,MATCH($O$11,$B$6:$L$6))</f>
        <v>1.98</v>
      </c>
      <c r="S42" s="14">
        <f ca="1">INDEX($B$6:$L$41,MATCH($N$11,$B$6:$B$41)+1,MATCH($O$11,$B$6:$L$6)+1)</f>
        <v>1.6</v>
      </c>
      <c r="T42" s="48"/>
      <c r="U42" s="48"/>
      <c r="V42" s="48"/>
      <c r="W42" s="48"/>
      <c r="X42" s="9">
        <f>Q42</f>
        <v>4</v>
      </c>
      <c r="Y42" s="14">
        <f ca="1">FORECAST(O38,R42:S42,R40:S40)</f>
        <v>1.7899999999999996</v>
      </c>
      <c r="Z42" s="48"/>
      <c r="AA42" s="48"/>
      <c r="AB42" s="48"/>
    </row>
    <row r="43" spans="1:28" ht="15.7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128"/>
      <c r="N43" s="163">
        <f ca="1">FORECAST(O38,U41:V41,R40:S40)</f>
        <v>1.7977518248175186</v>
      </c>
      <c r="O43" s="163"/>
      <c r="P43" s="125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5.75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128"/>
      <c r="N44" s="163">
        <f ca="1">FORECAST(N38,Y41:Y42,Q41:Q42)</f>
        <v>1.7977518248175179</v>
      </c>
      <c r="O44" s="16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12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5.75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127">
        <v>6</v>
      </c>
      <c r="N46" s="6" t="s">
        <v>50</v>
      </c>
      <c r="O46" s="6" t="s">
        <v>8</v>
      </c>
      <c r="P46" s="119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6.5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128"/>
      <c r="N47" s="7" t="e">
        <f ca="1">Лист1!O76</f>
        <v>#DIV/0!</v>
      </c>
      <c r="O47" s="8">
        <f>Лист1!I76</f>
        <v>1</v>
      </c>
      <c r="P47" s="120"/>
      <c r="Q47" s="12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ht="16.5" thickBot="1" x14ac:dyDescent="0.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128"/>
      <c r="N48" s="9" t="s">
        <v>52</v>
      </c>
      <c r="O48" s="10" t="s">
        <v>53</v>
      </c>
      <c r="P48" s="121"/>
      <c r="Q48" s="48"/>
      <c r="R48" s="160" t="s">
        <v>8</v>
      </c>
      <c r="S48" s="161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ht="15.75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128"/>
      <c r="N49" s="9" t="e">
        <f ca="1">MATCH($N$47,B6:B41)</f>
        <v>#DIV/0!</v>
      </c>
      <c r="O49" s="11">
        <f>MATCH($O$47,B6:L6)</f>
        <v>11</v>
      </c>
      <c r="P49" s="122"/>
      <c r="Q49" s="20" t="s">
        <v>50</v>
      </c>
      <c r="R49" s="10">
        <f>INDEX(B6:L6,,MATCH($O$47,B6:L6))</f>
        <v>0.9</v>
      </c>
      <c r="S49" s="10" t="e">
        <f>INDEX(B6:L6,,MATCH($O$47,B6:L6)+1)</f>
        <v>#REF!</v>
      </c>
      <c r="T49" s="48"/>
      <c r="U49" s="10">
        <f>R49</f>
        <v>0.9</v>
      </c>
      <c r="V49" s="10" t="e">
        <f>S49</f>
        <v>#REF!</v>
      </c>
      <c r="W49" s="48"/>
      <c r="X49" s="20" t="s">
        <v>50</v>
      </c>
      <c r="Y49" s="48"/>
      <c r="Z49" s="48"/>
      <c r="AA49" s="48"/>
      <c r="AB49" s="48"/>
    </row>
    <row r="50" spans="1:28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128"/>
      <c r="N50" s="162" t="s">
        <v>54</v>
      </c>
      <c r="O50" s="162"/>
      <c r="P50" s="123"/>
      <c r="Q50" s="9" t="e">
        <f ca="1">INDEX(B6:B41,MATCH($N$47,B6:B41))</f>
        <v>#DIV/0!</v>
      </c>
      <c r="R50" s="14">
        <f ca="1">INDEX($B$6:$L$41,MATCH($N$11,$B$6:$B$41),MATCH($O$11,$B$6:$L$6))</f>
        <v>2</v>
      </c>
      <c r="S50" s="14">
        <f ca="1">INDEX($B$6:$L$41,MATCH($N$11,$B$6:$B$41),MATCH($O$11,$B$6:$L$6)+1)</f>
        <v>1.6</v>
      </c>
      <c r="T50" s="48"/>
      <c r="U50" s="14" t="e">
        <f ca="1">FORECAST(N47,R50:R51,Q50:Q51)</f>
        <v>#DIV/0!</v>
      </c>
      <c r="V50" s="14" t="e">
        <f ca="1">FORECAST(N47,S50:S51,Q50:Q51)</f>
        <v>#DIV/0!</v>
      </c>
      <c r="W50" s="48"/>
      <c r="X50" s="9" t="e">
        <f ca="1">Q50</f>
        <v>#DIV/0!</v>
      </c>
      <c r="Y50" s="14" t="e">
        <f ca="1">FORECAST(O47,R50:S50,R49:S49)</f>
        <v>#REF!</v>
      </c>
      <c r="Z50" s="48"/>
      <c r="AA50" s="48"/>
      <c r="AB50" s="48"/>
    </row>
    <row r="51" spans="1:28" ht="15.75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128"/>
      <c r="N51" s="164" t="e">
        <f ca="1">FORECAST(N47,FORECAST(O47,OFFSET($B$6,MATCH(N47,B6:B41)-1,MATCH(O47,B6:L6)-1,1,2),OFFSET($B$6,,MATCH(O47,B6:L6)-1,1,2))*{1;0}+FORECAST(O47,OFFSET($B$6,MATCH(N47,B6:B41),MATCH(O47,B6:L6)-1,1,2),OFFSET($B$6,,MATCH(O47,B6:L6)-1,1,2))*{0;1},OFFSET($B$6,MATCH(N47,B6:B41),0,-2))</f>
        <v>#DIV/0!</v>
      </c>
      <c r="O51" s="164"/>
      <c r="P51" s="124"/>
      <c r="Q51" s="9" t="e">
        <f ca="1">INDEX(B6:B41,MATCH($N$47,B6:B41)+1)</f>
        <v>#DIV/0!</v>
      </c>
      <c r="R51" s="14">
        <f ca="1">INDEX($B$6:$L$41,MATCH($N$11,$B$6:$B$41)+1,MATCH($O$11,$B$6:$L$6))</f>
        <v>1.98</v>
      </c>
      <c r="S51" s="14">
        <f ca="1">INDEX($B$6:$L$41,MATCH($N$11,$B$6:$B$41)+1,MATCH($O$11,$B$6:$L$6)+1)</f>
        <v>1.6</v>
      </c>
      <c r="T51" s="48"/>
      <c r="U51" s="48"/>
      <c r="V51" s="48"/>
      <c r="W51" s="48"/>
      <c r="X51" s="9" t="e">
        <f ca="1">Q51</f>
        <v>#DIV/0!</v>
      </c>
      <c r="Y51" s="14" t="e">
        <f ca="1">FORECAST(O47,R51:S51,R49:S49)</f>
        <v>#REF!</v>
      </c>
      <c r="Z51" s="48"/>
      <c r="AA51" s="48"/>
      <c r="AB51" s="48"/>
    </row>
    <row r="52" spans="1:28" ht="15.75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163" t="e">
        <f ca="1">FORECAST(O47,U50:V50,R49:S49)</f>
        <v>#DIV/0!</v>
      </c>
      <c r="O52" s="163"/>
      <c r="P52" s="125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ht="15.75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63" t="e">
        <f ca="1">FORECAST(N47,Y50:Y51,Q50:Q51)</f>
        <v>#DIV/0!</v>
      </c>
      <c r="O53" s="163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ht="15.75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130" t="s">
        <v>68</v>
      </c>
      <c r="N55" s="6" t="s">
        <v>50</v>
      </c>
      <c r="O55" s="6" t="s">
        <v>8</v>
      </c>
      <c r="P55" s="119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ht="16.5" thickBot="1" x14ac:dyDescent="0.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128"/>
      <c r="N56" s="7">
        <f>Лист1!N77</f>
        <v>2.6865132501159947</v>
      </c>
      <c r="O56" s="8">
        <f>Лист1!I77</f>
        <v>0.39739819170787383</v>
      </c>
      <c r="P56" s="120"/>
      <c r="Q56" s="12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ht="16.5" thickBot="1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128"/>
      <c r="N57" s="9" t="s">
        <v>52</v>
      </c>
      <c r="O57" s="10" t="s">
        <v>53</v>
      </c>
      <c r="P57" s="121"/>
      <c r="Q57" s="48"/>
      <c r="R57" s="160" t="s">
        <v>8</v>
      </c>
      <c r="S57" s="161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ht="15.75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128"/>
      <c r="N58" s="9">
        <f>MATCH($N$56,B6:B41)</f>
        <v>3</v>
      </c>
      <c r="O58" s="11">
        <f>MATCH($O$56,B6:L6)</f>
        <v>5</v>
      </c>
      <c r="P58" s="122"/>
      <c r="Q58" s="20" t="s">
        <v>50</v>
      </c>
      <c r="R58" s="10">
        <f>INDEX(B6:L6,,MATCH($O$56,B6:L6))</f>
        <v>0.3</v>
      </c>
      <c r="S58" s="10">
        <f>INDEX(B6:L6,,MATCH($O$56,B6:L6)+1)</f>
        <v>0.4</v>
      </c>
      <c r="T58" s="48"/>
      <c r="U58" s="10">
        <f>R58</f>
        <v>0.3</v>
      </c>
      <c r="V58" s="10">
        <f>S58</f>
        <v>0.4</v>
      </c>
      <c r="W58" s="48"/>
      <c r="X58" s="20" t="s">
        <v>50</v>
      </c>
      <c r="Y58" s="48"/>
      <c r="Z58" s="48"/>
      <c r="AA58" s="48"/>
      <c r="AB58" s="48"/>
    </row>
    <row r="59" spans="1:28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128"/>
      <c r="N59" s="162" t="s">
        <v>54</v>
      </c>
      <c r="O59" s="162"/>
      <c r="P59" s="123"/>
      <c r="Q59" s="9">
        <f>INDEX(B6:B41,MATCH($N$56,B6:B41))</f>
        <v>2</v>
      </c>
      <c r="R59" s="14">
        <f ca="1">INDEX($B$6:$L$41,MATCH($N$11,$B$6:$B$41),MATCH($O$11,$B$6:$L$6))</f>
        <v>2</v>
      </c>
      <c r="S59" s="14">
        <f ca="1">INDEX($B$6:$L$41,MATCH($N$11,$B$6:$B$41),MATCH($O$11,$B$6:$L$6)+1)</f>
        <v>1.6</v>
      </c>
      <c r="T59" s="48"/>
      <c r="U59" s="14">
        <f ca="1">FORECAST(N56,R59:R60,Q59:Q60)</f>
        <v>1.9862697349976801</v>
      </c>
      <c r="V59" s="14">
        <f ca="1">FORECAST(N56,S59:S60,Q59:Q60)</f>
        <v>1.6</v>
      </c>
      <c r="W59" s="48"/>
      <c r="X59" s="9">
        <f>Q59</f>
        <v>2</v>
      </c>
      <c r="Y59" s="14">
        <f ca="1">FORECAST(O56,R59:S59,R58:S58)</f>
        <v>1.6104072331685044</v>
      </c>
      <c r="Z59" s="48"/>
      <c r="AA59" s="48"/>
      <c r="AB59" s="48"/>
    </row>
    <row r="60" spans="1:28" ht="15.75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128"/>
      <c r="N60" s="164">
        <f ca="1">FORECAST(N56,FORECAST(O56,OFFSET($B$6,MATCH(N56,B6:B41)-1,MATCH(O56,B6:L6)-1,1,2),OFFSET($B$6,,MATCH(O56,B6:L6)-1,1,2))*{1;0}+FORECAST(O56,OFFSET($B$6,MATCH(N56,B6:B41),MATCH(O56,B6:L6)-1,1,2),OFFSET($B$6,,MATCH(O56,B6:L6)-1,1,2))*{0;1},OFFSET($B$6,MATCH(N56,B6:B41),0,-2))</f>
        <v>1.625161359851264</v>
      </c>
      <c r="O60" s="164"/>
      <c r="P60" s="124"/>
      <c r="Q60" s="9">
        <f>INDEX(B6:B41,MATCH($N$56,B6:B41)+1)</f>
        <v>3</v>
      </c>
      <c r="R60" s="14">
        <f ca="1">INDEX($B$6:$L$41,MATCH($N$11,$B$6:$B$41)+1,MATCH($O$11,$B$6:$L$6))</f>
        <v>1.98</v>
      </c>
      <c r="S60" s="14">
        <f ca="1">INDEX($B$6:$L$41,MATCH($N$11,$B$6:$B$41)+1,MATCH($O$11,$B$6:$L$6)+1)</f>
        <v>1.6</v>
      </c>
      <c r="T60" s="48"/>
      <c r="U60" s="48"/>
      <c r="V60" s="48"/>
      <c r="W60" s="48"/>
      <c r="X60" s="9">
        <f>Q60</f>
        <v>3</v>
      </c>
      <c r="Y60" s="14">
        <f ca="1">FORECAST(O56,R60:S60,R58:S58)</f>
        <v>1.6098868715100794</v>
      </c>
      <c r="Z60" s="48"/>
      <c r="AA60" s="48"/>
      <c r="AB60" s="48"/>
    </row>
    <row r="61" spans="1:28" ht="15.75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128"/>
      <c r="N61" s="163">
        <f ca="1">FORECAST(O56,U59:V59,R58:S58)</f>
        <v>1.6100499979951435</v>
      </c>
      <c r="O61" s="163"/>
      <c r="P61" s="125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ht="15.75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128"/>
      <c r="N62" s="163">
        <f ca="1">FORECAST(N56,Y59:Y60,Q59:Q60)</f>
        <v>1.6100499979951433</v>
      </c>
      <c r="O62" s="163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1:28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pans="1:28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:28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1:28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1:28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:28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pans="1:28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1:28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1:28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1:28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 spans="1:28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 spans="1:28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 spans="1:28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  <row r="78" spans="1:28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</row>
    <row r="79" spans="1:28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 spans="1:28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spans="1:28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 spans="1:28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 spans="1:28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 spans="1:28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</row>
    <row r="85" spans="1:28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 spans="1:28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spans="1:28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spans="1:28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spans="1:28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spans="1:28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spans="1:28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spans="1:28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 spans="1:28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spans="1:28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 spans="1:28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 spans="1:28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 spans="1:28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 spans="1:28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</sheetData>
  <mergeCells count="36">
    <mergeCell ref="N50:O50"/>
    <mergeCell ref="N51:O51"/>
    <mergeCell ref="N52:O52"/>
    <mergeCell ref="N53:O53"/>
    <mergeCell ref="N62:O62"/>
    <mergeCell ref="R3:S3"/>
    <mergeCell ref="N6:O6"/>
    <mergeCell ref="N5:O5"/>
    <mergeCell ref="C5:L5"/>
    <mergeCell ref="N7:O7"/>
    <mergeCell ref="R12:S12"/>
    <mergeCell ref="N14:O14"/>
    <mergeCell ref="N15:O15"/>
    <mergeCell ref="N16:O16"/>
    <mergeCell ref="N17:O17"/>
    <mergeCell ref="R21:S21"/>
    <mergeCell ref="N23:O23"/>
    <mergeCell ref="N24:O24"/>
    <mergeCell ref="N25:O25"/>
    <mergeCell ref="N26:O26"/>
    <mergeCell ref="R57:S57"/>
    <mergeCell ref="N8:O8"/>
    <mergeCell ref="N59:O59"/>
    <mergeCell ref="N60:O60"/>
    <mergeCell ref="N61:O61"/>
    <mergeCell ref="R30:S30"/>
    <mergeCell ref="N32:O32"/>
    <mergeCell ref="N33:O33"/>
    <mergeCell ref="N34:O34"/>
    <mergeCell ref="N35:O35"/>
    <mergeCell ref="R39:S39"/>
    <mergeCell ref="N41:O41"/>
    <mergeCell ref="N42:O42"/>
    <mergeCell ref="N43:O43"/>
    <mergeCell ref="N44:O44"/>
    <mergeCell ref="R48:S48"/>
  </mergeCells>
  <conditionalFormatting sqref="C7:L34">
    <cfRule type="expression" dxfId="3" priority="1">
      <formula>C7=INDEX($B$6:$L$34,MATCH($N$2,$B$6:$B$34)+1,MATCH($O$2,$B$6:$L$6)+1)</formula>
    </cfRule>
    <cfRule type="expression" dxfId="2" priority="2">
      <formula>C7=INDEX($B$6:$L$34,MATCH($N$2,$B$6:$B$34),MATCH($O$2,$B$6:$L$6)+1)</formula>
    </cfRule>
    <cfRule type="expression" dxfId="1" priority="3">
      <formula>C7=INDEX($B$6:$L$34,MATCH($N$2,$B$6:$B$34)+1,MATCH($O$2,$B$6:$L$6))</formula>
    </cfRule>
    <cfRule type="expression" dxfId="0" priority="4">
      <formula>C7=INDEX($B$6:$L$34,MATCH($N$2,$B$6:$B$34),MATCH($O$2,$B$6:$L$6))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2" sqref="J12"/>
    </sheetView>
  </sheetViews>
  <sheetFormatPr defaultRowHeight="15" x14ac:dyDescent="0.25"/>
  <cols>
    <col min="3" max="3" width="17.5703125" customWidth="1"/>
    <col min="4" max="4" width="11.5703125" bestFit="1" customWidth="1"/>
    <col min="8" max="8" width="18.42578125" customWidth="1"/>
  </cols>
  <sheetData>
    <row r="1" spans="1:11" ht="45" x14ac:dyDescent="0.25">
      <c r="A1" s="23" t="s">
        <v>57</v>
      </c>
      <c r="B1" s="23" t="s">
        <v>58</v>
      </c>
      <c r="C1" s="23" t="s">
        <v>59</v>
      </c>
      <c r="D1" s="23" t="s">
        <v>60</v>
      </c>
      <c r="G1" s="23" t="s">
        <v>57</v>
      </c>
      <c r="H1" s="23" t="s">
        <v>61</v>
      </c>
      <c r="I1" s="22"/>
      <c r="J1" s="23" t="s">
        <v>60</v>
      </c>
    </row>
    <row r="2" spans="1:11" x14ac:dyDescent="0.25">
      <c r="A2" s="22">
        <v>1</v>
      </c>
      <c r="B2" s="22">
        <v>133890</v>
      </c>
      <c r="C2" s="22"/>
      <c r="D2" s="22">
        <f t="array" ref="D2">TREND(B2:B13,A2:A13)</f>
        <v>133953.33333333334</v>
      </c>
      <c r="G2" s="22">
        <v>13</v>
      </c>
      <c r="H2" s="22"/>
      <c r="I2" s="22"/>
      <c r="J2" s="22">
        <v>146172</v>
      </c>
      <c r="K2">
        <f>TREND(B2:B13,A2:A13,G2:G6)</f>
        <v>146171.51515151517</v>
      </c>
    </row>
    <row r="3" spans="1:11" x14ac:dyDescent="0.25">
      <c r="A3" s="22">
        <v>2</v>
      </c>
      <c r="B3" s="22">
        <v>135000</v>
      </c>
      <c r="C3" s="22"/>
      <c r="D3" s="22"/>
      <c r="G3" s="22">
        <v>14</v>
      </c>
      <c r="H3" s="22"/>
      <c r="I3" s="22"/>
      <c r="J3" s="22">
        <v>147190</v>
      </c>
    </row>
    <row r="4" spans="1:11" x14ac:dyDescent="0.25">
      <c r="A4" s="22">
        <v>3</v>
      </c>
      <c r="B4" s="22">
        <v>135790</v>
      </c>
      <c r="C4" s="22"/>
      <c r="D4" s="22"/>
      <c r="G4" s="22">
        <v>15</v>
      </c>
      <c r="H4" s="22"/>
      <c r="I4" s="22"/>
      <c r="J4" s="22">
        <v>148208</v>
      </c>
    </row>
    <row r="5" spans="1:11" x14ac:dyDescent="0.25">
      <c r="A5" s="22">
        <v>4</v>
      </c>
      <c r="B5" s="22">
        <v>137300</v>
      </c>
      <c r="C5" s="22"/>
      <c r="D5" s="22"/>
      <c r="G5" s="22">
        <v>16</v>
      </c>
      <c r="H5" s="22"/>
      <c r="I5" s="22"/>
      <c r="J5" s="22">
        <v>149226</v>
      </c>
    </row>
    <row r="6" spans="1:11" x14ac:dyDescent="0.25">
      <c r="A6" s="22">
        <v>5</v>
      </c>
      <c r="B6" s="22">
        <v>138130</v>
      </c>
      <c r="C6" s="22"/>
      <c r="D6" s="22"/>
      <c r="G6" s="22">
        <v>17</v>
      </c>
      <c r="H6" s="22"/>
      <c r="I6" s="22"/>
      <c r="J6" s="22">
        <v>150244</v>
      </c>
    </row>
    <row r="7" spans="1:11" x14ac:dyDescent="0.25">
      <c r="A7" s="22">
        <v>6</v>
      </c>
      <c r="B7" s="22">
        <v>139100</v>
      </c>
      <c r="C7" s="22"/>
      <c r="D7" s="22"/>
    </row>
    <row r="8" spans="1:11" x14ac:dyDescent="0.25">
      <c r="A8" s="22">
        <v>7</v>
      </c>
      <c r="B8" s="22">
        <v>139900</v>
      </c>
      <c r="C8" s="22"/>
      <c r="D8" s="22"/>
    </row>
    <row r="9" spans="1:11" x14ac:dyDescent="0.25">
      <c r="A9" s="22">
        <v>8</v>
      </c>
      <c r="B9" s="22">
        <v>141120</v>
      </c>
      <c r="C9" s="22"/>
      <c r="D9" s="22"/>
    </row>
    <row r="10" spans="1:11" x14ac:dyDescent="0.25">
      <c r="A10" s="22">
        <v>9</v>
      </c>
      <c r="B10" s="22">
        <v>141890</v>
      </c>
      <c r="C10" s="22"/>
      <c r="D10" s="22"/>
    </row>
    <row r="11" spans="1:11" x14ac:dyDescent="0.25">
      <c r="A11" s="22">
        <v>10</v>
      </c>
      <c r="B11" s="22">
        <v>143230</v>
      </c>
      <c r="C11" s="22"/>
      <c r="D11" s="22"/>
    </row>
    <row r="12" spans="1:11" x14ac:dyDescent="0.25">
      <c r="A12" s="22">
        <v>11</v>
      </c>
      <c r="B12" s="22">
        <v>144000</v>
      </c>
      <c r="C12" s="22"/>
      <c r="D12" s="22"/>
    </row>
    <row r="13" spans="1:11" x14ac:dyDescent="0.25">
      <c r="A13" s="22">
        <v>12</v>
      </c>
      <c r="B13" s="22">
        <v>145290</v>
      </c>
      <c r="C13" s="22"/>
      <c r="D1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интерполяция</vt:lpstr>
      <vt:lpstr>Sheet1</vt:lpstr>
      <vt:lpstr>Лист1!Print_Area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2014-04-08T10:38:22Z</cp:lastPrinted>
  <dcterms:created xsi:type="dcterms:W3CDTF">2014-04-08T04:40:20Z</dcterms:created>
  <dcterms:modified xsi:type="dcterms:W3CDTF">2014-04-17T14:57:10Z</dcterms:modified>
</cp:coreProperties>
</file>